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B665A1F6-DC32-AB40-9BCC-434EC34B35F9}"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T64" i="1"/>
  <c r="BT65" i="1"/>
  <c r="BF66" i="1"/>
  <c r="BT66" i="1"/>
  <c r="BF67" i="1"/>
  <c r="BT67" i="1"/>
  <c r="BT68" i="1"/>
  <c r="BF69" i="1"/>
  <c r="BT69" i="1"/>
  <c r="BF70" i="1"/>
  <c r="BT70" i="1"/>
  <c r="BF71" i="1"/>
  <c r="BT71" i="1"/>
  <c r="BF72" i="1"/>
  <c r="BT72" i="1"/>
  <c r="BF73" i="1"/>
  <c r="BT73" i="1"/>
  <c r="BF74" i="1"/>
  <c r="BT74" i="1"/>
  <c r="BF75" i="1"/>
  <c r="BT75" i="1"/>
  <c r="BF76" i="1"/>
  <c r="BT76" i="1"/>
  <c r="BF77" i="1"/>
  <c r="BT77" i="1"/>
  <c r="BF78" i="1"/>
  <c r="BT78" i="1"/>
  <c r="BF79" i="1"/>
  <c r="BT79" i="1"/>
  <c r="BT80" i="1"/>
  <c r="BF81" i="1"/>
  <c r="BT81"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T445" i="1"/>
  <c r="BT446" i="1"/>
  <c r="BT447" i="1"/>
  <c r="BT448" i="1"/>
  <c r="BT449" i="1"/>
  <c r="BT450" i="1"/>
  <c r="BT451" i="1"/>
  <c r="BT452" i="1"/>
  <c r="BT453" i="1"/>
  <c r="BT454" i="1"/>
  <c r="BT455" i="1"/>
  <c r="BT456" i="1"/>
  <c r="BT457" i="1"/>
  <c r="BF458" i="1"/>
  <c r="BT458" i="1"/>
  <c r="BF459" i="1"/>
  <c r="BT459" i="1"/>
  <c r="BF460" i="1"/>
  <c r="BT460" i="1"/>
  <c r="BF461" i="1"/>
  <c r="BT461" i="1"/>
  <c r="BT462" i="1"/>
  <c r="BT463" i="1"/>
  <c r="BT464" i="1"/>
  <c r="BT465" i="1"/>
  <c r="BF466" i="1"/>
  <c r="BT466" i="1"/>
  <c r="BT467" i="1"/>
  <c r="BF468" i="1"/>
  <c r="BT468" i="1"/>
  <c r="BT469" i="1"/>
  <c r="BF470" i="1"/>
  <c r="BT470" i="1"/>
  <c r="BF471" i="1"/>
  <c r="BT471" i="1"/>
  <c r="BT472" i="1"/>
  <c r="BT473" i="1"/>
  <c r="BT474" i="1"/>
  <c r="BF475" i="1"/>
  <c r="BT475" i="1"/>
  <c r="BF476" i="1"/>
  <c r="BT476" i="1"/>
  <c r="BT477" i="1"/>
  <c r="BT478" i="1"/>
  <c r="BF479" i="1"/>
  <c r="BT479" i="1"/>
  <c r="BF480" i="1"/>
  <c r="BT480" i="1"/>
  <c r="BF481" i="1"/>
  <c r="BT481" i="1"/>
  <c r="BT482" i="1"/>
  <c r="BF483" i="1"/>
  <c r="BT483" i="1"/>
  <c r="BF484" i="1"/>
  <c r="BT484" i="1"/>
  <c r="BF485" i="1"/>
  <c r="BT485" i="1"/>
  <c r="BF486" i="1"/>
  <c r="BT486" i="1"/>
  <c r="BT487" i="1"/>
  <c r="BF488" i="1"/>
  <c r="BT488" i="1"/>
  <c r="BF489" i="1"/>
  <c r="BT489" i="1"/>
  <c r="BT490" i="1"/>
  <c r="BT491" i="1"/>
  <c r="BT492" i="1"/>
  <c r="BT493"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T514" i="1"/>
  <c r="BF515" i="1"/>
  <c r="BT515" i="1"/>
  <c r="BF516" i="1"/>
  <c r="BT516" i="1"/>
  <c r="BT517" i="1"/>
  <c r="BF518" i="1"/>
  <c r="BT518" i="1"/>
  <c r="BF519" i="1"/>
  <c r="BT519" i="1"/>
  <c r="BT520" i="1"/>
  <c r="BF521" i="1"/>
  <c r="BT521" i="1"/>
  <c r="BF522" i="1"/>
  <c r="BT522" i="1"/>
  <c r="BT523" i="1"/>
  <c r="BF524" i="1"/>
  <c r="BT524" i="1"/>
  <c r="BT525" i="1"/>
  <c r="BF526" i="1"/>
  <c r="BT526" i="1"/>
  <c r="BF527" i="1"/>
  <c r="BT527" i="1"/>
  <c r="BT528" i="1"/>
  <c r="BT529" i="1"/>
  <c r="BT530" i="1"/>
  <c r="BT531" i="1"/>
  <c r="BF532" i="1"/>
  <c r="BT532" i="1"/>
  <c r="BF533" i="1"/>
  <c r="BT533" i="1"/>
  <c r="BF534" i="1"/>
  <c r="BT534" i="1"/>
  <c r="BF535" i="1"/>
  <c r="BT535" i="1"/>
  <c r="BF536" i="1"/>
  <c r="BT536" i="1"/>
  <c r="BF537" i="1"/>
  <c r="BT537"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T554" i="1"/>
  <c r="BT555" i="1"/>
  <c r="BT556" i="1"/>
  <c r="BF557" i="1"/>
  <c r="BT557"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T601" i="1"/>
  <c r="BF602" i="1"/>
  <c r="BT602" i="1"/>
  <c r="BF603" i="1"/>
  <c r="BT603" i="1"/>
  <c r="BF604" i="1"/>
  <c r="BT604" i="1"/>
  <c r="BF605" i="1"/>
  <c r="BT605" i="1"/>
  <c r="BF606" i="1"/>
  <c r="BT606" i="1"/>
  <c r="BF607" i="1"/>
  <c r="BT607" i="1"/>
  <c r="BF608" i="1"/>
  <c r="BT608" i="1"/>
  <c r="BF609" i="1"/>
  <c r="BT609" i="1"/>
  <c r="BF610" i="1"/>
  <c r="BT610" i="1"/>
  <c r="BF611" i="1"/>
  <c r="BT611" i="1"/>
  <c r="BT612" i="1"/>
  <c r="BF613" i="1"/>
  <c r="BT613" i="1"/>
  <c r="BF614" i="1"/>
  <c r="BT614" i="1"/>
  <c r="BF615" i="1"/>
  <c r="BT615" i="1"/>
  <c r="BF616" i="1"/>
  <c r="BT616" i="1"/>
  <c r="BT617" i="1"/>
  <c r="BT618"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T638" i="1"/>
  <c r="BF639" i="1"/>
  <c r="BT639" i="1"/>
  <c r="BF640" i="1"/>
  <c r="BT640" i="1"/>
  <c r="BF641" i="1"/>
  <c r="BT641" i="1"/>
  <c r="BF642" i="1"/>
  <c r="BT642" i="1"/>
  <c r="BF643" i="1"/>
  <c r="BT643" i="1"/>
  <c r="BF644" i="1"/>
  <c r="BT644" i="1"/>
  <c r="BF645" i="1"/>
  <c r="BT645" i="1"/>
  <c r="BF646" i="1"/>
  <c r="BT646" i="1"/>
  <c r="BF647" i="1"/>
  <c r="BT647" i="1"/>
  <c r="BT648" i="1"/>
  <c r="BT649" i="1"/>
  <c r="BT650" i="1"/>
  <c r="BT651" i="1"/>
  <c r="BT652" i="1"/>
  <c r="BT653" i="1"/>
  <c r="BT654" i="1"/>
  <c r="BT655" i="1"/>
  <c r="BT656" i="1"/>
  <c r="BT657" i="1"/>
  <c r="BF658" i="1"/>
  <c r="BT658" i="1"/>
  <c r="BF659" i="1"/>
  <c r="BT659" i="1"/>
  <c r="BF660" i="1"/>
  <c r="BT660" i="1"/>
  <c r="BF661" i="1"/>
  <c r="BT661" i="1"/>
  <c r="BF662" i="1"/>
  <c r="BT662" i="1"/>
  <c r="BT663" i="1"/>
  <c r="BF664" i="1"/>
  <c r="BT664" i="1"/>
  <c r="BF665" i="1"/>
  <c r="BT665" i="1"/>
  <c r="BF666" i="1"/>
  <c r="BT666" i="1"/>
  <c r="BT667" i="1"/>
  <c r="BT668"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T718" i="1"/>
  <c r="BT719" i="1"/>
  <c r="BT720" i="1"/>
  <c r="BF721" i="1"/>
  <c r="BT721" i="1"/>
  <c r="BF722" i="1"/>
  <c r="BT722" i="1"/>
  <c r="BF723" i="1"/>
  <c r="BT723" i="1"/>
  <c r="BF724" i="1"/>
  <c r="BT724"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T773" i="1"/>
  <c r="BF774" i="1"/>
  <c r="BT774" i="1"/>
  <c r="BF775" i="1"/>
  <c r="BT775" i="1"/>
  <c r="BF776" i="1"/>
  <c r="BT776" i="1"/>
  <c r="BF777" i="1"/>
  <c r="BT777" i="1"/>
  <c r="BF778" i="1"/>
  <c r="BT778" i="1"/>
  <c r="BT779" i="1"/>
  <c r="BT780" i="1"/>
  <c r="BT781" i="1"/>
  <c r="BF782" i="1"/>
  <c r="BT782" i="1"/>
  <c r="BF783" i="1"/>
  <c r="BT783" i="1"/>
  <c r="BF784" i="1"/>
  <c r="BT784"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T808" i="1"/>
  <c r="BF809" i="1"/>
  <c r="BT809" i="1"/>
  <c r="BF810" i="1"/>
  <c r="BT810" i="1"/>
  <c r="BF811" i="1"/>
  <c r="BT811" i="1"/>
  <c r="BF812" i="1"/>
  <c r="BT812" i="1"/>
  <c r="BF813" i="1"/>
  <c r="BT813" i="1"/>
  <c r="BF814" i="1"/>
  <c r="BT814"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T882" i="1"/>
  <c r="BT883" i="1"/>
  <c r="BT884" i="1"/>
  <c r="BT885" i="1"/>
  <c r="BT886" i="1"/>
  <c r="BT887" i="1"/>
  <c r="BT888" i="1"/>
  <c r="BT889" i="1"/>
  <c r="BT890" i="1"/>
  <c r="BT891" i="1"/>
  <c r="BT892" i="1"/>
  <c r="BT893" i="1"/>
  <c r="BT894" i="1"/>
  <c r="BT895" i="1"/>
  <c r="BT896" i="1"/>
  <c r="BT897" i="1"/>
  <c r="BT898" i="1"/>
  <c r="BT899" i="1"/>
  <c r="BT900" i="1"/>
  <c r="BT901" i="1"/>
  <c r="BT902"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T928" i="1"/>
  <c r="BT929"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T966" i="1"/>
  <c r="BT967" i="1"/>
  <c r="BT968" i="1"/>
  <c r="BT969" i="1"/>
  <c r="BT970" i="1"/>
  <c r="BT971"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<sst xmlns="http://schemas.openxmlformats.org/spreadsheetml/2006/main" count="59675" uniqueCount="18014">
  <si>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</si>
  <si>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</si>
  <si>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</si>
  <si>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</si>
  <si>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</si>
  <si>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</si>
  <si>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</si>
  <si>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</si>
  <si>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</si>
  <si>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</si>
  <si>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</si>
  <si>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</si>
  <si>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</si>
  <si>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</si>
  <si>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</si>
  <si>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</si>
  <si>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</si>
  <si>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</si>
  <si>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</si>
  <si>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</si>
  <si>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</si>
  <si>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</si>
  <si>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</si>
  <si>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</si>
  <si>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</si>
  <si>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</si>
  <si>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</si>
  <si>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</si>
  <si>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</si>
  <si>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</si>
  <si>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</si>
  <si>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</si>
  <si>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</si>
  <si>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</si>
  <si>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</si>
  <si>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</si>
  <si>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</si>
  <si>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</si>
  <si>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</si>
  <si>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</si>
  <si>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</si>
  <si>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</si>
  <si>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</si>
  <si>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</si>
  <si>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</si>
  <si>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</si>
  <si>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</si>
  <si>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</si>
  <si>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</si>
  <si>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</si>
  <si>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</si>
  <si>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</si>
  <si>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</si>
  <si>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</si>
  <si>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</si>
  <si>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</si>
  <si>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</si>
  <si>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</si>
  <si>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</si>
  <si>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</si>
  <si>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</si>
  <si>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</si>
  <si>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</si>
  <si>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</si>
  <si>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</si>
  <si>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</si>
  <si>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</si>
  <si>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</si>
  <si>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</si>
  <si>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</si>
  <si>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</si>
  <si>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</si>
  <si>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</si>
  <si>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Kaczmarek, L; Janko, K; Smykla, J; Michalczyk, L</t>
  </si>
  <si>
    <t/>
  </si>
  <si>
    <t>Kaczmarek, Lukasz; Janko, Karel; Smykla, Jerzy; Michalczyk, Lukasz</t>
  </si>
  <si>
    <t>Soil tardigrades from the Antarctic Peninsula with a description of a new species and some remarks on the genus Ramajendas ( Eutardigrada: Isohypsibiidae)</t>
  </si>
  <si>
    <t>POLAR RECORD</t>
  </si>
  <si>
    <t>English</t>
  </si>
  <si>
    <t>Article</t>
  </si>
  <si>
    <t>HYPSIBIIDAE</t>
  </si>
  <si>
    <t>In thirteen (mostly soil) mixed samples, collected from nine localities on the Antarctic continent and some of the neighbouring islands, 788 specimens and 32 eggs of tardigrades were found. In total, five species were identified: Acutuncus antarcticus, Echiniscus jenningsi, Diphascon (D.) victoriae, Hypsibius dujardini and Ramajendas dastychi sp. nov. A. antarcticus was the most abundant (nearly 90% of all specimens) and was the prevailing taxon found in the majority of locations. R. dastychi sp. nov. is the fourth species described in the exclusively Antarctic/sub-Antarctic genus. The new species differs from all other congeners by the presence of four gibbosities on the caudo-dorsal cuticle (configuration II:2-2) and also by some morphometric characters. In this paper we also briefly discuss the taxonomy and zoogeography of the genus Ramajendas.</t>
  </si>
  <si>
    <t>[Kaczmarek, Lukasz] Adam Mickiewicz Univ, Dept Anim Taxon &amp; Ecol, Fac Biol, PL-61614 Poznan, Poland; [Janko, Karel] Acad Sci Czech Republ, Inst Anim Physiol &amp; Genet, Lab Fish Genet, Libechov, Czech Republic; [Janko, Karel] Univ Ostrava, Fac Nat Sci, Dept Biol &amp; Ecol, Life Sci Res Ctr, Ostrava 71000, Czech Republic; [Smykla, Jerzy] Polish Acad Sci, Inst Nat Conservat, Dept Biodivers, PL-31120 Krakow, Poland; [Michalczyk, Lukasz] Jagiellonian Univ, Inst Zool, Dept Entomol, PL-30387 Krakow, Poland</t>
  </si>
  <si>
    <t>Adam Mickiewicz University; Czech Academy of Sciences; Institute of Animal Physiology &amp; Genetics of the Czech Academy of Sciences; University of Ostrava; Polish Academy of Sciences; Jagiellonian University</t>
  </si>
  <si>
    <t>Kaczmarek, L (corresponding author), Adam Mickiewicz Univ, Dept Anim Taxon &amp; Ecol, Fac Biol, Umultowska 89, PL-61614 Poznan, Poland.</t>
  </si>
  <si>
    <t>kaczmar@amu.edu.pl</t>
  </si>
  <si>
    <t>Kaczmarek, Lukasz/A-2000-2008; Janko, Karel/G-7183-2014; Smykla, Jerzy/N-3288-2014; Michalczyk, Lukasz/D-1362-2009</t>
  </si>
  <si>
    <t>Kaczmarek, Lukasz/0000-0002-5260-6253; Smykla, Jerzy/0000-0001-8228-6695; Michalczyk, Lukasz/0000-0002-2912-4870</t>
  </si>
  <si>
    <t>Polish National Science Centre [N N304 014939]</t>
  </si>
  <si>
    <t>Polish National Science Centre</t>
  </si>
  <si>
    <t>We are grateful to Nataliia Iakovenko (Ukrainian Academy of Sciences) for extracting tardigrades from the samples and to Sandra McInnes (British Antarctic Survey) for her valuable comments that improved our manuscript. The research was supported by a grant from the Polish National Science Centre (no. N N304 014939; 'Environmental factors determining biodiversity of soil-dwelling Tardigrada of Victoria Land (Continental Antarctic)').</t>
  </si>
  <si>
    <t>CAMBRIDGE UNIV PRESS</t>
  </si>
  <si>
    <t>NEW YORK</t>
  </si>
  <si>
    <t>32 AVENUE OF THE AMERICAS, NEW YORK, NY 10013-2473 USA</t>
  </si>
  <si>
    <t>0032-2474</t>
  </si>
  <si>
    <t>1475-3057</t>
  </si>
  <si>
    <t>POLAR REC</t>
  </si>
  <si>
    <t>POLAR REC.</t>
  </si>
  <si>
    <t>APR</t>
  </si>
  <si>
    <t>10.1017/S0032247413000168</t>
  </si>
  <si>
    <t>Ecology; Environmental Sciences</t>
  </si>
  <si>
    <t>Science Citation Index Expanded (SCI-EXPANDED)</t>
  </si>
  <si>
    <t>Environmental Sciences &amp; Ecology</t>
  </si>
  <si>
    <t>AC7HK</t>
  </si>
  <si>
    <t>2024-04-21</t>
  </si>
  <si>
    <t>WOS:000332698600008</t>
  </si>
  <si>
    <t>Guly, HR</t>
  </si>
  <si>
    <t>Guly, H. R.</t>
  </si>
  <si>
    <t>Human biology investigations during the heroic age of Antarctic exploration (1897-1922)</t>
  </si>
  <si>
    <t>PHYSIOLOGICAL APPARATUS; WELLCOME MUSEUM</t>
  </si>
  <si>
    <t>This article describes the human biological data that was collected from the participants of the Antarctic expeditions of the 'heroic age' (1897-1922). Routine body weights, waist circumference, spirometry and grip strength measurements were performed on a number of the expeditions for monitoring health and at least four expeditions measured the haemoglobin level and demonstrated that anaemia did not occur. The only true research was done by Dr A.L. McLean of the Australasian Antarctic Expedition, who measured hair and nail growth and investigated immunity. By modern standards, the data collected is of little value but McLean's work laid the groundwork for modern research into the effects of Antarctic residence on the human organism.</t>
  </si>
  <si>
    <t>The Shrubbery, Yelverton PL20 7QH, Devon, England</t>
  </si>
  <si>
    <t>Guly, HR (corresponding author), The Shrubbery, Bedford Rd, Yelverton PL20 7QH, Devon, England.</t>
  </si>
  <si>
    <t>hguly@aol.com</t>
  </si>
  <si>
    <t>Wellcome Trust</t>
  </si>
  <si>
    <t>Wellcome Trust(Wellcome Trust)</t>
  </si>
  <si>
    <t>This research was made possible by a research grant from the Wellcome Trust to study medicine during the heroic age of Antarctic exploration. I would like to thank the librarians and archivists of the Royal Geographical Society, the Scott Polar Research Institute, the Natural History Museum, the Wellcome Library, Byrd Polar Research Center, Library of New South Wales, University of Edinburgh and Canterbury Museum for their help. I would also like to thank Dr P. Witt for translating parts of Dr Gazert's medical report of the first German expedition and Dr D. Lugg, Dr U Rack and Mr A.A. Jones for advice.</t>
  </si>
  <si>
    <t>10.1017/S0032247412000526</t>
  </si>
  <si>
    <t>WOS:000332698600009</t>
  </si>
  <si>
    <t>Stonehouse, B</t>
  </si>
  <si>
    <t>Stonehouse, Bernard</t>
  </si>
  <si>
    <t>Shackleton's emperor penguins</t>
  </si>
  <si>
    <t>The loss of the expedition ship SY Endurance, and the subsequent dispersal of staff and crew, resulted in very little scientific information emerging from the Imperial Trans-Antarctic Expedition 1914-1917. Among surviving records were the charts and diaries maintained by the ship's master, F.A. Worsley. During the voyage in January 1915 along the ice cliffs of the Weddell Sea coast, Worsley recorded the ship's daily progress, soundings and trawling and dredging activities, and also daily encounters with seals, whales and seabirds, On 12 January he noted a group of fledgling emperor penguin chicks (Aptenodytes forsteri) on an ice foot, clearly a remnant of what was then only the third-known breeding colony of the species. Shackleton's first published account of the expedition mentioned the chicks only in a brief note (one that was omitted from later editions), and no further report covering Worsley's observations appeared in scientific literature. In consequence the discovery of the breeding colony and records of emperor penguin distribution along the Weddell Sea coast have since been overlooked by avian biologists, regrettably including the present author. This paper discusses the identity of the colony, Worsley's observations that foreshadowed the later discovery of more breeding concentrations along the coast, and a possible reason why colonies occur at points of particular glaciological disturbance.</t>
  </si>
  <si>
    <t>Univ Cambridge, Scott Polar Res Inst, Cambridge CB2 1ER, England</t>
  </si>
  <si>
    <t>University of Cambridge</t>
  </si>
  <si>
    <t>Stonehouse, B (corresponding author), Univ Cambridge, Scott Polar Res Inst, Lensfield Rd, Cambridge CB2 1ER, England.</t>
  </si>
  <si>
    <t>bernardstonehouse@btinternet.com</t>
  </si>
  <si>
    <t>10.1017/S003224741300017X</t>
  </si>
  <si>
    <t>WOS:000332698600010</t>
  </si>
  <si>
    <t>Vasileva-Tonkova, E; Romanovskaya, V; Gladka, G; Gouliamova, D; Tomova, I; Stoilova-Disheva, M; Tashyrev, O</t>
  </si>
  <si>
    <t>Vasileva-Tonkova, Evgenia; Romanovskaya, Victoria; Gladka, Galina; Gouliamova, Dilnora; Tomova, Iva; Stoilova-Disheva, Margarita; Tashyrev, Oleksandr</t>
  </si>
  <si>
    <t>Ecophysiological properties of cultivable heterotrophic bacteria and yeasts dominating in phytocenoses of Galindez Island, maritime Antarctica</t>
  </si>
  <si>
    <t>WORLD JOURNAL OF MICROBIOLOGY &amp; BIOTECHNOLOGY</t>
  </si>
  <si>
    <t>Antarctic bacteria and yeasts; Antarctic phytocenoses; Galindez Island; Hydrolytic enzymes; Halotolerance; Psychrotolerance; UV resistance</t>
  </si>
  <si>
    <t>EXTRACELLULAR ENZYMATIC-ACTIVITIES; SP-NOV.; DIVERSITY; RADIATION; ENZYMES; LICHENS; UV; MICROORGANISMS; COMMUNITIES; TEMPERATURE</t>
  </si>
  <si>
    <t>Antarctic plants are stable specific microenvironments for microbial colonization that are still less explored. In this study, we investigated cultivable heterotrophic bacteria and yeasts dominating in plant samples collected from different terrestrial biotopes near Ukrainian Antarctic Base on Galindez Island, maritime Antarctica. Phylogenetic analysis revealed affiliation of the bacterial isolates to genera Pseudomonas, Stenotrophomonas, Brevundimonas, Sporosarcina, Dermacoccus, Microbacterium, Rothia and Frondihabitans, and the yeast isolates to genera Rhodosporidium, Cryptococcus, Leucosporidiella, Candida and Exophiala. Some ecophysiological properties of isolated strains were determined that are important in response to different stresses such as psychro- and halotolerance, UV-resistance and production of hydrolytic enzymes. The majority of isolates (88 %) was found to be psychrotolerant; all are halotolerant. Significant differences in survival subsequent to UV-C radiation were observed among the isolates, as measured by culturable counts. For the bacterial isolates, lethal doses in the range 80-600 J m(-2) were determined, and for the yeast isolates-in the range 300-1,000 J m(-2). Dermacoccus profundi U9 and Candida davisiana U6 were found as most UV resistant among the bacterial and yeast isolates, respectively. Producers of caseinase, gelatinase, beta-glucosidase, and cellulase were detected. To the best of our knowledge, this is the first report on isolation of UV resistant strain D. profundi, and Frondihabitans strain from Antarctica, and on detection of cellulase activity in Antarctic yeast strain C. davisiana. The results obtained contribute to clarifying adaptation strategies of Antarctic microbiota and its possible role in functional stability of Antarctic biocenoses. Stress tolerant strains were detected that are valuable for ecological and applied studies.</t>
  </si>
  <si>
    <t>[Vasileva-Tonkova, Evgenia; Gouliamova, Dilnora; Tomova, Iva; Stoilova-Disheva, Margarita] Bulgarian Acad Sci, Stephan Angeloff Inst Microbiol, Dept Gen Microbiol, BU-1113 Sofia, Bulgaria; [Vasileva-Tonkova, Evgenia; Gouliamova, Dilnora; Tomova, Iva; Stoilova-Disheva, Margarita] Bulgarian Acad Sci, Stephan Angeloff Inst Microbiol, Dept Appl Microbiol, BU-1113 Sofia, Bulgaria; [Romanovskaya, Victoria; Gladka, Galina; Tashyrev, Oleksandr] Natl Acad Sci Ukraine, Dept Biol Extremophil Microorganisms, Zabolotny Inst Microbiol &amp; Virol, UA-03680 Kiev, Ukraine</t>
  </si>
  <si>
    <t>Bulgarian Academy of Sciences; Stephan Angeloff Institute of Microbiology, Bulgarian Academy of Sciences; Bulgarian Academy of Sciences; Stephan Angeloff Institute of Microbiology, Bulgarian Academy of Sciences; National Academy of Sciences Ukraine; Zabolotny Institute of Microbiology &amp; Virology of NASU</t>
  </si>
  <si>
    <t>Vasileva-Tonkova, E (corresponding author), Bulgarian Acad Sci, Stephan Angeloff Inst Microbiol, Dept Gen Microbiol, Acad Georgi Bonchev Str,Bl 26, BU-1113 Sofia, Bulgaria.</t>
  </si>
  <si>
    <t>evaston@yahoo.com</t>
  </si>
  <si>
    <t>Tashyrev, Oleksandr/HNJ-4250-2023</t>
  </si>
  <si>
    <t>Tashyrev, Oleksandr/0000-0002-7698-5155; Gladka, Galina/0000-0003-3855-1847</t>
  </si>
  <si>
    <t>Ministry of Education, Youth and Science [DNTS Ukraine 01/1-2012]; State Agency on Science, Innovations and Informatization of Ukraine [M/299-2012]</t>
  </si>
  <si>
    <t>Ministry of Education, Youth and Science; State Agency on Science, Innovations and Informatization of Ukraine</t>
  </si>
  <si>
    <t>The authors are thankful the Bulgarian Science Fund of the Ministry of Education, Youth and Science (Contract No. DNTS Ukraine 01/1-2012), and State Agency on Science, Innovations and Informatization of Ukraine (Contract No. M/299-2012), for financial support of this work.</t>
  </si>
  <si>
    <t>SPRINGER</t>
  </si>
  <si>
    <t>DORDRECHT</t>
  </si>
  <si>
    <t>VAN GODEWIJCKSTRAAT 30, 3311 GZ DORDRECHT, NETHERLANDS</t>
  </si>
  <si>
    <t>0959-3993</t>
  </si>
  <si>
    <t>1573-0972</t>
  </si>
  <si>
    <t>WORLD J MICROB BIOT</t>
  </si>
  <si>
    <t>World J. Microbiol. Biotechnol.</t>
  </si>
  <si>
    <t>10.1007/s11274-013-1555-2</t>
  </si>
  <si>
    <t>Biotechnology &amp; Applied Microbiology</t>
  </si>
  <si>
    <t>AD1FU</t>
  </si>
  <si>
    <t>WOS:000332980300024</t>
  </si>
  <si>
    <t>Schwartsburd, PB; Prado, J</t>
  </si>
  <si>
    <t>Schwartsburd, Pedro Bond; Prado, Jefferson</t>
  </si>
  <si>
    <t>Subspecies of Hypolepis rugosula (Dennstaedtiaceae; Pteridophyta) around the world: morphological and biogeographic perspectives</t>
  </si>
  <si>
    <t>ACTA BOTANICA BRASILICA</t>
  </si>
  <si>
    <t>Cold refugia; Phegopteris rugosula; Polypodium rugosulum; taxonomic revision; widely distributed ferns</t>
  </si>
  <si>
    <t>VEGETATION; FERNS; FLORA</t>
  </si>
  <si>
    <t>The Hypolepis rugosula complex has been the subject of great debate among pteridologists: some have considered H. rugosula a single subcosmopolitan (or circum-Antarctic) species, whereas others have considered it a species-complex, encompassing several species. In the 1920s and 1930s, four geographically distinct varieties of H. rugosula were recognized. In this work, we present a new taxonomy (with new combinations and statuses, as well as typification and full synonymy), together with complete distribution data for the species, with an infraspecific classification based on morphological and biogeographic perspectives. Hypolepis rugosula occurs in southern temperate regions and high-elevation tropical regions of the Americas, Africa (including Madagascar), Oceania and the Philippines, as well as in some isolated oceanic volcanic islands (e. g., Saint Helena and Tristan da Cunha). Here, 15 geographically distinct subspecies are recognized. All subspecies are geographically segregated from each other, except in New Zealand, where two occur sympatrically-possibly due to two different arrival and colonization times. Four patterns of indument (referring to catenate and glandular hairs collectively) are distinguished. Different lineages are successful in their respective habitats; we observed two lineages with different ploidy levels (tetraploid and octoploid). Although long-distance dispersal is the best explanation for the extant distribution of H. rugosula; we do not exclude vicariance as a possible explanation for their occurrence on the land masses that were once united as Gondwana. Therefore, we are assuming that a fern species could remain unchanged for more than 70 Myr, and we are adopting the refugia theory, albeit with a different focus.</t>
  </si>
  <si>
    <t>[Schwartsburd, Pedro Bond] Univ Fed Vicosa, Dept Biol Vegetal, Vicosa, MG, Brazil; [Prado, Jefferson] Inst Bot, Herbario SP, Sao Paulo, Brazil</t>
  </si>
  <si>
    <t>Universidade Federal de Vicosa; Instituto de Botanica - Sao Paulo</t>
  </si>
  <si>
    <t>Schwartsburd, PB (corresponding author), Univ Fed Vicosa, Dept Biol Vegetal, Vicosa, MG, Brazil.</t>
  </si>
  <si>
    <t>pedro.schw@ufv.br</t>
  </si>
  <si>
    <t>Schwartsburd, Pedro B./I-1420-2012; Prado, Jefferson/C-4766-2012</t>
  </si>
  <si>
    <t>Prado, Jefferson/0000-0003-4783-3125</t>
  </si>
  <si>
    <t>CNPq-Brazil</t>
  </si>
  <si>
    <t>CNPq-Brazil(Conselho Nacional de Desenvolvimento Cientifico e Tecnologico (CNPQ))</t>
  </si>
  <si>
    <t>Kley Souza prepared the plant drawings. This work was part of the Doctoral Thesis submitted to the University of Sao Paulo. P. B. S. thanks CNPq-Brazil for the two Doctoral grants given (at Brazil and for the Sandwich Program abroad); We are grateful to D. Zappi, for the opportunity to develop part of the thesis and manuscript at the Herbarium of the Royal Botanic Gardens, in Surrey, England; to the curators and staff of all of the herbaria visited; to S. Ferreira da Silva, for the support provided; to Kley de Souza, for preparing the illustrations; to the two anonymous reviewers and the editors, for their constructive suggestions; and to I.M. Trotter, for correcting the grammar of the final version of the manuscript.</t>
  </si>
  <si>
    <t>SOC BOTANICA BRASIL</t>
  </si>
  <si>
    <t>SAO PAULO SP</t>
  </si>
  <si>
    <t>CAIXA POSTAL 3005, SAO PAULO SP, 01061-970, BRAZIL</t>
  </si>
  <si>
    <t>0102-3306</t>
  </si>
  <si>
    <t>1677-941X</t>
  </si>
  <si>
    <t>ACTA BOT BRAS</t>
  </si>
  <si>
    <t>Acta Bot. Bras.</t>
  </si>
  <si>
    <t>APR-JUN</t>
  </si>
  <si>
    <t>10.1590/S0102-33062014000200008</t>
  </si>
  <si>
    <t>Plant Sciences</t>
  </si>
  <si>
    <t>AI0GS</t>
  </si>
  <si>
    <t>gold, Green Published, Green Submitted</t>
  </si>
  <si>
    <t>WOS:000336524800008</t>
  </si>
  <si>
    <t>Walton, DWH</t>
  </si>
  <si>
    <t>Walton, D. W. H.</t>
  </si>
  <si>
    <t>Profiting from Antarctic science</t>
  </si>
  <si>
    <t>ANTARCTIC SCIENCE</t>
  </si>
  <si>
    <t>Editorial Material</t>
  </si>
  <si>
    <t>Natural Environment Research Council [bas010011] Funding Source: researchfish; NERC [bas010011] Funding Source: UKRI</t>
  </si>
  <si>
    <t>Natural Environment Research Council(UK Research &amp; Innovation (UKRI)Natural Environment Research Council (NERC)); NERC(UK Research &amp; Innovation (UKRI)Natural Environment Research Council (NERC))</t>
  </si>
  <si>
    <t>0954-1020</t>
  </si>
  <si>
    <t>1365-2079</t>
  </si>
  <si>
    <t>ANTARCT SCI</t>
  </si>
  <si>
    <t>Antarct. Sci.</t>
  </si>
  <si>
    <t>10.1017/S0954102014000091</t>
  </si>
  <si>
    <t>Environmental Sciences; Geography, Physical; Geosciences, Multidisciplinary</t>
  </si>
  <si>
    <t>Environmental Sciences &amp; Ecology; Physical Geography; Geology</t>
  </si>
  <si>
    <t>AL8GH</t>
  </si>
  <si>
    <t>Bronze</t>
  </si>
  <si>
    <t>WOS:000339375600001</t>
  </si>
  <si>
    <t>Colesie, C; Gommeaux, M; Green, TGA; Büdel, B</t>
  </si>
  <si>
    <t>Colesie, Claudia; Gommeaux, Maxime; Allan Green, T. G.; Buedel, Burkhard</t>
  </si>
  <si>
    <t>Biological soil crusts in continental Antarctica: Garwood Valley, southern Victoria Land, and Diamond Hill, Darwin Mountains region</t>
  </si>
  <si>
    <t>ecosystem functioning; lichens; McMurdo Dry Valleys; mosses; soil organic carbon contents; soil stabilization</t>
  </si>
  <si>
    <t>TERRESTRIAL VEGETATION; MOSS COMMUNITIES; CANADA GLACIER; DRY VALLEYS; DIVERSITY; ECOSYSTEM; CLASSIFICATION; CONSTRAINTS; LICHEN; CARBON</t>
  </si>
  <si>
    <t>Biological soil crusts are associations of lichens, mosses, algae, cyanobacteria, microfungi and bacteria in different proportions forming a thin veneer within the top centimetres of soil surfaces. They occur in all biomes, but particularly in arid and semi-arid regions, even in the most extreme climates. They carry out crucial ecosystem functions, such as soil stabilization, influencing water and nutrient cycles, and contribute to the formation of microniches for heterotrophic life. In continental Antarctica especially, these roles are essential because no higher plants provide such ecosystem services. We provide a detailed description of biological soil crusts from Garwood Valley, McMurdo Dry Valleys region (78 degrees S) and Diamond Hill (80 degrees S) in the Darwin Mountains region. The coverage was low at 3.3% and 0.8% of the soil surface. At Garwood Valley the crusts were composed of green algal lichens, cyanobacteria, several species of green algae and the moss Hennediella heimii (Hedw.) R.H. Zander. Diamond Hill crusts appear to be unique in not having any species of cyanobacteria. Major parts are embedded in the soil, and their thickness correlates with higher chlorophyll contents, higher soil organic carbon and nitrogen, which are fundamental components of this species poor cold desert zone.</t>
  </si>
  <si>
    <t>[Colesie, Claudia; Buedel, Burkhard] Univ Kaiserslautern, D-67653 Kaiserslautern, Germany; [Gommeaux, Maxime] Univ Reims, EA 3795, GEGENAA, F-51100 Reims, France; [Allan Green, T. G.] Univ Complutense, Dept Biol Vegetal 2, E-28040 Madrid, Spain; [Allan Green, T. G.] Univ Waikato, Dept Biol Sci, Hamilton 3240, New Zealand</t>
  </si>
  <si>
    <t>University of Kaiserslautern; Universite de Reims Champagne-Ardenne; Complutense University of Madrid; University of Waikato</t>
  </si>
  <si>
    <t>Colesie, C (corresponding author), Univ Kaiserslautern, POB 3049, D-67653 Kaiserslautern, Germany.</t>
  </si>
  <si>
    <t>claudia.colesie@biologie.uni-kl.de</t>
  </si>
  <si>
    <t>Colesie, Claudia/H-4258-2015</t>
  </si>
  <si>
    <t>Colesie, Claudia/0000-0003-1136-0290</t>
  </si>
  <si>
    <t>Deutsche Forschungsgemeinschaft [DFG SPP 1158, BU 666/11-1+2]; New Zealand Foundation for Research Science and Technology [UOWX0710]</t>
  </si>
  <si>
    <t>Deutsche Forschungsgemeinschaft(German Research Foundation (DFG)); New Zealand Foundation for Research Science and Technology(New Zealand Foundation for Research, Science and Technology)</t>
  </si>
  <si>
    <t>CC and BB gratefully acknowledge financial support by the Deutsche Forschungsgemeinschaft (DFG SPP 1158, BU 666/11-1+2). This research is part of the New Zealand Terrestrial Antarctic Biocomplexity Survey (NZTABS) and was supported by the New Zealand Foundation for Research Science and Technology (Grant UOWX0710, Understanding, valuing and protecting Antarctica's unique terrestrial ecosystems: predicting biocomplexity in Dry Valley ecosystems). This paper forms a contribution to the SCAR Programme Evolution and Biodiversity in the Antarctic (EBA) and Antarctica New Zealand's Latitudinal Gradient Project (LGP). Antarctica New Zealand is thanked for providing logistics both for the research in Antarctica and movements to Antarctica and their staff for assisting with removal of equipment. Special thanks to Craig Cary and his team (Biological Sciences, University of Waikato) for the organization and support during the Garwood Valley field trip (K020). We are indebted to Dr Rod Seppelt (Tasmanian Herbarium, Hobart, Australia) for determination of the moss species. Hans Reichenberger is thanked for field and lab assistance. Permits: sampling, entry into protected areas and equipment deployment were approved by the New Zealand authorities. We acknowledge the SCAR Antarctic Digital Database for making the download of the most recent Antarctic maps available online (http://www.add.scar.org/index.jsp). We are grateful to two anonymous reviewers for helpful criticisms on earlier versions of the manuscript.</t>
  </si>
  <si>
    <t>10.1017/S0954102013000291</t>
  </si>
  <si>
    <t>WOS:000339375600002</t>
  </si>
  <si>
    <t>Curcio, N; Tombari, A; Capitanio, F</t>
  </si>
  <si>
    <t>Curcio, Nadia; Tombari, Andrea; Capitanio, Fabiana</t>
  </si>
  <si>
    <t>Otolith morphology and feeding ecology of an Antarctic nototheniid, Lepidonotothen larseni</t>
  </si>
  <si>
    <t>feeding habitats; Nototheniidae; otoliths; Southern Ocean icefish</t>
  </si>
  <si>
    <t>SOUTH SHETLAND ISLANDS; SPECIES IDENTIFICATION; AGE-DETERMINATION; FISH; PATTERNS; DIET; SYSTEMATICS; TELEOSTS; SAGITTA; SHELF</t>
  </si>
  <si>
    <t>This study is based on the analysis of the stomach content and the morphology and morphometry of the three pairs of otoliths (sagitta, asteriscus and lapillus) of Lepidonotothen larseni (Lonnberg) collected at the South Shetland Islands and Antarctic Peninsula during summer, in order to find possible relationships between ontogenetic change of sagittal otolith shape and feeding ecology. Length-weight relationship resulted in a positive allometric growth, with juveniles and adults in good nutritional condition (Le Cren condition index &gt; 1), and with a decreasing trend from noon to late evening of the stomach repletion index. The stomach content consisted of several prey, with copepods and amphipods more frequent and abundant in juveniles, whereas euphausiids were in adults. The morphometric analysis of otoliths enabled us to relate different measurements with fish size, and those contributing mostly to separate juveniles from adults were the otolith and rostrum length and their percentage (R index). Juveniles proportionally showed a shorter and wider sagitta than adults reflected in a major E index because of a rounded shape and a minor R index because of a less developed rostrum. This pattern can be tentatively linked to the different habitat of juveniles and adults of this species, being respectively pelagic and epibenthic, as also evidenced by the ontogenetic change of feeding habits.</t>
  </si>
  <si>
    <t>[Curcio, Nadia; Tombari, Andrea; Capitanio, Fabiana] Univ Buenos Aires, Fac Ciencias Exactas &amp; Nat, Dept Biodiversidad &amp; Biol Expt, RA-1428 Buenos Aires, DF, Argentina; [Capitanio, Fabiana] Univ Buenos Aires, CONICET, Consejo Nacl Invest Cient &amp; Tecn, Inst Biodiversidad &amp; Biol Expt Aplicada IBBEA, RA-1428 Buenos Aires, DF, Argentina</t>
  </si>
  <si>
    <t>University of Buenos Aires; Consejo Nacional de Investigaciones Cientificas y Tecnicas (CONICET); University of Buenos Aires</t>
  </si>
  <si>
    <t>Curcio, N (corresponding author), Univ Buenos Aires, Fac Ciencias Exactas &amp; Nat, Dept Biodiversidad &amp; Biol Expt, RA-1428 Buenos Aires, DF, Argentina.</t>
  </si>
  <si>
    <t>nadia_curcio@hotmail.com</t>
  </si>
  <si>
    <t>Curcio, Nadia Soledad/0000-0002-2522-3732</t>
  </si>
  <si>
    <t>CONICET; UBACYT [20020100200048]</t>
  </si>
  <si>
    <t>CONICET(Consejo Nacional de Investigaciones Cientificas y Tecnicas (CONICET)); UBACYT</t>
  </si>
  <si>
    <t>The authors wish to thank Juliana Gimenez from University of Buenos Aires, Juan Martin Diaz de Astarloa from University of Mar del Plata and Daniel Fernandez from CADIC, Tierra del Fuego, for providing the material collected in the ARA Puerto Deseado campaign funded by CONICET. We are also grateful to Fernando Ramirez and Carlos Assis for the collaboration and suggestions for the copepod and otolith studies respectively. Thanks to Mariela Spinelli for help with editing the figures. This research was support by a UBACYT grant (no. 20020100200048) to F. Capitanio. We thank two referees, Dr La Mesa and an anonymous reviewer, for their valuable comments and constructive inputs that greatly improved the manuscript.</t>
  </si>
  <si>
    <t>10.1017/S0954102013000394</t>
  </si>
  <si>
    <t>Green Published</t>
  </si>
  <si>
    <t>WOS:000339375600003</t>
  </si>
  <si>
    <t>Clusella-Trullas, S; Boardman, L; Faulkner, KT; Peck, LS; Chown, SL</t>
  </si>
  <si>
    <t>Clusella-Trullas, S.; Boardman, L.; Faulkner, K. T.; Peck, L. S.; Chown, S. L.</t>
  </si>
  <si>
    <t>Effects of temperature on heat-shock responses and survival of two species of marine invertebrates from sub-Antarctic Marion Island</t>
  </si>
  <si>
    <t>Crustacea; heat stress; Hsp70; intertidal; microclimate; phenotypic plasticity</t>
  </si>
  <si>
    <t>ACCLIMATION-INDUCED VARIATION; UPPER THERMAL TOLERANCES; SNAILS GENUS TEGULA; HSP70 EXPRESSION; THERMOTOLERANCE; CRUSTACEA; PATTERNS; EXPOSURE; ZONATION; HEIGHT</t>
  </si>
  <si>
    <t>This study examined high temperature survival and heat shock protein 70 (Hsp70) responses to temperature variation for two marine invertebrate species on sub-Antarctic Marion Island. The isopod Exosphaeroma gigas Leach and the amphipod Hyale hirtipalma Dana had the same tolerance to high temperature. The mean upper temperature which was lethal for 50% of the population (upper lethal temperature, ULT50) was 26.4 degrees C for both species. However, the isopod E. gigas showed significant plasticity of ULT50, with a positive response to acclimation. In addition, the isopod had a heat shock response of Hsp70 at all acclimations, and the amount of Hsp70 protein increased significantly from basal levels upon an acute warm exposure after a cold acclimation. By contrast, the amphipod H. hirtipalma showed limited plasticity of ULT50 and no evidence for a heat shock response (failure of three different Hsp70 antibodies to bind to the extracted 70kDa proteins). Overall, these results reflect different flexibility of thermal tolerance of intertidal invertebrate species on Marion Island, with possible variation in the underlying cellular mechanisms, suggesting that warming associated with climate change may result in changes in species assemblage structure in sub-polar environments.</t>
  </si>
  <si>
    <t>[Clusella-Trullas, S.; Faulkner, K. T.] Univ Stellenbosch, Dept Bot &amp; Zool, Ctr Invas Biol, ZA-7602 Stellenbosch, South Africa; [Boardman, L.] Univ Stellenbosch, Dept Conservat Ecol &amp; Entomol, ZA-7602 Stellenbosch, South Africa; [Peck, L. S.] British Antarctic Survey, NERC, Cambridge CB3 0ET, England; [Chown, S. L.] Monash Univ, Sch Biol Sci, Clayton, Vic 3800, Australia</t>
  </si>
  <si>
    <t>Stellenbosch University; Stellenbosch University; UK Research &amp; Innovation (UKRI); Natural Environment Research Council (NERC); NERC British Antarctic Survey; Monash University</t>
  </si>
  <si>
    <t>Clusella-Trullas, S (corresponding author), Univ Stellenbosch, Dept Bot &amp; Zool, Ctr Invas Biol, Private Bag X1, ZA-7602 Stellenbosch, South Africa.</t>
  </si>
  <si>
    <t>sct333@sun.ac.za</t>
  </si>
  <si>
    <t>Boardman, Leigh/I-1901-2019; Chown, Steven/ABD-7646-2021; Chown, Steven/H-3347-2011</t>
  </si>
  <si>
    <t>Boardman, Leigh/0000-0002-7311-9913; Chown, Steven/0000-0001-6069-5105; Faulkner, Katelyn/0000-0002-3955-353X</t>
  </si>
  <si>
    <t>Antarctic Science bursary; British Antarctic Survey [41326]; South African National Antarctic Programme; Harry Crossley bursary; NERC [bas0100025] Funding Source: UKRI; Natural Environment Research Council [bas0100025] Funding Source: researchfish</t>
  </si>
  <si>
    <t>Antarctic Science bursary; British Antarctic Survey; South African National Antarctic Programme; Harry Crossley bursary; NERC(UK Research &amp; Innovation (UKRI)Natural Environment Research Council (NERC)); Natural Environment Research Council(UK Research &amp; Innovation (UKRI)Natural Environment Research Council (NERC))</t>
  </si>
  <si>
    <t>The authors thank Sharon Kang for assistance with protein extractions and Jomien Mouton and Dr Craig Kinnear of the Magic Lab, Division of Molecular Biology and Human Genetics, Department Biomedical Sciences, University of Stellenbosch for advice and the kind use of their facilities for Western blotting. John S. Terblanche and two anonymous referees provided useful comments on the manuscript. This research was supported by an Antarctic Science bursary to SCT, British Antarctic Survey Grant 41326, the South African National Antarctic Programme and Harry Crossley bursary to LB.</t>
  </si>
  <si>
    <t>10.1017/S0954102013000473</t>
  </si>
  <si>
    <t>Green Accepted</t>
  </si>
  <si>
    <t>WOS:000339375600005</t>
  </si>
  <si>
    <t>Levy, JS; Fountain, AG; Gooseff, MN; Barrett, JE; Vantreese, R; Welch, KA; Lyons, WB; Nielsen, UN; Wall, DH</t>
  </si>
  <si>
    <t>Levy, Joseph S.; Fountain, Andrew G.; Gooseff, Michael N.; Barrett, J. E.; Vantreese, Robert; Welch, Kathy A.; Lyons, W. Berry; Nielsen, Uffe N.; Wall, Diana H.</t>
  </si>
  <si>
    <t>Water track modification of soil ecosystems in the Lake Hoare basin, Taylor Valley, Antarctica</t>
  </si>
  <si>
    <t>active layer; ground water; invertebrates; McMurdo Dry Valleys; terrestrial ecosystem</t>
  </si>
  <si>
    <t>MCMURDO DRY VALLEYS; GEOCHEMISTRY; INVERTEBRATES; COMMUNITIES; ENVIRONMENT; PERMAFROST; PHOSPHORUS; EXTRACTION; BIOMASS; SEEPS</t>
  </si>
  <si>
    <t>Water tracks are zones of high soil moisture that route shallow groundwater down-slope, through the active layer and above the ice table. A water track in Taylor Valley, McMurdo Dry Valleys, was analysed for surface hydrogeological, geochemical, and biological characteristics in order to test the hypothesis that water tracks provide spatial structure to Antarctic soil ecosystems by changing the physical conditions in the soil environment within the water tracks from those outside the water tracks. The presence of the water track significantly affected the distribution of biotic and abiotic ecosystem parameters: increasing soil moisture, soil salinity, and soil organic matter within the water track relative to soils outside the water track, and reducing soil phosphate, soil pH, and the population of nematodes and other invertebrates in water track soils relative to off track soils. These results suggest that water tracks are distinct and extreme ecological zones in Taylor Valley that provide long-range (kilometre to multi-kilometre) structure to Antarctic hillslope ecosystems through physical control on soil moisture and solute content. Contrary to expectations, these high soil-moisture sites are not hotspots for faunal biological activity because high soil salinity makes them suitable habitats for only the most halo-tolerant organisms.</t>
  </si>
  <si>
    <t>[Levy, Joseph S.] Oregon State Univ, Coll Earth Ocean &amp; Atmospher Sci, Corvallis, OR 97331 USA; [Fountain, Andrew G.] Portland State Univ, Dept Geol, Portland, OR 97210 USA; [Gooseff, Michael N.] Penn State Univ, Dept Civil &amp; Environm Engn, University Pk, PA 16802 USA; [Barrett, J. E.] Virginia Tech, Dept Biol Sci, Blacksburg, VA 24061 USA; [Vantreese, Robert] Montana State Univ, Dept Land Resources &amp; Environm Sci, Bozeman, MT 59717 USA; [Welch, Kathy A.; Lyons, W. Berry] Ohio State Univ, Byrd Polar Res Ctr, Columbus, OH 43210 USA; [Welch, Kathy A.; Lyons, W. Berry] Ohio State Univ, Sch Earth Sci, Columbus, OH 43210 USA; [Nielsen, Uffe N.] Univ Western Sydney, Hawkesbury Inst Environm, Penrith, NSW 2751, Australia; [Nielsen, Uffe N.] Univ Western Sydney, Sch Sci &amp; Hlth, Penrith, NSW 2751, Australia; [Nielsen, Uffe N.; Wall, Diana H.] Colorado State Univ, Nat Resource Ecol Lab, Ft Collins, CO 80523 USA; [Nielsen, Uffe N.; Wall, Diana H.] Colorado State Univ, Dept Biol, Ft Collins, CO 80523 USA</t>
  </si>
  <si>
    <t>Oregon State University; Portland State University; Pennsylvania Commonwealth System of Higher Education (PCSHE); Pennsylvania State University; Pennsylvania State University - University Park; Virginia Polytechnic Institute &amp; State University; Montana State University System; Montana State University Bozeman; University System of Ohio; Ohio State University; University System of Ohio; Ohio State University; Western Sydney University; Western Sydney University; Colorado State University; Colorado State University</t>
  </si>
  <si>
    <t>Levy, JS (corresponding author), Univ Texas Austin, Inst Geophys, Austin, TX 78758 USA.</t>
  </si>
  <si>
    <t>joe.levy@utexas.edu</t>
  </si>
  <si>
    <t>Gooseff, Michael N/N-6087-2015; Wall, Diana H/F-5491-2011; Barrett, John/D-5851-2016</t>
  </si>
  <si>
    <t>Gooseff, Michael N/0000-0003-4322-8315; Welch, Kathleen/0000-0003-1028-3086; Levy, Joseph/0000-0002-6222-139X; Barrett, John/0000-0002-7610-0505; Nielsen, Uffe N/0000-0003-2400-7453</t>
  </si>
  <si>
    <t>Antarctic Organisms and Ecosystems Program in the Antarctic Sciences Division of the National Science Foundation [ANT-0851965, ANT-1142184]; MCM-LTER [ANT-1115245]; Directorate For Geosciences; Office of Polar Programs (OPP) [1115245] Funding Source: National Science Foundation; Directorate For Geosciences; Office of Polar Programs (OPP) [1343649] Funding Source: National Science Foundation</t>
  </si>
  <si>
    <t>Antarctic Organisms and Ecosystems Program in the Antarctic Sciences Division of the National Science Foundation(National Science Foundation (NSF)NSF - Directorate for Geosciences (GEO)); MCM-LTER; Directorate For Geosciences; Office of Polar Programs (OPP)(National Science Foundation (NSF)NSF - Directorate for Geosciences (GEO)); Directorate For Geosciences; Office of Polar Programs (OPP)(National Science Foundation (NSF)NSF - Directorate for Geosciences (GEO))</t>
  </si>
  <si>
    <t>This work is supported by the Antarctic Organisms and Ecosystems Program in the Antarctic Sciences Division of the National Science Foundation (grant #ANT-0851965 and #ANT-1142184 to JSL and the MCM-LTER, award ANT-1115245). Quickbird image data was provided courtesy of Dr Paul Morin and the Polar Geospatial Information Centre. LiDAR topography was kindly made possible through a joint effort from the NSF, NASA, and the USGS, with basic post processing from the Byrd Polar Research Center. Also, thanks to Dr Adrian Howkins for access to archival photographs of WT1. This project has benefited greatly from discussion with MCM-LTER team members (www.mcmlter.org), from two anonymous reviewers, and from field and laboratory assistance from Kevin Geyer, Deb Leslie, Thomas Nylen, and Steve Wilson. Finally, we would like to thank Dr J. Reed Glassmann of Willamette Geological Service for XRD analysis services.</t>
  </si>
  <si>
    <t>10.1017/S095410201300045X</t>
  </si>
  <si>
    <t>Green Submitted</t>
  </si>
  <si>
    <t>WOS:000339375600006</t>
  </si>
  <si>
    <t>Orejola, N; Passchier, S; Brinkhuis, H; Dotti, CE; Klaus, A; Fehr, A; Williams, T; Bendle, JAP; Bijl, PK; Bohaty, SM; Carr, SA; Dunbar, RB; Flores, JA; Gonzàlez, JJ; Hayden, TG; Iwai, M; Jimenez-Espejo, FJ; Katsuki, K; Kong, GS; McKay, RM; Nakai, M; Olney, MP; Passchier, S; Pekar, SF; Pross, J; Riesselman, C; Röhl, U; Sakai, T; Shrivastava, PK; Stickley, CE; Sugisaki, S; Tauxe, L; Tuo, ST; van de Flierdt, T; Welsh, K; Yamane, M</t>
  </si>
  <si>
    <t>Orejola, Nadine; Passchier, Sandra; Brinkhuis, Hendrik; Escutia Dotti, Carlota; Klaus, Adam; Fehr, Annick; Williams, Trevor; Bendle, James A. P.; Bijl, Peter K.; Bohaty, Steven M.; Carr, Stephanie A.; Dunbar, Robert B.; Flores, Jose-Abel; Gonzalez, Jhon J.; Hayden, Travis G.; Iwai, Masao; Jimenez-Espejo, Francisco J.; Katsuki, Kota; Kong, Gee Soo; McKay, Robert M.; Nakai, Mutsumi; Olney, Matthew P.; Passchier, Sandra; Pekar, Stephen F.; Pross, Joerg; Riesselman, Christina; Roehl, Ursula; Sakai, Toyosaburo; Shrivastava, Prakash Kumar; Stickley, Catherine E.; Sugisaki, Saiko; Tauxe, Lisa; Tuo, Shouting; van de Flierdt, Tina; Welsh, Kevin; Yamane, Masako</t>
  </si>
  <si>
    <t>Iodp Expedition 318 Scientists</t>
  </si>
  <si>
    <t>Sedimentology of lower Pliocene to Upper Pleistocene diamictons from IODP Site U1358, Wilkes Land margin, and implications for East Antarctic Ice Sheet dynamics</t>
  </si>
  <si>
    <t>continental shelf; geochemistry; heavy minerals; particle size; provenance</t>
  </si>
  <si>
    <t>GLACIAL-MARINE; GEORGE-V; CONTINENTAL-MARGIN; SIZE ANALYSIS; SHELF; SEA; HISTORY; ADELIE</t>
  </si>
  <si>
    <t>During the early Pliocene a dynamic marine-based ice sheet retreated from the Wilkes Land margin with periodic ice advances beyond Last Glacial Maximum position. A change in sand provenance is indicative of a more stable Mertz Glacier system during the Late Pleistocene. East Antarctic Ice Sheet (EAIS) dynamics were evaluated through the analysis of marine diamictons from Integrated Ocean Drilling Program (IODP) site U1358 on the Adelie Land continental shelf. The warmer than present conditions of the early Pliocene coupled with the site's proximity to the landward sloping Wilkes Subglacial Basin provided the rationale for the investigations at this site. Based on visual core descriptions, particle size distributions, and major and trace element ratios, we interpret the origin of lower Pliocene strata by intermittent glaciomarine sedimentation with open-marine conditions and extensive glacial advances to the outer shelf. Heavy mineral analyses show that sand-sized detritus in the lower Pliocene strata was sourced from local intermediate to high-grade metamorphic rocks near Mertz Glacier. In contrast, Pleistocene diamictons exhibit a larger contribution from a prehnite-pumpellyite greenschist facies suggesting supply via iceberg rafting from northern Victoria Land. From this sedimentological evidence, we postulate a shift from a dynamic EAIS margin in the early Pliocene to possible stabilization in the Pleistocene.</t>
  </si>
  <si>
    <t>[Orejola, Nadine; Passchier, Sandra] Montclair State Univ, Dept Earth &amp; Environm Studies, 1 Normal Ave, Montclair, NJ 07043 USA; [Brinkhuis, Hendrik; Bijl, Peter K.] Univ Utrecht, Inst Environm Biol, Lab Palaeobot &amp; Palynol, Budapestlaan 4, NL-3584 CD Utrecht, Netherlands; [Escutia Dotti, Carlota] Univ Granada, CSIC, Inst Andaluz Ciencias Tierra, Campus Fuentenueva S-N, Granada 18002, Spain; [Klaus, Adam] Texas A&amp;M Univ, US Implementing Org Integrated Ocean Drilling Pro, 1000 Discovery Dr, College Stn, TX 77845 USA; [Fehr, Annick] Rhein Westfal TH Aachen, Inst Appl Geophys &amp; Geothermal Energy, Mathieustr 6, D-52074 Aachen, Germany; [Williams, Trevor] Columbia Univ, Lamont Doherty Geol Observ, Borehole Res Grp, POB 1000,61 Route 9W, Palisades, NY 10964 USA; [Bendle, James A. P.] Univ Glasgow, Geog &amp; Earth Sci, Gregory Bldg,Lilybank Gardens, Glasgow G128QQ, Lanark, Scotland; [Bendle, James A. P.] Univ Birmingham, Sch Geog Earth &amp; Environm Sci, Aston Webb Bldg, Birmingham B15 2TT, W Midlands, England; [Bohaty, Steven M.] Univ Southampton, Sch Ocean &amp; Earth Sci, European Way, Southampton SO14 3ZH, Hants, England; [Carr, Stephanie A.] Colorado Sch Mines, Dept Chem &amp; Geochem, 1500 Illinois St, Golden, CO 80401 USA; [Dunbar, Robert B.] Stanford Univ, Dept Environm Earth Syst Sci, 325 Braun Hall, Stanford, CA 94305 USA; [Flores, Jose-Abel] Univ Salamanca, Fac Ciencias, Dept Geol, GGO, E-37008 Salamanca, Spain; [Gonzalez, Jhon J.] Univ Granada, Inst Andaluz Ciencias Tierra, Campus Fuentenueva s-n, Granada 18002, Spain; [Hayden, Travis G.] Western Michigan Univ, Dept Geol, 1187 Rood Hall,1903 West Michigan Ave, Kalamazoo, MI 49008 USA; [Iwai, Masao] Kochi Univ, Dept Nat Sci, 2-5-1 Akebono Cho, Kochi 7808520, Japan; [Jimenez-Espejo, Francisco J.] Japan Agcy Marine Earth Sci &amp; Technol, Inst Res Earth Evolut IFREE, Natsushima Cho 2-15, Yokosuka, Kanagawa 2370061, Japan; [Katsuki, Kota] Kochi Univ, Marine Ctr Adv Core Res, Nanko Ku, B200 Monobe, Kochi 7838502, Japan; [Kong, Gee Soo] Korea Inst Geosci &amp; Mineral Resources, Petr &amp; Marine Res Div, 30 Gajeong Dong, Daejeon 305350, South Korea; [McKay, Robert M.] Victoria Univ Wellington, Antarctic Res Ctr, POB 600, Wellington 6140, New Zealand; [Nakai, Mutsumi] Daito Bunka Univ, Dept Educ, Itabashi Ku, 1-9-1 Takashima Daira, Tokyo 1758571, Japan; [Olney, Matthew P.] Univ S Florida, Dept Geol, 4202 East Fowler Ave,SCA 528, Tampa, FL 33620 USA; [Passchier, Sandra] Montclair State Univ, Earth &amp; Environm Studies, 252 Mallory Hall,1 Normal Ave, Montclair, NJ 07043 USA; [Pekar, Stephen F.] CUNY Queens Coll, Sch Earth &amp; Environm Sci, 65-30 Kissena Blvd, Flushing, NY 11367 USA; [Pross, Joerg] Goethe Univ Frankfurt, Inst Geosci, Altenhoeferallee 1, D-60438 Frankfurt, Germany; [Pross, Joerg] Heidelberg Univ, Inst Earth Sci, Paleoenvironm Dynam Grp, D-69120 Heidelberg, Germany; [Riesselman, Christina] Stanford Univ, Dept Geol &amp; Environm Sci, Braun Hall,Bldg 320, Stanford, CA 94305 USA; [Riesselman, Christina] US Geol Survey, Eastern Geol &amp; Paleoclimate Sci Ctr, Natl Ctr 926A, Reston, VA 20192 USA; [Roehl, Ursula] Univ Bremen, MARUM Ctr Marine Environm Sci, Leobener Str, D-28359 Bremen, Germany; [Sakai, Toyosaburo] Utsunomiya Univ, Dept Geol, 350 Mine Machi, Utsunomiya, Tochigi 3218505, Japan; [Shrivastava, Prakash Kumar] Geol Survey India, Antarctica Div, NH5P,NIT, Faridabad, Haryana 121001, India; [Stickley, Catherine E.] Univ Tromso, Dept Geol, N-9037 Tromso, Norway; [Sugisaki, Saiko] Grad Univ Adv Study, Dept Polar Sci, 10-3 Midori Cho, Tachikawa, Tokyo 1908518, Japan; [Sugisaki, Saiko] Japan Agcy Marine Earth Sci &amp; Technol, Frontier Bldg 4F,2-15 Natsushima Cho, Yokosuka, Kanagawa 2370061, Japan; [Tauxe, Lisa] Univ Calif San Diego, Scripps Inst Oceanog, Geosci Res Div, La Jolla, CA 92093 USA; [Tuo, Shouting] Tongji Univ, Sch Ocean &amp; Earth Sci, 1239 Spring Rd, Shanghai 200092, Peoples R China; [van de Flierdt, Tina] Univ London Imperial Coll Sci Technol &amp; Med, Dept Earth Sci &amp; Engn, London SW7 2AZ, England; [Welsh, Kevin] Univ Queensland, Sch Earth Sci, Brisbane, Qld 4072, Australia; [Yamane, Masako] Univ Tokyo, Earth &amp; Planetary Sci, Bunkyo Ku, 7-3-1 Hongo, Tokyo 1130033, Japan</t>
  </si>
  <si>
    <t>Montclair State University; Utrecht University; Consejo Superior de Investigaciones Cientificas (CSIC); CSIC - Instituto Andaluz de Ciencias de la Tierra (IACT); University of Granada; Texas A&amp;M University System; Texas A&amp;M University College Station; RWTH Aachen University; Columbia University; University of Glasgow; University of Birmingham; University of Southampton; NERC National Oceanography Centre; Colorado School of Mines; Stanford University; University of Salamanca; University of Granada; Consejo Superior de Investigaciones Cientificas (CSIC); CSIC - Instituto Andaluz de Ciencias de la Tierra (IACT); Western Michigan University; Kochi University; Japan Agency for Marine-Earth Science &amp; Technology (JAMSTEC); Kochi University; Korea Institute of Geoscience &amp; Mineral Resources (KIGAM); Victoria University Wellington; State University System of Florida; University of South Florida; Montclair State University; City University of New York (CUNY) System; Queens College NY (CUNY); Goethe University Frankfurt; Ruprecht Karls University Heidelberg; Stanford University; United States Department of the Interior; United States Geological Survey; University of Bremen; Utsunomiya University; Geological Survey India; UiT The Arctic University of Tromso; Japan Agency for Marine-Earth Science &amp; Technology (JAMSTEC); University of California System; University of California San Diego; Scripps Institution of Oceanography; Tongji University; Imperial College London; University of Queensland; University of Tokyo</t>
  </si>
  <si>
    <t>Passchier, S (corresponding author), Montclair State Univ, Dept Earth &amp; Environm Studies, 1 Normal Ave, Montclair, NJ 07043 USA.</t>
  </si>
  <si>
    <t>passchiers@mail.montclair.edu; H.Brinkhuis@uu.nl; cescutia@ugr.es; aklaus@iodp.tamu.edu; a.fehr@geophysik.rwth-aachen.de; trevor@ldeo.columbia.edu; J.Bendle@bham.ac.uk; p.k.bijl@uu.nl; S.Bohaty@noc.soton.ac.uk; scarr@mines.edu; dunbar@stanford.edu; flores@usal.es; jhonjairo@ugr.es; t4hayden@wmich.edu; iwaim@kochi-u.ac.jp; fjjspejo@jamstec.go.jp; jm-kkota@kochi-u.ac.jp; kong@kigam.re.kr; robert.mckay@vuw.ac.nz; nakai@ic.daito.ac.jp; cyclingolney@yahoo.co.uk; passchiers@mail.montclair.edu; stephen.pekar@qc.cuny.edu; joerg.pross@geow.uni-heidelberg.de; criesselman@gmail.com; uroehl@marum.de; toyo.s.sakai@nifty.ne.jp; pks.shri@gmail.com; catherine.stickley@gmail.com; saiko1219@aol.com; ltauxe@ucsd.edu; shouting@mail.tongji.edu.cn; tina.vandeflierdt@imperial.ac.uk; k.welsh1@uq.edu.au; yamane@eps.s.u-tokyo.ac.jp</t>
  </si>
  <si>
    <t>Brinkhuis, Henk/IUO-8165-2023; Welsh, Kevin/A-9808-2012; Passchier, Sandra/B-1993-2008; Jimenez-Espejo, Francisco J/F-4486-2016; Williams, Trevor/L-7670-2014; Passchier, Sandra/AAQ-2243-2021; Flores, José-Abel/D-4218-2009; Riesselman, Christina R/H-5037-2012; Escutia, Carlota/B-8614-2015; McKay, Robert/N-2449-2015; Röhl, Ursula/G-5986-2011; Jimenez-Espejo, Francisco J./AAR-2318-2020; Passchier, Sandra/GYU-2381-2022</t>
  </si>
  <si>
    <t>Brinkhuis, Henk/0000-0003-0253-6610; Passchier, Sandra/0000-0001-7204-7025; Jimenez-Espejo, Francisco J/0000-0002-0335-8580; Passchier, Sandra/0000-0001-7204-7025; Flores, José-Abel/0000-0003-1909-293X; McKay, Robert/0000-0002-5602-6985; Röhl, Ursula/0000-0001-9469-7053; Yamane, Masako/0000-0002-5063-0719; Dunbar, Robert/0000-0002-9728-5609</t>
  </si>
  <si>
    <t>shipboard salary and post-expedition activities [IUSSP410-T318A72]; National Science Foundation [OCE 1060080]; Merck and Roche Foundation; NERC [NE/H025162/1, NE/H014144/1] Funding Source: UKRI; Natural Environment Research Council [NE/H025162/1, NE/H014144/1] Funding Source: researchfish; Directorate For Geosciences; Division Of Ocean Sciences [1060080] Funding Source: National Science Foundation</t>
  </si>
  <si>
    <t>shipboard salary and post-expedition activities; National Science Foundation(National Science Foundation (NSF)); Merck and Roche Foundation; 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t>
  </si>
  <si>
    <t>This research was supported by a shipboard salary and post-expedition activities award (# IUSSP410-T318A72) administered by the Consortium for Ocean Leadership, the National Science Foundation (award # OCE 1060080), and an undergraduate research award through the SHIP program at Montclair State University (sponsored by the Merck and Roche Foundation). Samples were provided by the Integrated Ocean Drilling Program. We thank the reviewers of this paper, Claus-Dieter Hillenbrand and Julie Brigham-Grette, for their valuable and insightful contributions.</t>
  </si>
  <si>
    <t>10.1017/S0954102013000527</t>
  </si>
  <si>
    <t>WOS:000339375600009</t>
  </si>
  <si>
    <t>Rimbu, N; Lohmann, G; König-Langlo, G; Necula, C; Ionita, M</t>
  </si>
  <si>
    <t>Rimbu, N.; Lohmann, G.; Koenig-Langlo, G.; Necula, C.; Ionita, M.</t>
  </si>
  <si>
    <t>Daily to intraseasonal oscillations at Antarctic research station Neumayer</t>
  </si>
  <si>
    <t>climate variables; Madden-Julian Oscillation; Southern Annular Mode</t>
  </si>
  <si>
    <t>CLIMATE VARIABILITY; REANALYSIS; MODES; CIRCULATION; TROPICS; WIND; ENSO</t>
  </si>
  <si>
    <t>High temporal resolution (three hours) records of temperature, wind speed and sea level pressure recorded at Antarctic research station Neumayer (70 degrees S, 8 degrees W) during 1982-2011 are analysed to identify oscillations from daily to intraseasonal timescales. The diurnal cycle dominates the three-hourly time series of temperature during the Antarctic summer and is almost absent during winter. In contrast, the three-hourly time series of wind speed and sea level pressure show a weak diurnal cycle. The dominant pattern of the intraseasonal variability of these quantities, which captures the out-of-phase variation of temperature and wind speed with sea level pressure, shows enhanced variability at timescales of, similar to 40 days and, similar to 80 days, respectively. Correlation and composite analysis reveal that these oscillations may be related to tropical intraseasonal oscillations via large-scale eastward propagating atmospheric circulation wave-trains. The second pattern of intraseasonal variability, which captures in-phase variations of temperature, wind and sea level pressure, shows enhanced variability at timescales of, similar to 35, similar to 60 and similar to 120 days. These oscillations are attributed to the Southern Annular Mode/Antarctic Oscillation (SAM/AAO) which shows enhanced variability at these timescales. We argue that intraseasonal oscillations of tropical climate and SAM/AAO are related to distinct patterns of climate variables measured at Neumayer.</t>
  </si>
  <si>
    <t>[Rimbu, N.; Lohmann, G.; Koenig-Langlo, G.; Ionita, M.] Alfred Wegener Inst Polar &amp; Marine Res, D-27570 Bremerhaven, Germany; [Rimbu, N.; Necula, C.] Univ Bucharest, Fac Phys, Bucharest, Romania</t>
  </si>
  <si>
    <t>Helmholtz Association; Alfred Wegener Institute, Helmholtz Centre for Polar &amp; Marine Research; University of Bucharest</t>
  </si>
  <si>
    <t>Rimbu, N (corresponding author), Alfred Wegener Inst Polar &amp; Marine Res, Bussestr 24, D-27570 Bremerhaven, Germany.</t>
  </si>
  <si>
    <t>Norel.Rimbu@awi.de</t>
  </si>
  <si>
    <t>Rimbu, Norel/C-4799-2011; Ionita, Monica/AAX-3171-2020; Konig-Langlo, Gert/K-5048-2012; Lohmann, Gerrit/M-7453-2016; Necula, Cristian/C-1063-2015</t>
  </si>
  <si>
    <t>Ionita, Monica/0000-0001-8240-4380; Konig-Langlo, Gert/0000-0002-6100-4107; Lohmann, Gerrit/0000-0003-2089-733X; Necula, Cristian/0000-0001-7684-9842</t>
  </si>
  <si>
    <t>AWI through REKLIM project; European Social Fund within the Sectorial Operational Programme Human Resources Development [POSDRU/89/1.5/S/58852]</t>
  </si>
  <si>
    <t>AWI through REKLIM project; European Social Fund within the Sectorial Operational Programme Human Resources Development</t>
  </si>
  <si>
    <t>We are grateful to the journal editor, Dr L. Padman, and two anonymous reviewers for their constructive comments and detailed edits which lead to a significant improvement of the manuscript. This research was supported by AWI through REKLIM project. Necula Cristian was supported by the POSDRU/89/1.5/S/58852 project Postdoctoral programme for training scientific researchers'' co-financed by the European Social Fund within the Sectorial Operational Programme Human Resources Development 2007-13.</t>
  </si>
  <si>
    <t>10.1017/S0954102013000540</t>
  </si>
  <si>
    <t>hybrid, Green Submitted</t>
  </si>
  <si>
    <t>WOS:000339375600010</t>
  </si>
  <si>
    <t>Matthews, TG; Ade, PAR; Angilè, FE; Benton, SJ; Chapin, EL; Chapman, NL; Devlin, MJ; Fissel, LM; Fukui, Y; Gandilo, NN; Gundersen, JO; Hargrave, PC; Klein, J; Korotkov, AL; Moncelsi, L; Mroczkowski, TK; Netterfield, CB; Novak, G; Nutter, D; Olmi, L; Pascale, E; Poidevin, F; Savini, G; Scott, D; Shariff, JA; Soler, JD; Tachihara, K; Thomas, NE; Truch, MDP; Tucker, CE; Tucker, GS; Ward-Thompson, D</t>
  </si>
  <si>
    <t>Matthews, Tristan G.; Ade, Peter A. R.; Angile, Francesco E.; Benton, Steven J.; Chapin, Edward L.; Chapman, Nicholas L.; Devlin, Mark J.; Fissel, Laura M.; Fukui, Yasuo; Gandilo, Natalie N.; Gundersen, Joshua O.; Hargrave, Peter C.; Klein, Jeffrey; Korotkov, Andrei L.; Moncelsi, Lorenzo; Mroczkowski, Tony K.; Netterfield, Calvin B.; Novak, Giles; Nutter, David; Olmi, Luca; Pascale, Enzo; Poidevin, Frederick; Savini, Giorgio; Scott, Douglas; Shariff, Jamil A.; Soler, Juan Diego; Tachihara, Kengo; Thomas, Nicholas E.; Truch, Matthew D. P.; Tucker, Carole E.; Tucker, Gregory S.; Ward-Thompson, Derek</t>
  </si>
  <si>
    <t>LUPUS I OBSERVATIONS FROM THE 2010 FLIGHT OF THE BALLOON-BORNE LARGE APERTURE SUBMILLIMETER TELESCOPE FOR POLARIMETRY</t>
  </si>
  <si>
    <t>ASTROPHYSICAL JOURNAL</t>
  </si>
  <si>
    <t>ISM: magnetic fields; stars: formation; techniques: polarimetric</t>
  </si>
  <si>
    <t>MAGNETIC-FIELD STRUCTURE; MOLECULAR CLOUD MODELS; STAR-FORMATION; IMAGING POLARIMETRY; TAURUS; POLARIZATION; CORES; MASS; ALIGNMENT; OPHIUCHUS</t>
  </si>
  <si>
    <t>The Balloon-borne Large Aperture Submillimeter Telescope for Polarimetry (BLASTPol) was created by adding polarimetric capability to the BLAST experiment that was flown in 2003, 2005, and 2006. BLASTPol inherited BLAST's 1.8 m primary and its Herschel/SPIRE heritage focal plane that allows simultaneous observation at 250, 350, and 500 mu m. We flew BLASTPol in 2010 and again in 2012. Both were long duration Antarctic flights. Here we present polarimetry of the nearby filamentary dark cloud Lupus I obtained during the 2010 flight. Despite limitations imposed by the effects of a damaged optical component, we were able to clearly detect submillimeter polarization on degree scales. We compare the resulting BLASTPol magnetic field map with a similar map made via optical polarimetry. (The optical data were published in 1998 by J. Rizzo and collaborators.) The two maps partially overlap and are reasonably consistent with one another. We compare these magnetic field maps to the orientations of filaments in Lupus I, and we find that the dominant filament in the cloud is approximately perpendicular to the large-scale field, while secondary filaments appear to run parallel to the magnetic fields in their vicinities. This is similar to what is observed in Serpens South via near-IR polarimetry, and consistent with what is seen in MHD simulations by F. Nakamura and Z. Li.</t>
  </si>
  <si>
    <t>[Matthews, Tristan G.; Chapman, Nicholas L.; Novak, Giles] Northwestern Univ, Ctr Interdisciplinary Explorat &amp; Res Astrophys CI, Evanston, IL 60208 USA; [Matthews, Tristan G.; Chapman, Nicholas L.; Novak, Giles] Northwestern Univ, Dept Phys &amp; Astron, Evanston, IL 60208 USA; [Ade, Peter A. R.; Hargrave, Peter C.; Nutter, David; Pascale, Enzo; Tucker, Carole E.] Cardiff Univ, Sch Phys &amp; Astron, Cardiff CF24 3AA, S Glam, Wales; [Angile, Francesco E.; Devlin, Mark J.; Klein, Jeffrey; Truch, Matthew D. P.] Univ Penn, Dept Phys &amp; Astron, Philadelphia, PA 19104 USA; [Benton, Steven J.; Fissel, Laura M.; Gandilo, Natalie N.; Netterfield, Calvin B.; Shariff, Jamil A.; Soler, Juan Diego] Univ Toronto, Dept Astron &amp; Astrophys, Toronto, ON M5S 3H4, Canada; [Chapin, Edward L.] ESAC, XMM SOC, E-28691 Madrid, Spain; [Fukui, Yasuo; Tachihara, Kengo] Nagoya Univ, Dept Phys, Nagoya, Aichi 4648602, Japan; [Gundersen, Joshua O.; Thomas, Nicholas E.] Univ Miami, Dept Phys, Coral Gables, FL 33146 USA; [Korotkov, Andrei L.; Tucker, Gregory S.] Brown Univ, Dept Phys, Providence, RI 02912 USA; [Moncelsi, Lorenzo; Mroczkowski, Tony K.] CALTECH, Pasadena, CA 91125 USA; [Olmi, Luca] Univ Puerto Rico, Dept Phys, UPR Stn, San Juan, PR 00936 USA; [Olmi, Luca] INAF, Osservatorio Astrofis Arcetri, I-50125 Florence, Italy; [Poidevin, Frederick; Savini, Giorgio] UCL, Dept Phys &amp; Astron, London WC1E 6BT, England; [Scott, Douglas] Univ British Columbia, Dept Phys &amp; Astron, Vancouver, BC V6T 1Z1, Canada; [Ward-Thompson, Derek] Univ Cent Lancashire, Jeremiah Horrocks Inst, Preston PR1 2HE, Lancs, England</t>
  </si>
  <si>
    <t>Northwestern University; Northwestern University; Cardiff University; University of Pennsylvania; University of Toronto; European Space Agency; Nagoya University; University of Miami; Brown University; California Institute of Technology; University of Puerto Rico; University of Puerto Rico Medical Sciences Campus; Istituto Nazionale Astrofisica (INAF); University of London; University College London; University of British Columbia; University of Central Lancashire</t>
  </si>
  <si>
    <t>Matthews, TG (corresponding author), Northwestern Univ, Ctr Interdisciplinary Explorat &amp; Res Astrophys CI, 2145 Sheridan Rd, Evanston, IL 60208 USA.</t>
  </si>
  <si>
    <t>hargrave, peter/L-7900-2017; Moncelsi, Lorenzo/AAU-1009-2020; Savini, Gianluca/C-1188-2009; Poidevin, Frédérick/Z-3492-2019; Pascale, Enzo/A-3665-2012; Savini, Giorgio/F-5753-2019</t>
  </si>
  <si>
    <t>hargrave, peter/0000-0002-3109-6629; Moncelsi, Lorenzo/0000-0002-4242-3015; Poidevin, Frédérick/0000-0002-5391-5568; Pascale, Enzo/0000-0002-3242-8154; Tucker, Carole/0000-0002-1851-3918; Ade, Peter/0000-0002-5127-0401; Soler, Juan Diego/0000-0002-0294-4465; Mroczkowski, Tony/0000-0003-3816-5372; Scott, Douglas/0000-0002-6878-9840; Tachihara, Kengo/0000-0002-1411-5410; Savini, Giorgio/0000-0003-4449-9416; Olmi, Luca/0000-0002-1162-7947; Fukui, Yasuo/0000-0002-8966-9856; Ward-Thompson, Derek/0000-0003-1140-2761</t>
  </si>
  <si>
    <t>NASA [NAG5-12785, NAG5-13301,, NNGO-6GI11G, NNX0-9AB98G]; Canadian Space Agency (CSA); Lever-hulme Trust through Research Project Grant [F/00407/BN]; Canada's Natural Sciences and Engineering Research Council (NSERC); Canada Foundation for Innovation; Ontario Innovation Trust; Puerto Rico Space Grant Consortium; Fondo Institucional para la Investigacion of the University of Puerto Rico; National Science Foundation Office of Polar Programs; Canadian Institute for Advanced Research; Science and Technology Facilities Council [ST/K002023/1] Funding Source: researchfish; STFC [ST/K002023/1, ST/K000926/1] Funding Source: UKRI</t>
  </si>
  <si>
    <t>NASA(National Aeronautics &amp; Space Administration (NASA)); Canadian Space Agency (CSA)(Canadian Space Agency); Lever-hulme Trust through Research Project Grant(Leverhulme Trust); Canada's Natural Sciences and Engineering Research Council (NSERC)(Natural Sciences and Engineering Research Council of Canada (NSERC)); Canada Foundation for Innovation(Canada Foundation for InnovationCGIARSpanish Government); Ontario Innovation Trust; Puerto Rico Space Grant Consortium; Fondo Institucional para la Investigacion of the University of Puerto Rico; National Science Foundation Office of Polar Programs(National Science Foundation (NSF)NSF - Directorate for Geosciences (GEO)); Canadian Institute for Advanced Research(Canadian Institute for Advanced Research (CIFAR)); Science and Technology Facilities Council(UK Research &amp; Innovation (UKRI)Science &amp; Technology Facilities Council (STFC)); STFC(UK Research &amp; Innovation (UKRI)Science &amp; Technology Facilities Council (STFC))</t>
  </si>
  <si>
    <t>The BLASTPol collaboration acknowledges support from NASA (through grant numbers NAG5-12785, NAG5-13301, NNGO-6GI11G, NNX0-9AB98G, and the Illinois Space Grant Consortium), the Canadian Space Agency (CSA), the Lever-hulme Trust through the Research Project Grant F/00407/BN, Canada's Natural Sciences and Engineering Research Council (NSERC), the Canada Foundation for Innovation, the Ontario Innovation Trust, the Puerto Rico Space Grant Consortium, the Fondo Institucional para la Investigacion of the University of Puerto Rico, and the National Science Foundation Office of Polar Programs. C.B. Netterfield also acknowledges support from the Canadian Institute for Advanced Research. Finally, we thank the Columbia Scientific Balloon Facility (CSBF) staff for their outstanding work.</t>
  </si>
  <si>
    <t>IOP PUBLISHING LTD</t>
  </si>
  <si>
    <t>BRISTOL</t>
  </si>
  <si>
    <t>TEMPLE CIRCUS, TEMPLE WAY, BRISTOL BS1 6BE, ENGLAND</t>
  </si>
  <si>
    <t>0004-637X</t>
  </si>
  <si>
    <t>1538-4357</t>
  </si>
  <si>
    <t>ASTROPHYS J</t>
  </si>
  <si>
    <t>Astrophys. J.</t>
  </si>
  <si>
    <t>APR 1</t>
  </si>
  <si>
    <t>10.1088/0004-637X/784/2/116</t>
  </si>
  <si>
    <t>Astronomy &amp; Astrophysics</t>
  </si>
  <si>
    <t>AG6HJ</t>
  </si>
  <si>
    <t>Green Submitted, Green Accepted, Bronze</t>
  </si>
  <si>
    <t>WOS:000335519400031</t>
  </si>
  <si>
    <t>Hopwood, MJ; Statham, PJ; Tranter, M; Wadham, JL</t>
  </si>
  <si>
    <t>Hopwood, Mark J.; Statham, Peter J.; Tranter, Martyn; Wadham, Jemma L.</t>
  </si>
  <si>
    <t>Glacial flours as a potential source of Fe(II) and Fe(III) to polar waters</t>
  </si>
  <si>
    <t>BIOGEOCHEMISTRY</t>
  </si>
  <si>
    <t>Iron; Ferrihydrite; Glacial flour; Particulate iron</t>
  </si>
  <si>
    <t>SOUTHERN-OCEAN; PHYTOPLANKTON BLOOMS; COLLOIDAL IRON; ROSS SEA; SOLUBILITY; MELTWATER; CYCLE; BIOGEOCHEMISTRY; SPECIATION; NUTRIENTS</t>
  </si>
  <si>
    <t>Supply of Fe to high nitrate low chlorophyll (HNLC) waters, such as the Southern Ocean, is the principle limiting factor for primary production and the associated carbon uptake. Glacial meltwaters have recently been shown to provide a globally substantial input of Fe to both Antarctic and Arctic polar waters. The particulate Fe flux in glacial runoff is several orders of magnitude greater than the dissolved Fe flux and yet little is known, to date, about the potential bioavailability of this particulate Fe. A fraction of particulate Fe may be bioavailable to organisms and thus have a significant impact on biota in HNLC zones. Here, we describe in detail the composition and speciation of Fe released from four different glacial flours. We show that the fraction of labile Fe varies markedly between different flours and is not proportional to total Fe. Furthermore a small fraction of the particulate Fe is available to the Fe(II) selective ligand ferrozine, which indicates active redox cycling on the surface of the flour.</t>
  </si>
  <si>
    <t>[Hopwood, Mark J.; Statham, Peter J.] Univ Southampton, Natl Oceanog Ctr Southampton, Southampton SO14 3ZH, Hants, England; [Tranter, Martyn; Wadham, Jemma L.] Univ Bristol, Sch Geog Sci, Bristol Glaciol Ctr, Bristol BS8 1SS, Avon, England</t>
  </si>
  <si>
    <t>University of Southampton; NERC National Oceanography Centre; University of Bristol</t>
  </si>
  <si>
    <t>Hopwood, MJ (corresponding author), Univ Southampton, Natl Oceanog Ctr Southampton, Southampton SO14 3ZH, Hants, England.</t>
  </si>
  <si>
    <t>mjh1g11@soton.ac.uk</t>
  </si>
  <si>
    <t>Wadham, Jemma L/G-3138-2014; Hopwood, Mark/E-2187-2019; Tranter, Martyn/E-3722-2010</t>
  </si>
  <si>
    <t>Hopwood, Mark/0000-0002-9743-079X; Tranter, Martyn/0000-0003-2071-3094</t>
  </si>
  <si>
    <t>NERC [NE/G005028/1, NE/I008845/1] Funding Source: UKRI; Natural Environment Research Council [NE/G005028/1, NE/I008845/1] Funding Source: researchfish</t>
  </si>
  <si>
    <t>NERC(UK Research &amp; Innovation (UKRI)Natural Environment Research Council (NERC)); Natural Environment Research Council(UK Research &amp; Innovation (UKRI)Natural Environment Research Council (NERC))</t>
  </si>
  <si>
    <t>0168-2563</t>
  </si>
  <si>
    <t>1573-515X</t>
  </si>
  <si>
    <t>Biogeochemistry</t>
  </si>
  <si>
    <t>1-3</t>
  </si>
  <si>
    <t>10.1007/s10533-013-9945-y</t>
  </si>
  <si>
    <t>Environmental Sciences; Geosciences, Multidisciplinary</t>
  </si>
  <si>
    <t>Environmental Sciences &amp; Ecology; Geology</t>
  </si>
  <si>
    <t>AD2QO</t>
  </si>
  <si>
    <t>WOS:000333080400027</t>
  </si>
  <si>
    <t>Heaslip, SG; Bowen, WD; Iverson, SJ</t>
  </si>
  <si>
    <t>Heaslip, Susan G.; Bowen, W. Don; Iverson, Sara J.</t>
  </si>
  <si>
    <t>Testing predictions of optimal diving theory using animal-borne video from harbour seals (Phoca vitulina concolor)</t>
  </si>
  <si>
    <t>CANADIAN JOURNAL OF ZOOLOGY</t>
  </si>
  <si>
    <t>optimal diving theory; optimal foraging theory; harbour seal; Phoca vitulina concolor; animal-borne camera; CRITTERCAM</t>
  </si>
  <si>
    <t>ANTARCTIC FUR SEALS; BREATH-HOLD DIVERS; SWIMMING SPEED; MONK SEALS; 3-DIMENSIONAL MOVEMENTS; FORAGING DECISIONS; OPTIMAL ALLOCATION; BEHAVIOR; TIME; PATTERNS</t>
  </si>
  <si>
    <t>Optimal diving theory predicts that animals make decisions that maximize their foraging profitability subject to the constraint of oxygen stores. We examined the temporal pattern of prey encounters within a dive from concurrently collected dive data and animal-borne video from a free-ranging pinniped to test predictions of optimal diving theory. CRITTERCAMS were deployed on 32 adult male harbour seals (Phoca vitulina concolor De Kay, 1842) at Sable Island, Nova Scotia, Canada, for 3 days each. Deployments resulted in approximately 3 h of video per seal and a total of 2275 capture attempts for 1474 prey encounter events recorded. We found support for seven of the nine selected predictions of optimal diving theory. As predicted, prey encounters increased with bottom duration; dive duration increased with dive depth; and travel duration, bottom duration, and percent bottom duration decreased over a wide range of travel durations. Descent duration did increase with dive depth, and seals terminated dives earlier when no prey were encountered and when prey were encountered later in a dive. Contrary to prediction, bottom duration did not increase and then decrease for short travel durations and dives were not terminated earlier when travel durations were short and prey encounter rate was low.</t>
  </si>
  <si>
    <t>[Heaslip, Susan G.; Bowen, W. Don; Iverson, Sara J.] Dalhousie Univ, Dept Biol, Life Sci Ctr, Halifax, NS B3H 4R2, Canada; [Bowen, W. Don] Fisheries &amp; Oceans Canada, Bedford Inst Oceanog, Populat Ecol Div, Dartmouth, NS B2Y 4A2, Canada</t>
  </si>
  <si>
    <t>Dalhousie University; Bedford Institute of Oceanography; Fisheries &amp; Oceans Canada</t>
  </si>
  <si>
    <t>Heaslip, SG (corresponding author), Dalhousie Univ, Dept Biol, Life Sci Ctr, 1355 Oxford St,POB 15000, Halifax, NS B3H 4R2, Canada.</t>
  </si>
  <si>
    <t>susan.heaslip@dal.ca</t>
  </si>
  <si>
    <t>Bowen, William/AAE-7204-2022; Heaslip, Susan G/I-9137-2012</t>
  </si>
  <si>
    <t>Bowen, William/0000-0001-8334-5677; Iverson, Sara/0000-0003-2842-4094</t>
  </si>
  <si>
    <t>Natural Sciences and Engineering Research Council of Canada (NSERC); National Geographic Society; Smithsonian Abbott; Nelson Restricted Endowment Funds; Friends of the National Zoo; Fisheries and Oceans Canada; NSERC Postgraduate Scholarship</t>
  </si>
  <si>
    <t>Natural Sciences and Engineering Research Council of Canada (NSERC)(Natural Sciences and Engineering Research Council of Canada (NSERC)); National Geographic Society(National Geographic Society); Smithsonian Abbott; Nelson Restricted Endowment Funds; Friends of the National Zoo(Smithsonian InstitutionSmithsonian National Zoological Park &amp; Conservation Biology Institute); Fisheries and Oceans Canada; NSERC Postgraduate Scholarship(Natural Sciences and Engineering Research Council of Canada (NSERC))</t>
  </si>
  <si>
    <t>We thank C. Beck, D. Boness, J. McMillan, and D. Tully for their assistance with the fieldwork; B. Bulheier, G. Marshall, and the National Geographic Remote Imaging Department for their collaboration with the harbour seal CRITTERCAM project on Sable Island; P. O'Laughlin and A. Legere for their work scoring the video footage; and L. Baker, I. Jonsen, S. Lang, M. Leonard, D. Lidgard, R. Ronconi, and C. Scarfe for helpful comments on various drafts of the manuscript. We are grateful for the helpful comments and criticisms provided by two anonymous reviewers. Funding for this research was provided by the Natural Sciences and Engineering Research Council of Canada (NSERC), the National Geographic Society, the Smithsonian Abbott and Nelson Restricted Endowment Funds, the Friends of the National Zoo, and Fisheries and Oceans Canada. S.G.H. was supported by a NSERC Postgraduate Scholarship.</t>
  </si>
  <si>
    <t>CANADIAN SCIENCE PUBLISHING</t>
  </si>
  <si>
    <t>OTTAWA</t>
  </si>
  <si>
    <t>65 AURIGA DR, SUITE 203, OTTAWA, ON K2E 7W6, CANADA</t>
  </si>
  <si>
    <t>0008-4301</t>
  </si>
  <si>
    <t>1480-3283</t>
  </si>
  <si>
    <t>CAN J ZOOL</t>
  </si>
  <si>
    <t>Can. J. Zool.</t>
  </si>
  <si>
    <t>10.1139/cjz-2013-0137</t>
  </si>
  <si>
    <t>Zoology</t>
  </si>
  <si>
    <t>AT4ZQ</t>
  </si>
  <si>
    <t>WOS:000344953600005</t>
  </si>
  <si>
    <t>Durrant, HMS; Burridge, CP; Kelaher, BP; Barrett, NS; Edgar, GJ; Coleman, MA</t>
  </si>
  <si>
    <t>Durrant, Halley M. S.; Burridge, Christopher P.; Kelaher, Brendan P.; Barrett, Neville S.; Edgar, Graham J.; Coleman, Melinda A.</t>
  </si>
  <si>
    <t>Implications of Macroalgal Isolation by Distance for Networks of Marine Protected Areas</t>
  </si>
  <si>
    <t>CONSERVATION BIOLOGY</t>
  </si>
  <si>
    <t>gene flow; marine protected areas; marine reserves; population genetics; areas marinas protegidas; flujo de genes; genetica de poblaciones; reservas marinas</t>
  </si>
  <si>
    <t>POPULATION GENETIC-STRUCTURE; CLIMATE-CHANGE; PUBLICATION BIAS; SPORE DISPERSAL; ROCKY REEFS; CONNECTIVITY; RESERVES; FLOW; CONSERVATION; RESILIENCE</t>
  </si>
  <si>
    <t>The global extent of macroalgal forests is declining, greatly affecting marine biodiversity at broad scales through the effects macroalgae have on ecosystem processes, habitat provision, and food web support. Networks of marine protected areas comprise one potential tool that may safeguard gene flow among macroalgal populations in the face of increasing population fragmentation caused by pollution, habitat modification, climate change, algal harvesting, trophic cascades, and other anthropogenic stressors. Optimal design of protected area networks requires knowledge of effective dispersal distances for a range of macroalgae. We conducted a global meta-analysis based on data in the published literature to determine the generality of relation between genetic differentiation and geographic distance among macroalgal populations. We also examined whether spatial genetic variation differed significantly with respect to higher taxon, life history, and habitat characteristics. We found clear evidence of population isolation by distance across a multitude of macroalgal species. Genetic and geographic distance were positively correlated across 49 studies; a modal distance of 50-100 km maintained F-ST &lt; 0.2. This relation was consistent for all algal divisions, life cycles, habitats, and molecular marker classes investigated. Incorporating knowledge of the spatial scales of gene flow into the design of marine protected area networks will help moderate anthropogenic increases in population isolation and inbreeding and contribute to the resilience of macroalgal forests. Implicaciones del Aislamiento por Distancia de Macroalgas para Redes de areas Marinas Protegidas Resumen La extension global de los bosques de macroalgas esta declinando, afectando significativamente a la biodiversidad marina en escalas amplias a traves de la influencia que las macroalgas tienen sobre los procesos ecosistemicos, provision de habitats y soporte de las redes alimentarias. Las redes de areas marinas protegidas son una herramienta potencial que puede asegurar el flujo genico entre poblaciones de macroalgas frente a la creciente fragmentacion poblacional causada por la contaminacion, la modificacion del habitat, el cambio climatico, la cosecha de algas, las cascadas troficas y otros estresantes antropogenicos. El diseno optimo de una red de areas protegidas requiere del conocimiento efectivo de las distancias de dispersion para un area de macroalgas. Llevamos a cabo un meta-analisis global basado en datos publicados en la literatura para determinar la generalidad de la relacion entre la diferenciacion genetica y la distancia geografica entre poblaciones de macroalgas. Tambien examinamos si la variacion genetica espacial difiere significativamente con respecto a taxones mas altos, historia de vida y caracteristicas de habitat. Encontramos evidencia clara del aislamiento de las poblaciones por la distancia a lo largo de una multitud de especies de macroalgas. La distancia genetica y geografica estuvo correlacionada positivamente en 49 estudios: una distancia modal de 50-100 km mantuvo una F-ST &lt; 0.2. Esta relacion fue constante para todas las divisiones, ciclos de vida, habitats y marcadores moleculares de las algas investigadas. Al incorporar escalas espaciales de flujo genico al diseno de redes de areas marinas protegidas, ayudaremos a moderar incrementos antropogenicos en el aislamiento de la poblacion y a moderar la endogamia, contribuyendo a la resistencia de los bosques de macroalgas.</t>
  </si>
  <si>
    <t>[Durrant, Halley M. S.; Burridge, Christopher P.] Univ Tasmania, Sch Zool, Hobart, Tas 7001, Australia; [Kelaher, Brendan P.] So Cross Univ, Natl Marine Sci Ctr, Coffs Harbour, NSW 2450, Australia; [Kelaher, Brendan P.] So Cross Univ, Ctr Coastal Biogeochem Res, Sch Environm Sci &amp; Engn, Coffs Harbour, NSW 2450, Australia; [Barrett, Neville S.; Edgar, Graham J.] Univ Tasmania, Inst Marine &amp; Antarctic Studies, Hobart, Tas 7001, Australia; [Coleman, Melinda A.] Natl Marine Sci Ctr, Dept Primary Ind, NSW Fisheries, Coffs Harbour, NSW 2450, Australia</t>
  </si>
  <si>
    <t>University of Tasmania; Southern Cross University; Southern Cross University; University of Tasmania; NSW Department of Primary Industries; Southern Cross University</t>
  </si>
  <si>
    <t>Durrant, HMS (corresponding author), Univ Tasmania, Sch Zool, Private Bag 5, Hobart, Tas 7001, Australia.</t>
  </si>
  <si>
    <t>halley.durrant@utas.edu.au</t>
  </si>
  <si>
    <t>Burridge, Christopher/J-2653-2012; Coleman, Melinda A/R-5563-2016; Edgar, Graham/AAY-3797-2020; Burridge, Chris/L-4392-2019; Edgar, Graham/C-8341-2013; Kelaher, Brendan/P-3647-2017; Barrett, Neville/J-7593-2014</t>
  </si>
  <si>
    <t>Burridge, Christopher/0000-0002-8185-6091; Coleman, Melinda A/0000-0003-2623-633X; Edgar, Graham/0000-0003-0833-9001; Edgar, Graham/0000-0003-0833-9001; Kelaher, Brendan/0000-0002-7505-4412; Barrett, Neville/0000-0002-6167-1356</t>
  </si>
  <si>
    <t>Australian Research Council; University of Tasmania</t>
  </si>
  <si>
    <t>Australian Research Council(Australian Research Council); University of Tasmania</t>
  </si>
  <si>
    <t>Our research was funded by an Australian Research Council linkage Grant awarded to G.J.E. and postgraduate scholarship funding from the University of Tasmania.</t>
  </si>
  <si>
    <t>WILEY</t>
  </si>
  <si>
    <t>HOBOKEN</t>
  </si>
  <si>
    <t>111 RIVER ST, HOBOKEN 07030-5774, NJ USA</t>
  </si>
  <si>
    <t>0888-8892</t>
  </si>
  <si>
    <t>1523-1739</t>
  </si>
  <si>
    <t>CONSERV BIOL</t>
  </si>
  <si>
    <t>Conserv. Biol.</t>
  </si>
  <si>
    <t>10.1111/cobi.12203</t>
  </si>
  <si>
    <t>Biodiversity Conservation; Ecology; Environmental Sciences</t>
  </si>
  <si>
    <t>Biodiversity &amp; Conservation; Environmental Sciences &amp; Ecology</t>
  </si>
  <si>
    <t>AD0KS</t>
  </si>
  <si>
    <t>WOS:000332923500015</t>
  </si>
  <si>
    <t>Rosenbaum, HC; Maxwell, SM; Kershaw, F; Mate, B</t>
  </si>
  <si>
    <t>Rosenbaum, Howard C.; Maxwell, Sara M.; Kershaw, Francine; Mate, Bruce</t>
  </si>
  <si>
    <t>Long-Range Movement of Humpback Whales and Their Overlap with Anthropogenic Activity in the South Atlantic Ocean</t>
  </si>
  <si>
    <t>anthropogenic activity; Gulf of Guinea; habitat use; international management; migrations; population; satellite telemetry; Actividad antropogenica; Golfo de Guinea; manejo internacional; migraciones; poblacion; telemetria satelital; uso de habitat</t>
  </si>
  <si>
    <t>SATELLITE-MONITORED MOVEMENTS; MEGAPTERA-NOVAEANGLIAE; WEST-COAST; SPACE; MIGRATION; ABUNDANCE; GROUNDS</t>
  </si>
  <si>
    <t>Humpback whales(Megaptera novaeangliae)are managed by the International Whaling Commission as 7 primary populations that breed in the tropics and migrate to 6 feeding areas around the Antarctic. There is little information on individual movements within breeding areas or migratory connections to feeding grounds. We sought to better understand humpback whale habitat use and movements at breeding areas off West Africa, and during the annual migration to Antarctic feeding areas. We also assessed potential overlap between whale habitat and anthropogenic activities. We used Argos satellite-monitored radio tags to collect data on 13 animals off Gabon, a primary humpback whale breeding area. We quantified habitat use for 3 cohorts of whales and used a state-space model to determine transitions in the movement behavior of individuals. We developed a spatial metric of overlap between whale habitat and models of cumulative human activities, including oil platforms, toxicants, and shipping. We detected strong heterogeneity in movement behavior over time that is consistent with previous genetic evidence of multiple populations in the region. Breeding areas for humpback whales in the eastern Atlantic were extensive and extended north of Gabon late in the breeding season. We also observed, for the first time, direct migration between West Africa and sub-Antarctic feeding areas. Potential overlap of whale habitat with human activities was the highest in exclusive economic zones close to shore, particularly in areas used by both individual whales and the hydrocarbon industry. Whales potentially overlapped with different activities during each stage of their migration, which makes it difficult to implement mitigation measures over their entire range. Our results and existing population-level data may inform delimitation of populations and actions to mitigate potential threats to whales as part of local, regional, and international management of highly migratory marine species. Cuantificacion de los Movimientos de Gran Amplitud y el Traslape Potencial con Actividad Antropogenica y las Ballenas Jorobadas en el Oceano Atlantico Sur Resumen Las ballenas jorobadas (Megaptera novaengliae) son manejadas por la Comision Internacional de Ballenas como siete poblaciones primarias que se reproducen en los tropicos y migran a seis areas de alimentacion alrededor del Antartico. Hay poca informacion sobre los movimientos individuales dentro de las areas de reproduccion o las conexiones migratorias hacia las zonas de alimentacion. Buscamos un mejor entendimiento del uso de habitat de la ballena jorobada y los movimientos en las areas de reproduccion cercanas a africa Occidental durante la migracion anual a las areas de alimentacion en el Antartico. Tambien estudiamos el traslape potencial entre el habitat de las ballenas y las actividades antropogenicas. Usamos radio-rastreadores Argos monitoreados por satelite para colectar informacion de 13 animales cerca de Gabon, un area de reproduccion primaria. Cuantificamos el uso de habitat para tres cohortes de ballenas y usamos un modelo de estado-espacio para determinar las transiciones en la conducta del movimiento de los individuos. Desarrollamos una metrica espacial de los traslapes entre el habitat de las ballenas y los modelos acumulativos de actividades humanas, incluyendo plataformas petroleras, toxicos y embarcaciones. Detectamos una heterogeneidad fuerte en la conducta del movimiento a lo largo del tiempo que es constante con evidencia genetica previa de poblaciones multiples en la region. Las areas de reproduccion de las ballenas jorobadas en el Atlantico oriental fueron extensas y se extendieron al norte de Gabon mas tarde en la temporada de reproduccion. Tambien observamos, por primera vez, una migracion directa entre las areas de alimentacion de africa occidental y el subantartico. El traslape potencial del habitat de las ballenas con las actividades humanas fue mas alto en las zonas economicas exclusivas cercanas a la costa, particularmente en areas usadas por ballenas individuales y la industria de hidrocarburos. Las ballenas se traslapan potencialmente con actividades diferentes durante cada fase de su migracion, lo que dificulta la implementacion de medidas de mitigacion en toda su distribucion. Nuestros resultados y los datos existentes de nivel de poblacion pueden informar a las definiciones de poblaciones y a las acciones para mitigar amenazas potenciales para las ballenas como parte de un manejo local, regional e internaciones de especies marinas con migracion alta.</t>
  </si>
  <si>
    <t>[Rosenbaum, Howard C.] Wildlife Conservat Soc, Global Conservat Program, Ocean Giants Program, Bronx, NY 10460 USA; [Rosenbaum, Howard C.] Amer Museum Nat Hist, Sackler Inst Comparat Genom, New York, NY 10024 USA; [Rosenbaum, Howard C.; Kershaw, Francine] Columbia Univ, Dept Ecol Evolut &amp; Environm Biol, New York, NY 10027 USA; [Maxwell, Sara M.] Marine Conservat Inst, Glen Ellen, CA 95442 USA; [Maxwell, Sara M.] Stanford Univ, Hopkins Marine Stn, Pacific Grove, CA 93950 USA; [Mate, Bruce] Oregon State Univ, Coastal Oregon Marine Expt Stn, Dept Fisheries &amp; Wildlife, Marine Mammal Inst,Hatfield Marine Sci Ctr, Newport, OR 97365 USA</t>
  </si>
  <si>
    <t>Wildlife Conservation Society; American Museum of Natural History (AMNH); Columbia University; Stanford University; Oregon State University</t>
  </si>
  <si>
    <t>Rosenbaum, HC (corresponding author), Wildlife Conservat Soc, Global Conservat Program, Ocean Giants Program, 2300 Southern Blvd, Bronx, NY 10460 USA.</t>
  </si>
  <si>
    <t>hrosenbaum@wcs.org</t>
  </si>
  <si>
    <t>Maxwell, Sara/0000-0002-4425-9378</t>
  </si>
  <si>
    <t>WCS; Oregon State University Marine Mammal Endowment; Operation Loango</t>
  </si>
  <si>
    <t>This research was funded by generous supporters of WCS and funds from the Oregon State University Marine Mammal Endowment. We are grateful to the staff of the WCS, the American Museum of Natural History, and WCS-Gabon, in particular G. Amato, R. DeSalle, E. Sterling, and L. White and to B. Lagerquist, M. L. Mate, C. Freitas, C. Pomilla, G-P. Sounguet, S. Ngouessono, and N. Mbadinga. M. Boyer, T. Follett, and M. Winsor, who helped with field-work, analyses or graphics. We are grateful to G. Breed for his assistance with state-space modeling and thank D. LaBruna for her assistance with improving presentation of results. In Gabon, generous logistic and some financial support was supplied by R. Swanborn and the personnel of Operation Loango. We thank V. Cordi with reviewing literature on telemetry, assistance with references, and comments on the manuscript. T. Collins, L. Hickey, G. Seo, L. Alter, as well as several anonymous reviewers and the Editors of Conservation Biology, provided extremely valuable comments.</t>
  </si>
  <si>
    <t>10.1111/cobi.12225</t>
  </si>
  <si>
    <t>WOS:000332923500031</t>
  </si>
  <si>
    <t>Stephens, PA; Houston, AI; Harding, KC; Boyd, IL; McNamara, JM</t>
  </si>
  <si>
    <t>Stephens, Philip A.; Houston, Alasdair I.; Harding, Karin C.; Boyd, Ian L.; McNamara, John M.</t>
  </si>
  <si>
    <t>Capital and income breeding: the role of food supply</t>
  </si>
  <si>
    <t>ECOLOGY</t>
  </si>
  <si>
    <t>fasting; pinnipeds; energetics of reproduction; income breeding; lactation; seasonal environments; capital breeding; foraging cycle</t>
  </si>
  <si>
    <t>ANTARCTIC FUR SEALS; OPTIMAL ANNUAL ROUTINES; FORAGING BEHAVIOR; LACTATION STRATEGIES; EUMETOPIAS-JUBATUS; PINNIPED LACTATION; FAT RESERVES; HARBOR SEAL; BODY-SIZE; ENERGETICS</t>
  </si>
  <si>
    <t>An aspect of life history that has seen increasing attention in recent years is that of strategies for financing the costs of offspring production. These strategies are often described by a continuum ranging from capital breeding, in which costs are met purely from endogenous reserves, to income breeding, in which costs are met purely from concurrent intake. A variety of factors that might drive strategies toward a given point on the capital-income continuum has been reviewed, and assessed using analytical models. However, aspects of food supply, including seasonality and unpredictability, have often been cited as important drivers of capital and income breeding, but are difficult to assess using analytical models. Consequently, we used dynamic programming to assess the role of the food supply in shaping offspring provisioning strategies. Our model is parameterized for a pinniped (one taxon remarkable for the range of offspring-provisioning strategies that it illustrates). We show that increased food availability, increased seasonality, and, to a lesser extent, increased unpredictability can all favor the emergence of capital breeding. In terms of the conversion of energy into offspring growth, the shorter periods of care associated with capital breeding are considerably more energetically efficient than income breeding, because shorter periods of care are associated with a higher ratio of energy put into offspring growth to energy spent on parent and offspring maintenance metabolism. Moreover, no clear costs are currently associated with capital accumulation in pinnipeds. This contrasts with general assumptions about endotherms, which suggest that income breeding will usually be preferred. Our model emphasizes the role of seasonally high abundances of food in enabling mothers to pursue an energetically efficient capital-breeding strategy. We discuss the importance of offspring development for dictating strategies for financing offspring production.</t>
  </si>
  <si>
    <t>[Stephens, Philip A.] Univ Durham, Sch Biol &amp; Biomed Sci, Durham DH1 3LE, England; [Houston, Alasdair I.] Univ Bristol, Sch Biol Sci, Bristol BS8 1UG, Avon, England; [Harding, Karin C.] Univ Gothenburg, Dept Marine Ecol, S-40530 Gothenburg, Sweden; [Boyd, Ian L.] Univ St Andrews, Gatty Marine Lab, Sea Mammal Res Unit, St Andrews KY16 8LB, Fife, Scotland; [McNamara, John M.] Univ Bristol, Dept Math, Bristol BS8 1TW, Avon, England</t>
  </si>
  <si>
    <t>Durham University; University of Bristol; University of Gothenburg; University of St Andrews; University of Bristol</t>
  </si>
  <si>
    <t>Stephens, PA (corresponding author), Univ Durham, Sch Biol &amp; Biomed Sci, South Rd, Durham DH1 3LE, England.</t>
  </si>
  <si>
    <t>philip.stephens@durham.ac.uk</t>
  </si>
  <si>
    <t>Stephens, Philip/B-8397-2008; Harding, Karin C/F-9957-2013</t>
  </si>
  <si>
    <t>Stephens, Philip/0000-0001-5849-788X; Harding, Karin/0000-0003-1527-0903</t>
  </si>
  <si>
    <t>Natural Environment Research Council [2003/00616]; Leverhulme Trust; European Research Council [250209]</t>
  </si>
  <si>
    <t>Natural Environment Research Council(UK Research &amp; Innovation (UKRI)Natural Environment Research Council (NERC)); Leverhulme Trust(Leverhulme Trust); European Research Council(European Research Council (ERC))</t>
  </si>
  <si>
    <t>This work was funded by the Natural Environment Research Council (grant number 2003/00616). A. I. Houston and J. M. McNamara were supported by Leverhulme Trust fellowships; A. I. Houston was supported by the European Research Council (Advanced Grant 250209). We thank Silke Bauer, Fritz Trillmich, and two anonymous reviewers for insightful comments and discussions of this work.</t>
  </si>
  <si>
    <t>ECOLOGICAL SOC AMER</t>
  </si>
  <si>
    <t>WASHINGTON</t>
  </si>
  <si>
    <t>1990 M STREET NW, STE 700, WASHINGTON, DC 20036 USA</t>
  </si>
  <si>
    <t>0012-9658</t>
  </si>
  <si>
    <t>1939-9170</t>
  </si>
  <si>
    <t>Ecology</t>
  </si>
  <si>
    <t>10.1890/13-1434.1</t>
  </si>
  <si>
    <t>AF2WQ</t>
  </si>
  <si>
    <t>Green Published, Green Accepted</t>
  </si>
  <si>
    <t>WOS:000334573600009</t>
  </si>
  <si>
    <t>Zagarola, JPA; Anderson, CB; Veteto, JR</t>
  </si>
  <si>
    <t>Zagarola, Jean-Paul A.; Anderson, Christopher B.; Veteto, James R.</t>
  </si>
  <si>
    <t>Perceiving Patagonia: An Assessment of Social Values and Perspectives Regarding Watershed Ecosystem Services and Management in Southern South America</t>
  </si>
  <si>
    <t>ENVIRONMENTAL MANAGEMENT</t>
  </si>
  <si>
    <t>Ecosystem service; Community-based management; Environmental values; Local ecological knowledge; Traditional ecological knowledge</t>
  </si>
  <si>
    <t>ECOLOGICAL KNOWLEDGE; BIODIVERSITY; CLASSIFICATION; CONSERVATION; CAPACITY; SYSTEMS</t>
  </si>
  <si>
    <t>Research on human dimensions of ecosystems through the ecosystem services (ES) concept has proliferated over recent decades but has largely focused on monetary value of ecosystems while excluding other community-based values. We conducted 312 surveys of general community members and regional researchers and decision-makers (specialists) to understand local perceptions and values of watershed ES and natural resource management in South America's southern Patagonian ecoregion. Results indicated that specialists shared many similar values of ES with community members, but at the same time their mentalities did not capture the diversity of values that existed within the broader community. The supporting services were most highly valued by both groups, but generally poorly understood by the community. Many services that are not easily captured in monetary terms, particularly cultural services, were highly valued by community members and specialists. Both groups perceived a lack of communication and access to basic scientific information in current management approaches and differed slightly in their perspective on potential threats to ES. We recommend that a community-based approach be integrated into the natural resource management framework that better embodies the diversity of values that exist in these communities, while enhancing the science-society dialog and thereby encouraging the application of multiple forms of ecological knowledge in place-based environmental management.</t>
  </si>
  <si>
    <t>[Zagarola, Jean-Paul A.] Univ N Texas, Dept Biol Sci, Denton, TX 76203 USA; [Zagarola, Jean-Paul A.] Third Stream Consulting LLC, Portland, OR USA; [Anderson, Christopher B.] OSARA, Mocksville, NC 27028 USA; [Anderson, Christopher B.] Natl Univ Tierra del Fuego, Inst Polar Sci Nat Resources &amp; Environm, RA-9410 Ushuaia, Tierra Del Fueg, Argentina; [Anderson, Christopher B.] Austral Ctr Sci Res CADIC CONICET, RA-9410 Ushuaia, Tierra Del Fueg, Argentina; [Veteto, James R.] Univ N Texas, Dept Anthropol, Denton, TX 76203 USA; [Veteto, James R.] Appalachian Inst Mt Studies, Burnsville, NC 28714 USA; [Veteto, James R.] Bot Res Inst Texas, Ft Worth, TX 76107 USA</t>
  </si>
  <si>
    <t>University of North Texas System; University of North Texas Denton; Consejo Nacional de Investigaciones Cientificas y Tecnicas (CONICET); University of North Texas System; University of North Texas Denton</t>
  </si>
  <si>
    <t>Zagarola, JPA (corresponding author), 324 Rose St NE, Salem, OR 97301 USA.</t>
  </si>
  <si>
    <t>jpazeco@gmail.com</t>
  </si>
  <si>
    <t>Anderson, Christopher/V-4882-2019</t>
  </si>
  <si>
    <t>Anderson, Christopher/0000-0001-8120-5689</t>
  </si>
  <si>
    <t>National Science Foundation [OISE 0854350]; U.S. Student Fulbright Scholarship</t>
  </si>
  <si>
    <t>National Science Foundation(National Science Foundation (NSF)); U.S. Student Fulbright Scholarship</t>
  </si>
  <si>
    <t>This research was supported financially by the National Science Foundation International Research Experience for Students Grant (OISE 0854350) and a U.S. Student Fulbright Scholarship. Crucial local logistical support in Argentina was provided by Drs. G. Martinez Pastur, M. V. Lencinas, &amp; A. E. J. Valenzuela at the Austral Center for Scientific Research (CADIC-CONICET) and in Chile by the Omora Sub-Antarctic Research Alliance (www.osara.org; OSARA) and by Dr. R. Reyes, R. Molina and C. Celis. In addition, research in Argentina was authorized by the provincial science and technology council, and OSARA facilitated the collaboration between Chile, Argentina, and the U.S. The authors thank the many individuals who also aided in the development or support of this research which included, but are not limited to, M. Santibanez, N. Vega, J. L. Cabello, V. Bazan, Y. Medina, J. Ojeda, C. Carvajal, P. Duartes, and L. Brandon. Finally, the authors especially thank the community survey participants and numerous specialist survey participants from federal, regional and municipal academic, and governmental institutions.</t>
  </si>
  <si>
    <t>233 SPRING ST, NEW YORK, NY 10013 USA</t>
  </si>
  <si>
    <t>0364-152X</t>
  </si>
  <si>
    <t>1432-1009</t>
  </si>
  <si>
    <t>ENVIRON MANAGE</t>
  </si>
  <si>
    <t>Environ. Manage.</t>
  </si>
  <si>
    <t>10.1007/s00267-014-0237-7</t>
  </si>
  <si>
    <t>Environmental Sciences</t>
  </si>
  <si>
    <t>Science Citation Index Expanded (SCI-EXPANDED); Social Science Citation Index (SSCI)</t>
  </si>
  <si>
    <t>AD0UM</t>
  </si>
  <si>
    <t>WOS:000332949600005</t>
  </si>
  <si>
    <t>Brabyn, L; Zawar-Reza, P; Stichbury, G; Cary, C; Storey, B; Laughlin, DC; Katurji, M</t>
  </si>
  <si>
    <t>Brabyn, Lars; Zawar-Reza, Peyman; Stichbury, Glen; Cary, Craig; Storey, Bryan; Laughlin, Daniel C.; Katurji, Marwan</t>
  </si>
  <si>
    <t>Accuracy assessment of land surface temperature retrievals from Landsat 7 ETM + in the Dry Valleys of Antarctica using iButton temperature loggers and weather station data</t>
  </si>
  <si>
    <t>ENVIRONMENTAL MONITORING AND ASSESSMENT</t>
  </si>
  <si>
    <t>Landsat; Land surface temperature; Dry Valleys; Antarctica</t>
  </si>
  <si>
    <t>ENVIRONMENTAL-CHANGE; DRY VALLEYS; IN-SITU; ANTARCTICA; VALIDATION; VARIABILITY; CALIBRATION; ECOSYSTEM</t>
  </si>
  <si>
    <t>The McMurdo Dry Valleys of Antarctica are the largest snow/ice-free regions on this vast continent, comprising 1 % of the land mass. Due to harsh environmental conditions, the valleys are bereft of any vegetation. Land surface temperature is a key determinate of microclimate and a driver for sensible and latent heat fluxes of the surface. The Dry Valleys have been the focus of ecological studies as they arguably provide the simplest trophic structure suitable for modelling. In this paper, we employ a validation method for land surface temperatures obtained from Landsat 7 ETM + imagery and compared with in situ land surface temperature data collected from four transects totalling 45 iButtons. A single meteorological station was used to obtain a better understanding of daily and seasonal cycles in land surface temperatures. Results show a good agreement between the iButton and the Landsat 7 ETM + product for clear sky cases. We conclude that Landsat 7 ETM + derived land surface temperatures can be used at broad spatial scales for ecological and meteorological research.</t>
  </si>
  <si>
    <t>[Brabyn, Lars; Stichbury, Glen] Univ Waikato, Hamilton, New Zealand; [Zawar-Reza, Peyman] Univ Canterbury, Ctr Atmospher Res, Christchurch 1, New Zealand; [Cary, Craig; Laughlin, Daniel C.] Univ Waikato, Dept Biol Sci, Hamilton, New Zealand; [Storey, Bryan] Univ Canterbury, Gateway Antarctica, Christchurch 1, New Zealand; [Katurji, Marwan] Michigan State Univ, E Lansing, MI 48824 USA</t>
  </si>
  <si>
    <t>University of Waikato; University of Canterbury; University of Waikato; University of Canterbury; Michigan State University</t>
  </si>
  <si>
    <t>Brabyn, L (corresponding author), Univ Waikato, Hamilton, New Zealand.</t>
  </si>
  <si>
    <t>larsb@waikato.ac.nz</t>
  </si>
  <si>
    <t>Laughlin, Daniel C/G-8855-2012; Brabyn, Lars/N-1479-2016</t>
  </si>
  <si>
    <t>Brabyn, Lars/0000-0002-3400-6182; Cary, Stephen/0000-0002-2876-2387</t>
  </si>
  <si>
    <t>Foundation for Research Science and Technology, New Zealand</t>
  </si>
  <si>
    <t>Foundation for Research Science and Technology, New Zealand(New Zealand Foundation for Research, Science and Technology)</t>
  </si>
  <si>
    <t>This research was supported by special International Polar Year funding from the Foundation for Research Science and Technology, New Zealand. Antarctic New Zealand provided logistical support for fieldwork in the study area. Many field assistants helped place and recover iButtons in the field, in particular Charles Lee and Jonathan Banks.</t>
  </si>
  <si>
    <t>0167-6369</t>
  </si>
  <si>
    <t>1573-2959</t>
  </si>
  <si>
    <t>ENVIRON MONIT ASSESS</t>
  </si>
  <si>
    <t>Environ. Monit. Assess.</t>
  </si>
  <si>
    <t>10.1007/s10661-013-3565-9</t>
  </si>
  <si>
    <t>AB9YE</t>
  </si>
  <si>
    <t>WOS:000332150800051</t>
  </si>
  <si>
    <t>Lavers, JL; Bond, AL; Hutton, I</t>
  </si>
  <si>
    <t>Lavers, Jennifer L.; Bond, Alexander L.; Hutton, Ian</t>
  </si>
  <si>
    <t>Plastic ingestion by Flesh-footed Shearwaters (Puffinus carneipes): Implications for fledgling body condition and the accumulation of plastic-derived chemicals</t>
  </si>
  <si>
    <t>ENVIRONMENTAL POLLUTION</t>
  </si>
  <si>
    <t>Body condition; Flesh-footed Shearwater; Marine debris; Plastic ingestion; Trace metals</t>
  </si>
  <si>
    <t>WEDGE-TAILED SHEARWATERS; LORD-HOWE-ISLAND; SILVER NANOPARTICLES; LAYSAN ALBATROSSES; RESIN PELLETS; SEABIRDS; GROWTH; MERCURY; METALS; DEBRIS</t>
  </si>
  <si>
    <t>To provide much needed quantitative data on the lethal and sublethal effects of plastic pollution on marine wildlife, we sampled breast feathers and stomach contents from Flesh-footed Shearwater (Puffinus carneipes) fledglings in eastern Australia. Birds with high levels of ingested plastic exhibited reduced body condition and increased contaminant load (p &lt; 0.05). More than 60% of fledglings exceed international targets for plastic ingestion by seabirds, with 16% of fledglings failing these targets after a single feeding (range: 0.13-3.21 g of plastic/feeding). As top predators, seabirds are considered sentinels of the marine environment. The amount of plastic ingested and corresponding damage to Flesh-footed Shearwater fledglings is the highest reported for any marine vertebrate, suggesting the condition of the Australian marine environment is poor. These findings help explain the ongoing decline of this species and are worrying in light of increasing levels of plastic pollution in our oceans. (C) 2013 Elsevier Ltd. All rights reserved.</t>
  </si>
  <si>
    <t>[Lavers, Jennifer L.] Univ Tasmania, Inst Marine &amp; Antarctic Studies, Hobart, Tas 7005, Australia; [Bond, Alexander L.] Environm Canada, Saskatoon, SK S7N 3H5, Canada; [Hutton, Ian] Lord Howe Isl Museum, Lord Howe Isl, NSW 2898, Australia</t>
  </si>
  <si>
    <t>University of Tasmania; Environment &amp; Climate Change Canada</t>
  </si>
  <si>
    <t>Lavers, JL (corresponding author), Monash Univ, Sch Biol Sci, Bldg 17, Clayton, Vic 3800, Australia.</t>
  </si>
  <si>
    <t>Jennifer.Lavers@utas.edu.au</t>
  </si>
  <si>
    <t>Lavers, Jennifer/IWM-5417-2023; Lavers, Jennifer/O-4831-2017; Bond, Alexander L/A-3786-2010</t>
  </si>
  <si>
    <t>Lavers, Jennifer/0000-0001-7596-6588; Bond, Alexander/0000-0003-2125-7238</t>
  </si>
  <si>
    <t>Birdlife Tasmania, Environment Canada; National Sciences and Engineering Research Council of Canada; Save our Shearwaters Foundation; Trading Consultants Ltd, V. Wellington; W.V. Scott Charitable Trust</t>
  </si>
  <si>
    <t>Birdlife Tasmania, Environment Canada; National Sciences and Engineering Research Council of Canada(Natural Sciences and Engineering Research Council of Canada (NSERC)); Save our Shearwaters Foundation; Trading Consultants Ltd, V. Wellington; W.V. Scott Charitable Trust</t>
  </si>
  <si>
    <t>Special thanks go to Birdlife Tasmania, Environment Canada, the National Sciences and Engineering Research Council of Canada, Save our Shearwaters Foundation, Trading Consultants Ltd, V. Wellington, the W.V. Scott Charitable Trust for generously providing funding for this project. Samples were collected with the permission of the Lord Howe Island Board under the approval of the University of Tasmania Animal Ethics Committees (A0010874). Analytical support was provided by L. Hewa and comments from I. Molnar, and two anonymous reviewers improved earlier drafts.</t>
  </si>
  <si>
    <t>ELSEVIER SCI LTD</t>
  </si>
  <si>
    <t>OXFORD</t>
  </si>
  <si>
    <t>THE BOULEVARD, LANGFORD LANE, KIDLINGTON, OXFORD OX5 1GB, OXON, ENGLAND</t>
  </si>
  <si>
    <t>0269-7491</t>
  </si>
  <si>
    <t>1873-6424</t>
  </si>
  <si>
    <t>ENVIRON POLLUT</t>
  </si>
  <si>
    <t>Environ. Pollut.</t>
  </si>
  <si>
    <t>10.1016/j.envpol.2013.12.020</t>
  </si>
  <si>
    <t>AD8BN</t>
  </si>
  <si>
    <t>WOS:000333491600016</t>
  </si>
  <si>
    <t>Nursey-Bray, MJ; Vince, J; Scott, M; Haward, M; O'Toole, K; Smith, T; Harvey, N; Clarke, B</t>
  </si>
  <si>
    <t>Nursey-Bray, Melissa J.; Vince, Joanna; Scott, Michael; Haward, Marcus; O'Toole, Kevin; Smith, Tim; Harvey, Nick; Clarke, Beverley</t>
  </si>
  <si>
    <t>Science into policy? Discourse, coastal management and knowledge</t>
  </si>
  <si>
    <t>ENVIRONMENTAL SCIENCE &amp; POLICY</t>
  </si>
  <si>
    <t>Knowledge; Science policy; Coastal management; Community knowledge; Discourse; Indigenous</t>
  </si>
  <si>
    <t>SEA-LEVEL RISE; ADAPTIVE COMANAGEMENT; ECOLOGICAL KNOWLEDGE; PUBLIC-PARTICIPATION; FISHERIES MANAGEMENT; RESOURCE-MANAGEMENT; NATURAL-RESOURCES; LOCAL KNOWLEDGE; CLIMATE-CHANGE; INFORMATION</t>
  </si>
  <si>
    <t>The world's coastal resources are under pressure, even more so under climate change with 90% of the world's population living near or along our coastal zone. Ecologically, this zone is also the most productive, and the mainstay of economic livelihoods on a global scale. Managing the coast effectively is crucial, but as an area it remains contested. Despite multiple efforts to manage the coast, it remains a contested space. This paper offers a reflection into the ways in which different discourses influence and impact on one specific dimension of coastal zone management the transmission of science into the policy domain. Using historical and discourse analysis, we find that the science-policy interface is largely constructed within two knowledge discourses: (i) scientific knowledge and (ii) local knowledge. This arbitrary separation into a binary discursive landscape mitigates against science-policy integration in practice especially given each discourse in itself, encompasses multiple forms of knowledge. We argue that in order to better understand how to build scientific research outputs into policy, decision makers and researchers need to understand how knowledge works in practice, overcome this dichotomous construction of knowledge and specifically, re-construct or transition the notion of 'science as knowledge' into 'all knowledge types' into policy. (C) 2014 Elsevier Ltd. All rights reserved.</t>
  </si>
  <si>
    <t>[Nursey-Bray, Melissa J.; Harvey, Nick] Univ Adelaide, Adelaide, SA 5005, Australia; [Vince, Joanna] Univ Tasmania, Sch Govt, Hobart, Tas 7001, Australia; [Scott, Michael; Clarke, Beverley] Flinders Univ S Australia, Sch Environm, Adelaide, SA 5001, Australia; [Haward, Marcus] Univ Tasmania, Inst Marine &amp; Antarctic Studies, Hobart, Tas 7001, Australia; [O'Toole, Kevin] Deakin Univ, Sch Humanities &amp; Social Sci, Burwood, Australia; [Smith, Tim] Univ Sunshine Coast, Sustainabil Res Ctr, Sydney, NSW, Australia</t>
  </si>
  <si>
    <t>University of Adelaide; University of Tasmania; Flinders University South Australia; University of Tasmania; Deakin University; University of the Sunshine Coast</t>
  </si>
  <si>
    <t>Nursey-Bray, MJ (corresponding author), Univ Adelaide, North Terrace, Adelaide, SA 5005, Australia.</t>
  </si>
  <si>
    <t>Melissa.Nursey-Bray@adelaide.edu.au</t>
  </si>
  <si>
    <t>Scott, Michael William/AAS-7871-2021; Nursey-Bray, Melissa/J-8183-2019; Vince, Joanna Zofia/J-7465-2014; Vince, Joanna/O-6901-2019; Haward, Marcus/G-3369-2014; Clarke, Beverley/E-8999-2015</t>
  </si>
  <si>
    <t>Vince, Joanna Zofia/0000-0002-4469-7634; Vince, Joanna/0000-0002-4469-7634; Nursey-Bray, Melissa/0000-0002-4121-5177; Scott, Michael/0000-0002-5580-0772; Haward, Marcus/0000-0003-4775-0864; Smith, Timothy/0000-0002-3991-5211; Clarke, Beverley/0000-0001-5904-6845</t>
  </si>
  <si>
    <t>CSIRO Coastal Collaboration Cluster</t>
  </si>
  <si>
    <t>This paper is based on research funded by the CSIRO Coastal Collaboration Cluster. We also acknowledge the many people who looked over this paper and the independent anonymous referees of this paper.</t>
  </si>
  <si>
    <t>1462-9011</t>
  </si>
  <si>
    <t>1873-6416</t>
  </si>
  <si>
    <t>ENVIRON SCI POLICY</t>
  </si>
  <si>
    <t>Environ. Sci. Policy</t>
  </si>
  <si>
    <t>10.1016/j.envsci.2013.10.010</t>
  </si>
  <si>
    <t>AE1HL</t>
  </si>
  <si>
    <t>WOS:000333720300009</t>
  </si>
  <si>
    <t>Royles, J; Horwath, AB; Griffiths, H</t>
  </si>
  <si>
    <t>Royles, Jessica; Horwath, Aline B.; Griffiths, Howard</t>
  </si>
  <si>
    <t>Interpreting bryophyte stable carbon isotope composition: Plants as temporal and spatial climate recorders</t>
  </si>
  <si>
    <t>GEOCHEMISTRY GEOPHYSICS GEOSYSTEMS</t>
  </si>
  <si>
    <t>carbon-13; isotope discrimination; bryophytes; assimilation; photosynthesis</t>
  </si>
  <si>
    <t>WATER-CONTENT; PHOTOSYNTHETIC PARAMETERS; DESICCATION-TOLERANCE; PEAT ACCUMULATION; CO2 ASSIMILATION; TORTULA-RURALIS; DISCRIMINATION; LEAVES; SPHAGNUM; DIOXIDE</t>
  </si>
  <si>
    <t>Bryophytes are unable to control tissue water content although physiological adaptations allow growth in a wide range of habitats. Carbon isotope signals in two mosses (Syntrichia ruralis and Chorisodontium aciphyllum) and two liverworts (Conocephalum conicum and Marchantia polymorpha), whether instantaneous (real time, C-13), or organic matter (as C-13(OM)), provide an assimilation-weighted summary of bryophyte environmental adaptations. In mosses, C-13(OM) is within the measured range of C-13 values, which suggests that other proxies, such as compound-specific organic signals, will be representative of historical photosynthetic and growth conditions. The liverworts were photosynthetically active over a wider range of relative water contents (RWC) than the mosses. There was a consistent 5 offset between C-13 values in C. conicum and M. polymorpha, suggestive of greater diffusion limitation in the latter. Analysis of a C. aciphyllum moss-peat core showed the isotopic composition over the past 200 years reflects recent anthropogenic CO2 emissions. Once corrected for source-CO2 inputs, the seasonally integrated C-13(OM) between 1350 and 2000 A.D. varied by 1.5 compared with potential range of the 12 measured experimentally, demonstrating the relatively narrow range of conditions under which the majority of net assimilation takes place. Carbon isotope discrimination also varies spatially, with a 4 shift in epiphytic bryophyte organic matter found between lowland Amazonia and upper montane tropical cloud forest in the Peruvian Andes, associated with increased diffusion limitation.</t>
  </si>
  <si>
    <t>[Royles, Jessica; Horwath, Aline B.; Griffiths, Howard] Univ Cambridge, Dept Plant Sci, Cambridge, England; [Royles, Jessica] British Antarctic Survey, Cambridge CB3 0ET, England</t>
  </si>
  <si>
    <t>University of Cambridge; UK Research &amp; Innovation (UKRI); Natural Environment Research Council (NERC); NERC British Antarctic Survey</t>
  </si>
  <si>
    <t>Royles, J (corresponding author), Univ Cambridge, Dept Plant Sci, Cambridge, England.</t>
  </si>
  <si>
    <t>jesyle@bas.ac.uk</t>
  </si>
  <si>
    <t>Royles, Jessica/0000-0003-0489-6863</t>
  </si>
  <si>
    <t>NERC [NE/H014896/1 (AFI_11_05)]; Natural Environment Research Council [NE/H014896/1, bas0100024, NE/H014810/1, NE/H014632/1] Funding Source: researchfish; NERC [NE/H014632/1, NE/H014810/1, NE/H014896/1, bas0100024]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</si>
  <si>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</si>
  <si>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J.R. is funded by NERC NE/H014896/1 (AFI_11_05). Thanks to Pete Michna at Cambridge University Botanic Garden for experimental material.</t>
  </si>
  <si>
    <t>AMER GEOPHYSICAL UNION</t>
  </si>
  <si>
    <t>2000 FLORIDA AVE NW, WASHINGTON, DC 20009 USA</t>
  </si>
  <si>
    <t>1525-2027</t>
  </si>
  <si>
    <t>GEOCHEM GEOPHY GEOSY</t>
  </si>
  <si>
    <t>Geochem. Geophys. Geosyst.</t>
  </si>
  <si>
    <t>10.1002/2013GC005169</t>
  </si>
  <si>
    <t>Geochemistry &amp; Geophysics</t>
  </si>
  <si>
    <t>AH9VR</t>
  </si>
  <si>
    <t>Green Accepted, hybrid</t>
  </si>
  <si>
    <t>WOS:000336493400039</t>
  </si>
  <si>
    <t>Carter, A; Curtis, M; Schwanethal, J</t>
  </si>
  <si>
    <t>Carter, Andrew; Curtis, Mike; Schwanethal, James</t>
  </si>
  <si>
    <t>Cenozoic tectonic history of the South Georgia microcontinent and potential as a barrier to Pacific-Atlantic through flow</t>
  </si>
  <si>
    <t>GEOLOGY</t>
  </si>
  <si>
    <t>EVOLUTION; COMPLEX; SEA; AGE</t>
  </si>
  <si>
    <t>Cenozoic opening of the central Scotia Sea involved the tectonic translation of crustal blocks to form the North Scotia Ridge, which today is a major topographic constriction to the flow of the deep Antarctic Circumpolar Current that keeps Antarctica thermally isolated from warmer ocean waters. How this ridge developed and whether it was a topographic barrier in the past are unknown. To address this we investigated the Cenozoic history of the South Georgia microcontinental block, the exposed part of the ridge. Detrital zircon U-Pb geochronology data confirm that the Cretaceous succession of turbidites exposed on South Georgia was stratigraphically connected to the Rocas Verdes backarc basin, part of the South America plate. Apatite thermo-chronometry results show that South Georgia had remained connected to South America until ca. 45-40 Ma; both record a distinct rapid cooling event at that time. Subsequent separation from South America was accompanied by kilometer-scale reburial until inversion ca. 10 Ma, coeval with the cessation of spreading at the West Scotia Ridge and collision between the South Georgia block and the Northeast Georgia Rise. Our results show that the South Georgia microcontinental block could not have been an emergent feature from ca. 40 Ma until 10 Ma.</t>
  </si>
  <si>
    <t>[Carter, Andrew] Univ London, Dept Earth &amp; Planetary Sci, London WC1E 7HX, England; [Curtis, Mike] British Antarctic Survey, Cambridge CB3 0ET, England; [Curtis, Mike] CASP, Cambridge CB3 ODH, England; [Schwanethal, James] UCL, Dept Earth Sci, London WC1E 6BT, England</t>
  </si>
  <si>
    <t>University of London; UK Research &amp; Innovation (UKRI); Natural Environment Research Council (NERC); NERC British Antarctic Survey; University of London; University College London</t>
  </si>
  <si>
    <t>Carter, A (corresponding author), Univ London, Dept Earth &amp; Planetary Sci, Malet St, London WC1E 7HX, England.</t>
  </si>
  <si>
    <t>Carter, Andrew/C-1371-2008</t>
  </si>
  <si>
    <t>Carter, Andrew/0000-0002-0090-5868; Schwanethal, James/0000-0002-0293-9826</t>
  </si>
  <si>
    <t>Natural Environmental Research Council; NERC [bas0100026] Funding Source: UKRI; Natural Environment Research Council [bas0100026] Funding Source: researchfish</t>
  </si>
  <si>
    <t>Natural Environmental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</si>
  <si>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Some of the field work (by Curtis) in this study was conducted as part of the British Antarctic Survey Polar Science for Planet Earth programme, funded by the Natural Environmental Research Council. We thank Alan Vaughan for help with sampling and location data.</t>
  </si>
  <si>
    <t>GEOLOGICAL SOC AMER, INC</t>
  </si>
  <si>
    <t>BOULDER</t>
  </si>
  <si>
    <t>PO BOX 9140, BOULDER, CO 80301-9140 USA</t>
  </si>
  <si>
    <t>0091-7613</t>
  </si>
  <si>
    <t>1943-2682</t>
  </si>
  <si>
    <t>Geology</t>
  </si>
  <si>
    <t>10.1130/G35091.1</t>
  </si>
  <si>
    <t>AD4TT</t>
  </si>
  <si>
    <t>Bronze, Green Accepted</t>
  </si>
  <si>
    <t>WOS:000333244300010</t>
  </si>
  <si>
    <t>Dalziel, IWD</t>
  </si>
  <si>
    <t>Dalziel, Ian W. D.</t>
  </si>
  <si>
    <t>Drake Passage and the Scotia arc: A tortuous space-time gateway for the Antarctic Circumpolar Current</t>
  </si>
  <si>
    <t>FUEGIAN ANDES; OCEAN; FLOW</t>
  </si>
  <si>
    <t>Univ Texas Austin, Inst Geophys, Jackson Sch Geosci, Austin, TX 78759 USA</t>
  </si>
  <si>
    <t>University of Texas System; University of Texas Austin</t>
  </si>
  <si>
    <t>Dalziel, IWD (corresponding author), Univ Texas Austin, Inst Geophys, Jackson Sch Geosci, 10100 Burnet Rd, Austin, TX 78759 USA.</t>
  </si>
  <si>
    <t>ian@ig.utexas.edu</t>
  </si>
  <si>
    <t>Dalziel, Ian W. D./G-5926-2010</t>
  </si>
  <si>
    <t>10.1130/focus042014.1</t>
  </si>
  <si>
    <t>WOS:000333244300028</t>
  </si>
  <si>
    <t>Gomez, F; Sartaj, M</t>
  </si>
  <si>
    <t>Gomez, Francisco; Sartaj, Majid</t>
  </si>
  <si>
    <t>Optimization of field scale biopiles for bioremediation of petroleum hydrocarbon contaminated soil at low temperature conditions by response surface methodology (RSM)</t>
  </si>
  <si>
    <t>INTERNATIONAL BIODETERIORATION &amp; BIODEGRADATION</t>
  </si>
  <si>
    <t>Bioremediation; Petroleum hydrocarbons; Compost; Cold weather; Biopiles; Consortia; Factorial design; Response surface methodology</t>
  </si>
  <si>
    <t>SUB-ANTARCTIC SOIL; BIODEGRADATION; NUTRIENT</t>
  </si>
  <si>
    <t>Ex-Situ Bioremediation has been increasingly viewed as an appropriate remediation technology for hydrocarbon contaminated soils under cold climates conditions in countries like Canada. A response surface methodology (RSM) based on a factorial design was performed to investigate and optimize the effects of the microbial consortia application rate and amount of mature compost amendment on the TPH removal (964 mu g g(-1) initial concentration). 18 field-scale biopiles (16 m(3) each) were constructed, maintained and subjected to different microbial consortium and mature compost application rates under cold climate conditions over a period of 94 days. TPHs removal rates in the range of 74-82% was observed in the treatments setups where mature compost and microbial consortia were used simultaneously, compared to an average 48% of TPHs removal in control setup. The interaction between these two factors were studied and modelled using a statistical regression model, which showed that the microbial consortia application rate, the mature compost amendment and their interactions had a significant effect on TPHs degradation with a coefficient cif determination (R-2) of 0.88. Furthermore, using a numerical optimization approach, the optimum rates predicted via RSM were estimated at 4.1 ml m(-3) and 7% for microbial consortia and compost application rates to obtain a maximum TPH removal of 90.7%. (C) 2014 Elsevier Ltd. All rights reserved.</t>
  </si>
  <si>
    <t>[Gomez, Francisco; Sartaj, Majid] Univ Ottawa, Dept Civil Engn, Ottawa, ON K1N 6N5, Canada</t>
  </si>
  <si>
    <t>University of Ottawa</t>
  </si>
  <si>
    <t>Sartaj, M (corresponding author), Univ Ottawa, Dept Civil Engn, 161 Louis Pasteur, Ottawa, ON K1N 6N5, Canada.</t>
  </si>
  <si>
    <t>fgome035@uottawa.ca; msartaj@uottawa.ca</t>
  </si>
  <si>
    <t>GFL Environmental Inc.; MITACs enterprises</t>
  </si>
  <si>
    <t>This research was supported by GFL Environmental Inc. in collaboration with MITACs enterprises in their search to gain and implement novel solutions to commercial operations. The authors would also like to acknowledge the special contribution of Orga-world by providing the mature compost, and to Paracel Laboratories and St Lawrence River Institute (SLRI) for their technical assistance during this endeavour.</t>
  </si>
  <si>
    <t>0964-8305</t>
  </si>
  <si>
    <t>1879-0208</t>
  </si>
  <si>
    <t>INT BIODETER BIODEGR</t>
  </si>
  <si>
    <t>Int. Biodeterior. Biodegrad.</t>
  </si>
  <si>
    <t>10.1016/j.ibiod.2014.01.010</t>
  </si>
  <si>
    <t>Biotechnology &amp; Applied Microbiology; Environmental Sciences</t>
  </si>
  <si>
    <t>Biotechnology &amp; Applied Microbiology; Environmental Sciences &amp; Ecology</t>
  </si>
  <si>
    <t>AE2CY</t>
  </si>
  <si>
    <t>WOS:000333782100015</t>
  </si>
  <si>
    <t>Lucieer, A; Turner, D; King, DH; Robinson, SA</t>
  </si>
  <si>
    <t>Lucieer, Arko; Turner, Darren; King, Diana H.; Robinson, Sharon A.</t>
  </si>
  <si>
    <t>Using an Unmanned Aerial Vehicle (UAV) to capture micro-topography of Antarctic moss beds</t>
  </si>
  <si>
    <t>INTERNATIONAL JOURNAL OF APPLIED EARTH OBSERVATION AND GEOINFORMATION</t>
  </si>
  <si>
    <t>Article; Proceedings Paper</t>
  </si>
  <si>
    <t>12th International Circumpolar Remote Sensing Symposium</t>
  </si>
  <si>
    <t>MAY 14-18, 2012</t>
  </si>
  <si>
    <t>Univ Eastern Finland, Dept Geog &amp; Hist, Levi, FINLAND</t>
  </si>
  <si>
    <t>Univ Eastern Finland, Dept Geog &amp; Hist</t>
  </si>
  <si>
    <t>WINDMILL ISLANDS; CLIMATE-CHANGE; ERROR PROPAGATION; WILKES-LAND; SNOWMELT; MODEL; VEGETATION; SYSTEMS; CLASSIFICATION; SIMULATION</t>
  </si>
  <si>
    <t>Mosses, the dominant flora of East Antarctica, show evidence of drying in recent decades, likely due to the regional effects of climate change. Given the relatively small area that such moss beds occupy, new tools are needed to map and monitor these fragile ecosystems in sufficient detail. In this study, we collected low altitude aerial photography with a small multi-rotor Unmanned Aerial Vehicle (UAV). Structure from Motion (SfM) computer vision techniques were applied to derive ultra-high resolution 3D models from multi-view aerial photography. A 2 cm digital surface model (DSM) and 1 cm orthophoto mosaic were derived from the 3D model and aerial photographs, respectively. The geometric accuracy of the orthophoto and DSM was 4 cm. A weighted contributing upstream area was derived with the D-infinity algorithm, based on the DSM and a snow cover map derived from the orthophoto. The contributing upstream area was used as a proxy for water availability from snowmelt, one of the key environmental drivers of moss health. A Monte Carlo simulation with 300 realisations was implemented to model the impact of error in the DSM on runoff direction. Significant correlations were found between these simulated water availability values and field measurements of moss health and water content. In the future ultra-high spatial resolution DSMs acquired with a UAV could thus be used to determine the impact of changing snow cover on the health and spatial distribution of polar vegetation non-destructively. Crown Copyright (c) 2013 Published by Elsevier B.V. All rights reserved.</t>
  </si>
  <si>
    <t>[Lucieer, Arko; Turner, Darren] Univ Tasmania, Sch Geog &amp; Environm Studies, Hobart, Tas 7001, Australia; [King, Diana H.; Robinson, Sharon A.] Univ Wollongong, Sch Biol Sci, Inst Conservat Biol &amp; Environm Management, Wollongong, NSW 2522, Australia</t>
  </si>
  <si>
    <t>University of Tasmania; University of Wollongong</t>
  </si>
  <si>
    <t>Lucieer, A (corresponding author), Univ Tasmania, Sch Geog &amp; Environm Studies, Private Bag 76, Hobart, Tas 7001, Australia.</t>
  </si>
  <si>
    <t>Arko.Lucieer@utas.edu.au; Darren.Turner@utas.edu.au; dhk442@uowmail.edu.au; sharonr@uow.edu.au</t>
  </si>
  <si>
    <t>Robinson, Sharon/B-2683-2008; King, Diana/K-1061-2019; Lucieer, Arko/F-1247-2013; Turner, Darren/O-4839-2017</t>
  </si>
  <si>
    <t>Robinson, Sharon/0000-0002-7130-9617; King, Diana/0000-0001-6313-4450; Lucieer, Arko/0000-0002-9468-4516; Turner, Darren/0000-0002-3029-6717</t>
  </si>
  <si>
    <t>ELSEVIER</t>
  </si>
  <si>
    <t>AMSTERDAM</t>
  </si>
  <si>
    <t>RADARWEG 29, 1043 NX AMSTERDAM, NETHERLANDS</t>
  </si>
  <si>
    <t>1569-8432</t>
  </si>
  <si>
    <t>1872-826X</t>
  </si>
  <si>
    <t>INT J APPL EARTH OBS</t>
  </si>
  <si>
    <t>Int. J. Appl. Earth Obs. Geoinf.</t>
  </si>
  <si>
    <t>A</t>
  </si>
  <si>
    <t>SI</t>
  </si>
  <si>
    <t>10.1016/j.jag.2013.05.011</t>
  </si>
  <si>
    <t>Remote Sensing</t>
  </si>
  <si>
    <t>Science Citation Index Expanded (SCI-EXPANDED); Conference Proceedings Citation Index - Science (CPCI-S)</t>
  </si>
  <si>
    <t>285HY</t>
  </si>
  <si>
    <t>WOS:000329385900007</t>
  </si>
  <si>
    <t>Clarke, A</t>
  </si>
  <si>
    <t>Clarke, Andrew</t>
  </si>
  <si>
    <t>The thermal limits to life on Earth</t>
  </si>
  <si>
    <t>INTERNATIONAL JOURNAL OF ASTROBIOLOGY</t>
  </si>
  <si>
    <t>life cycle; unicell; temperature; archaea; vitrification; survival; eukaryote; bacteria; ice</t>
  </si>
  <si>
    <t>UPPER TEMPERATURE LIMIT; SP-NOV REPRESENTS; EXTREMELY THERMOPHILIC METHANOGEN; FERRIREDUCENS GEN. NOV.; HYPERTHERMUS-BUTYLICUS; SP. NOV.; SURVIVAL; GROWTH; EXTREME; ADAPTATION</t>
  </si>
  <si>
    <t>Living organisms on Earth are characterized by three necessary features: a set of internal instructions encoded in DNA (software), a suite of proteins and associated macromolecules providing a boundary and internal structure (hardware), and a flux of energy. In addition, they replicate themselves through reproduction, a process that renders evolutionary change inevitable in a resource-limited world. Temperature has a profound effect on all of these features, and yet life is sufficiently adaptable to be found almost everywhere water is liquid. The thermal limits to survival are well documented for many types of organisms, but the thermal limits to completion of the life cycle are much more difficult to establish, especially for organisms that inhabit thermally variable environments. Current data suggest that the thermal limits to completion of the life cycle differ between the three major domains of life, bacteria, archaea and eukaryotes. At the very highest temperatures only archaea are found with the current high-temperature limit for growth being 122 degrees C. Bacteria can grow up to 100 degrees C, but no eukaryote appears to be able to complete its life cycle above similar to 60 degrees C and most not above 40 degrees C. The lower thermal limit for growth in bacteria, archaea, unicellular eukaryotes where ice is present appears to be set by vitrification of the cell interior, and lies at similar to-20 degrees C. Lichens appear to be able to grow down to similar to-10 degrees C. Higher plants and invertebrates living at high latitudes can survive down to similar to-70 degrees C, but the lower limit for completion of the life cycle in multicellular organisms appears to be similar to-2 degrees C.</t>
  </si>
  <si>
    <t>[Clarke, Andrew] British Antarctic Survey, Cambridge CB3 0ET, England; [Clarke, Andrew] Univ E Anglia, Sch Environm Sci, Norwich NR4 7TJ, Norfolk, England</t>
  </si>
  <si>
    <t>UK Research &amp; Innovation (UKRI); Natural Environment Research Council (NERC); NERC British Antarctic Survey; University of East Anglia</t>
  </si>
  <si>
    <t>Clarke, A (corresponding author), British Antarctic Survey, Cambridge CB3 0ET, England.</t>
  </si>
  <si>
    <t>accl@bas.ac.uk</t>
  </si>
  <si>
    <t>NERC [bas010011] Funding Source: UKRI; Natural Environment Research Council [bas010011] Funding Source: researchfish</t>
  </si>
  <si>
    <t>1473-5504</t>
  </si>
  <si>
    <t>1475-3006</t>
  </si>
  <si>
    <t>INT J ASTROBIOL</t>
  </si>
  <si>
    <t>Int. J. Astrobiol.</t>
  </si>
  <si>
    <t>10.1017/S1473550413000438</t>
  </si>
  <si>
    <t>Astronomy &amp; Astrophysics; Biology; Geosciences, Multidisciplinary</t>
  </si>
  <si>
    <t>Astronomy &amp; Astrophysics; Life Sciences &amp; Biomedicine - Other Topics; Geology</t>
  </si>
  <si>
    <t>AE1SJ</t>
  </si>
  <si>
    <t>WOS:000333749700006</t>
  </si>
  <si>
    <t>Vick-Majors, TJ; Priscu, JC; Amaral-Zettler, LA</t>
  </si>
  <si>
    <t>Vick-Majors, Trista J.; Priscu, John C.; Amaral-Zettler, Linda A.</t>
  </si>
  <si>
    <t>Modular community structure suggests metabolic plasticity during the transition to polar night in ice-covered Antarctic lakes</t>
  </si>
  <si>
    <t>ISME JOURNAL</t>
  </si>
  <si>
    <t>ice-covered lake; McMurdo Dry Valleys; microbial diversity; MIRADA-LTERS; network analysis; polar night</t>
  </si>
  <si>
    <t>MCMURDO DRY VALLEY; FRESH-WATER; PHYTOPLANKTON DYNAMICS; COOCCURRENCE PATTERNS; BACTERIAL PRODUCTION; OXIDIZING BACTERIA; METHANE PRODUCTION; GENOME SEQUENCE; ARCTIC LAKE; DIVERSITY</t>
  </si>
  <si>
    <t>High-latitude environments, such as the Antarctic McMurdo Dry Valley lakes, are subject to seasonally segregated light-dark cycles, which have important consequences for microbial diversity and function on an annual basis. Owing largely to the logistical difficulties of sampling polar environments during the darkness of winter, little is known about planktonic microbial community responses to the cessation of photosynthetic primary production during the austral sunset, which lingers from approximately February to April. Here, we hypothesized that changes in bacterial, archaeal and eukaryotic community structure, particularly shifts in favor of chemolithotrophs and mixotrophs, would manifest during the transition to polar night. Our work represents the first concurrent molecular characterization, using 454 pyrosequencing of hypervariable regions of the small-subunit ribosomal RNA gene, of bacterial, archaeal and eukaryotic communities in permanently ice-covered lakes Fryxell and Bonney, before and during the polar night transition. We found vertically stratified populations that varied at the community and/or operational taxonomic unit-level between lakes and seasons. Network analysis based on operational taxonomic unit level interactions revealed nonrandomly structured microbial communities organized into modules (groups of taxa) containing key metabolic potential capacities, including photoheterotrophy, mixotrophy and chemolithotrophy, which are likely to be differentially favored during the transition to polar night.</t>
  </si>
  <si>
    <t>[Vick-Majors, Trista J.; Priscu, John C.] Montana State Univ, Dept Land Resources &amp; Environm Sci, Bozeman, MT 59717 USA; [Amaral-Zettler, Linda A.] Marine Biol Lab, Josephine Bay Paul Ctr Comparat Mol Biol &amp; Evolut, Woods Hole, MA 02543 USA; [Amaral-Zettler, Linda A.] Brown Univ, Dept Geol Sci, Providence, RI 02912 USA</t>
  </si>
  <si>
    <t>Montana State University System; Montana State University Bozeman; Marine Biological Laboratory - Woods Hole; Brown University</t>
  </si>
  <si>
    <t>Amaral-Zettler, LA (corresponding author), Marine Biol Lab, Josephine Bay Paul Ctr, 7 MBL St Woods Hole, Woods Hole, MA 02543 USA.</t>
  </si>
  <si>
    <t>amaral@mbl.edu</t>
  </si>
  <si>
    <t>Vick-Majors, Trista/AAQ-6258-2020</t>
  </si>
  <si>
    <t>Vick-Majors, Trista/0000-0002-6868-4010</t>
  </si>
  <si>
    <t>NSF [DEB-0717390, OPP-1115254, OPP-0838953, OPP-1027284, OPP-0839075]; Montana Space Grant Consortium; Directorate For Geosciences; Office of Polar Programs (OPP) [1115245] Funding Source: National Science Foundation; Division Of Polar Programs; Directorate For Geosciences [0838933] Funding Source: National Science Foundation</t>
  </si>
  <si>
    <t>NSF(National Science Foundation (NSF)); Montana Space Grant Consortium; Directorate For Geosciences; Office of Polar Programs (OPP)(National Science Foundation (NSF)NSF - Directorate for Geosciences (GEO)); Division Of Polar Programs; Directorate For Geosciences(National Science Foundation (NSF)NSF - Directorate for Geosciences (GEO))</t>
  </si>
  <si>
    <t>We would like to thank the MCM Microbial Observatory, Sukkyun Han, Chao Tang, Amy Chiuchiolo and Marie Sabacka for assistance with sample collection, the 2007-2008 McMurdo Long-Term Ecological Research limnology team for assistance with environmental data collection and Elizabeth McCliment for assistance with sequencing. Funding was provided by NSF DEB-0717390 to Linda A Amaral-Zettler (MIRADA-LTERS) and OPP-1115254, OPP-0838953, OPP-1027284 and OPP-0839075 to John C Priscu. The Montana Space Grant Consortium provided additional funding for Trista Vick-Majors.</t>
  </si>
  <si>
    <t>SPRINGERNATURE</t>
  </si>
  <si>
    <t>LONDON</t>
  </si>
  <si>
    <t>CAMPUS, 4 CRINAN ST, LONDON, N1 9XW, ENGLAND</t>
  </si>
  <si>
    <t>1751-7362</t>
  </si>
  <si>
    <t>1751-7370</t>
  </si>
  <si>
    <t>ISME J</t>
  </si>
  <si>
    <t>ISME J.</t>
  </si>
  <si>
    <t>10.1038/ismej.2013.190</t>
  </si>
  <si>
    <t>Ecology; Microbiology</t>
  </si>
  <si>
    <t>Environmental Sciences &amp; Ecology; Microbiology</t>
  </si>
  <si>
    <t>AD4BA</t>
  </si>
  <si>
    <t>WOS:000333189700005</t>
  </si>
  <si>
    <t>Astorga-España, MS; Mansilla, A</t>
  </si>
  <si>
    <t>Astorga-Espana, Ma S.; Mansilla, Andres</t>
  </si>
  <si>
    <t>Sub-Antarctic macroalgae: opportunities for gastronomic tourism and local fisheries in the Region of Magallanes and Chilean Antarctic Territory</t>
  </si>
  <si>
    <t>JOURNAL OF APPLIED PHYCOLOGY</t>
  </si>
  <si>
    <t>Edible macroalgae; Fatty acid; Mineral; Nutritional composition; Sub-Antarctic seaweeds</t>
  </si>
  <si>
    <t>CHEMICAL-COMPOSITION; MARINE-ALGAE; SEAWEEDS; AMERICA; FOOD; SEA</t>
  </si>
  <si>
    <t>In order to promote the use of sub-Antarctic macroalgae as food, four species of marine macroalgae: Macrocystis pyrifera, Durvillaea antarctica, Pyropia columbina, and Callophyllis variegata were studied for their nutritional value. They were collected monthly between October and December 2012 throughout the Strait of Magallanes, sub-Antarctic Chile. The chemical composition, including carbohydrates, proteins, lipids, and vitamins A and C, and the macronutrient, mineral, and fatty acid content were examined. Ash (15.1-34.1 %) and soluble fiber (26.5 to 40.3 %) were the most abundant in these species. Presence of protein was moderate (8.2-25.0 %), with red alga (C. variegata) having the highest value on dry weight (dw). All algal species had lipid contents of less than 5 % dw. Maximum carbohydrate content was observed in P. columbina (9.5 % dw). Potassium was the most abundant essential element found in M. pyrifera (8.51 % dw), while P. columbina was found to be richest in iron (305.5 +/- 5.5 mu g g(-1) dw) and C. variegata showed the highest contents of Cu (17.4 +/- 0.7 mu g g(-1) dw). The most abundant saturated fatty acids were palmitic (C16:0) and myristic acid (C14:0), with values ranging from 4.33 to 9.22 %. The most abundant monounsaturated fatty acid was oleic acid (C18:1 omega 9). The highest levels of polyunsaturated fatty acid were observed for arachidonic (20:4 omega 6) and eicosapentaenoic acid (C20:5 omega 3) or EPA.</t>
  </si>
  <si>
    <t>[Astorga-Espana, Ma S.; Mansilla, Andres] Univ Magallanes, Dept Sci &amp; Nat Resources, Punta Arenas, Chile; [Mansilla, Andres] Inst Ecol &amp; Biodivers, Santiago, Chile</t>
  </si>
  <si>
    <t>Universidad de Magallanes</t>
  </si>
  <si>
    <t>Astorga-España, MS (corresponding author), Univ Magallanes, Dept Sci &amp; Nat Resources, 01855 Bulnes Ave,POB 113-D Punta Arenas, Punta Arenas, Chile.</t>
  </si>
  <si>
    <t>msoledad.astorga@umag.cl</t>
  </si>
  <si>
    <t>Astorga Espana, Maria Soledad/0000-0003-0647-7515; Mansilla, Andres/0000-0003-3505-7018</t>
  </si>
  <si>
    <t>Regional Government [30111118, 30127816]</t>
  </si>
  <si>
    <t>Regional Government</t>
  </si>
  <si>
    <t>The authors would like to thank the Regional Government for the funding through the Innovation Fund for Competitiveness to the Project Sub-antarctic macroalgae opportunities for Gastronomic Tourism and Artisan Fishery BIP Code: 30111118 and Transfer of healthy eating based on subantarctic macroalgae BIP Code: 30127816 and S. Murcia for editing the English usage throughout the text.</t>
  </si>
  <si>
    <t>0921-8971</t>
  </si>
  <si>
    <t>1573-5176</t>
  </si>
  <si>
    <t>J APPL PHYCOL</t>
  </si>
  <si>
    <t>J. Appl. Phycol.</t>
  </si>
  <si>
    <t>10.1007/s10811-013-0141-1</t>
  </si>
  <si>
    <t>Biotechnology &amp; Applied Microbiology; Marine &amp; Freshwater Biology</t>
  </si>
  <si>
    <t>AF1UA</t>
  </si>
  <si>
    <t>WOS:000334498200032</t>
  </si>
  <si>
    <t>Choudhari, S; Lohia, R; Grigoriev, A</t>
  </si>
  <si>
    <t>Choudhari, Sulbha; Lohia, Ruchi; Grigoriev, Andrey</t>
  </si>
  <si>
    <t>Comparative metagenome analysis of an Alaskan glacier</t>
  </si>
  <si>
    <t>JOURNAL OF BIOINFORMATICS AND COMPUTATIONAL BIOLOGY</t>
  </si>
  <si>
    <t>Byron glacier; metagenomics; sequence analysis; high Arctic</t>
  </si>
  <si>
    <t>ICE; BACTERIA</t>
  </si>
  <si>
    <t>The temperature in the Arctic region has been increasing in the recent past accompanied by melting of its glaciers. We took a snapshot of the current microbial inhabitation of an Alaskan glacier (which can be considered as one of the simplest possible ecosystems) by using metagenomic sequencing of 16S rRNA recovered from ice/snow samples. Somewhat contrary to our expectations and earlier estimates, a rich and diverse microbial population of more than 2,500 species was revealed including several species of Archaea that has been identified for the first time in the glaciers of the Northern hemisphere. The most prominent bacterial groups found were Proteobacteria, Bacteroidetes, and Firmicutes. Firmicutes were not reported in large numbers in a previously studied Alpine glacier but were dominant in an Antarctic subglacial lake. Representatives of Cyanobacteria, Actinobacteria and Planctomycetes were among the most numerous, likely reflecting the dependence of the ecosystem on the energy obtained through photosynthesis and close links with the microbial community of the soil. Principal component analysis (PCA) of nucleotide word frequency revealed distinct sequence clusters for different taxonomic groups in the Alaskan glacier community and separate clusters for the glacial communities from other regions of the world. Comparative analysis of the community composition and bacterial diversity present in the Byron glacier in Alaska with other environments showed larger overlap with an Arctic soil than with a high Arctic lake, indicating patterns of community exchange and suggesting that these bacteria may play an important role in soil development during glacial retreat.</t>
  </si>
  <si>
    <t>[Choudhari, Sulbha; Lohia, Ruchi; Grigoriev, Andrey] Rutgers State Univ, Ctr Computat &amp; Integrat Biol, Camden, NJ 08102 USA</t>
  </si>
  <si>
    <t>Rutgers University System; Rutgers University New Brunswick; Rutgers University Camden</t>
  </si>
  <si>
    <t>Choudhari, S (corresponding author), Rutgers State Univ, Ctr Computat &amp; Integrat Biol, 315 Penn St, Camden, NJ 08102 USA.</t>
  </si>
  <si>
    <t>andrey.grigoriev@rutgers.edu</t>
  </si>
  <si>
    <t>Lohia, Ruchi/ADM-5775-2022; Lohia, Ruchi/AAL-6142-2020; Grigoriev, Andrey/AAR-9544-2021</t>
  </si>
  <si>
    <t>Lohia, Ruchi/0000-0002-3496-8197; Grigoriev, Andrey/0000-0002-3227-532X</t>
  </si>
  <si>
    <t>NSF [DBI-1126052]; Direct For Biological Sciences; Div Of Biological Infrastructure [1126052] Funding Source: National Science Foundation</t>
  </si>
  <si>
    <t>NSF(National Science Foundation (NSF)); Direct For Biological Sciences; Div Of Biological Infrastructure(National Science Foundation (NSF)NSF - Directorate for Biological Sciences (BIO))</t>
  </si>
  <si>
    <t>We would like to thank Sean Smith for careful reading of the manuscript. We would like to thank anonymous reviewers for helpful comments on an earlier version of the manuscript. This work was in part supported by the NSF grant DBI-1126052 to A.G.</t>
  </si>
  <si>
    <t>IMPERIAL COLLEGE PRESS</t>
  </si>
  <si>
    <t>57 SHELTON ST, COVENT GARDEN, LONDON WC2H 9HE, ENGLAND</t>
  </si>
  <si>
    <t>0219-7200</t>
  </si>
  <si>
    <t>1757-6334</t>
  </si>
  <si>
    <t>J BIOINF COMPUT BIOL</t>
  </si>
  <si>
    <t>J. Bioinform. Comput. Biol.</t>
  </si>
  <si>
    <t>10.1142/S0219720014410030</t>
  </si>
  <si>
    <t>Biochemical Research Methods; Computer Science, Interdisciplinary Applications; Mathematical &amp; Computational Biology</t>
  </si>
  <si>
    <t>Biochemistry &amp; Molecular Biology; Computer Science; Mathematical &amp; Computational Biology</t>
  </si>
  <si>
    <t>AZ6RM</t>
  </si>
  <si>
    <t>WOS:000348346700003</t>
  </si>
  <si>
    <t>De Rydt, J; Holland, PR; Dutrieux, P; Jenkins, A</t>
  </si>
  <si>
    <t>De Rydt, J.; Holland, P. R.; Dutrieux, P.; Jenkins, A.</t>
  </si>
  <si>
    <t>Geometric and oceanographic controls on melting beneath Pine Island Glacier</t>
  </si>
  <si>
    <t>JOURNAL OF GEOPHYSICAL RESEARCH-OCEANS</t>
  </si>
  <si>
    <t>Pine Island Glacier; melt rates; ice-ocean interaction</t>
  </si>
  <si>
    <t>ANTARCTIC ICE-SHEET; CIRCUMPOLAR DEEP-WATER; SHELF BASAL CHANNELS; OCEAN CIRCULATION; WEST ANTARCTICA; PARAMETERIZATION; VARIABILITY; SENSITIVITY</t>
  </si>
  <si>
    <t>Observations beneath the floating section of Pine Island Glacier have revealed the presence of a subglacial ridge which rises up to 300 m above the surrounding bathymetry. This topographic feature probably served as a steady grounding line position until sometime before the 1970s, when an ongoing phase of rapid grounding line retreat was initiated. As a result, a large ocean cavity has formed behind the ridge, strongly controlling the ocean circulation beneath the ice shelf and modulating the ocean water properties that cause ice melting in the vicinity of the grounding line. In order to understand how melt rates have changed during the various phases of cavity formation, we use a high-resolution ocean model to simulate the cavity circulation for a series of synthetic geometries. We show that the height of the ridge and the gap between the ridge and ice shelf strongly control the inflow of warm bottom waters into the cavity, and hence the melt rates. Model results suggest a rapid geometrically controlled increase of meltwater production at the onset of ice thinning, but a weak sensitivity to geometry once the gap between the ridge and ice shelf has passed a threshold value of about 200 m. This provides evidence for a new, coupled, ice-ocean feedback acting to enhance the initial retreat of an ice stream from a bedrock high. The present gap is over 200 m, and our results suggest that observed variability in melt rates is now controlled by other factors, such as the depth of the thermocline.</t>
  </si>
  <si>
    <t>[De Rydt, J.; Holland, P. R.; Dutrieux, P.; Jenkins, A.] NERC, British Antarctic Survey, Cambridge, England</t>
  </si>
  <si>
    <t>UK Research &amp; Innovation (UKRI); Natural Environment Research Council (NERC); NERC British Antarctic Survey</t>
  </si>
  <si>
    <t>De Rydt, J (corresponding author), NERC, British Antarctic Survey, Cambridge, England.</t>
  </si>
  <si>
    <t>janryd69@bas.ac.uk</t>
  </si>
  <si>
    <t>Jenkins, Adrian/IUN-2406-2023; Holland, Paul R/G-2796-2012; Dutrieux, Pierre/B-7568-2012; De Rydt, Jan/H-5692-2018</t>
  </si>
  <si>
    <t>Dutrieux, Pierre/0000-0002-8066-934X; Jenkins, Adrian/0000-0002-9117-0616; De Rydt, Jan/0000-0002-2978-8706</t>
  </si>
  <si>
    <t>NERC [NE/G001367/1, NE/H02333X/1]; Natural Environment Research Council [NE/J005770/1, NE/H02333X/1, bas0100027, bas0100028, NE/G001367/1] Funding Source: researchfish; NERC [bas0100028, bas0100027, NE/J005770/1, NE/G001367/1, NE/H02333X/1] Funding Source: UKRI</t>
  </si>
  <si>
    <t>P.D. and J.D.R were supported by NERC grants NE/G001367/1 and NE/H02333X/1.</t>
  </si>
  <si>
    <t>2169-9275</t>
  </si>
  <si>
    <t>2169-9291</t>
  </si>
  <si>
    <t>J GEOPHYS RES-OCEANS</t>
  </si>
  <si>
    <t>J. Geophys. Res.-Oceans</t>
  </si>
  <si>
    <t>10.1002/2013JC009513</t>
  </si>
  <si>
    <t>Oceanography</t>
  </si>
  <si>
    <t>AH6AN</t>
  </si>
  <si>
    <t>Green Accepted, Bronze</t>
  </si>
  <si>
    <t>WOS:000336213200017</t>
  </si>
  <si>
    <t>Saria, E; Calais, E; Stamps, DS; Delvaux, D; Hartnady, CJH</t>
  </si>
  <si>
    <t>Saria, E.; Calais, E.; Stamps, D. S.; Delvaux, D.; Hartnady, C. J. H.</t>
  </si>
  <si>
    <t>Present-day kinematics of the East African Rift</t>
  </si>
  <si>
    <t>JOURNAL OF GEOPHYSICAL RESEARCH-SOLID EARTH</t>
  </si>
  <si>
    <t>SEISMIC-REFLECTION; CENTRAL TANZANIA; VELOCITY-FIELD; MANTLE PLUMES; PLATE; SOMALIA; GPS; MODEL; NUBIA; EARTHQUAKE</t>
  </si>
  <si>
    <t>The East African Rift (EAR) is a type locale for investigating the processes that drive continental rifting and breakup. The current kinematics of this similar to 5000 km long divergent plate boundary between the Nubia and Somalia plates is starting to be unraveled thanks to a recent augmentation of space geodetic data in Africa. Here we use a new data set combining episodic GPS measurements with continuous measurements on the Nubian, Somalian, and Antarctic plates, together with earthquake slip vector directions and geologic indicators along the Southwest Indian Ridge to update the present-day kinematics of the EAR. We use geological and seismological data to determine the main rift faults and solve for rigid block rotations while accounting for elastic strain accumulation on locked active faults. We find that the data are best fit with a model that includes three microplates embedded within the EAR, between Nubia and Somalia (Victoria, Rovuma, and Lwandle), consistent with previous findings but with slower extension rates. We find that earthquake slip vectors provide information that is consistent with the GPS velocities and helps to significantly reduce uncertainties of plate angular velocity estimates. We also find that 3.16 Myr MORVEL average spreading rates along the Southwest Indian Ridge are systematically faster than prediction from GPS data alone. This likely indicates that outward displacement along the SWIR is larger than the default value used in the MORVEL plate motion model.</t>
  </si>
  <si>
    <t>[Saria, E.] Ardhi Univ, Sch Geospatial Sci &amp; Technol, Dept Geomat, Dar Es Salaam, Tanzania; [Calais, E.] Ecole Normale Super, CNRS, UMR 8538, Dept Geosci, Paris, France; [Stamps, D. S.] Purdue Univ, Dept Earth &amp; Atmospher Sci, W Lafayette, IN 47907 USA; [Delvaux, D.] Royal Museum Cent Africa, Tervuren, Belgium; [Hartnady, C. J. H.] Umvoto Africa Pty Ltd, Cape Town, South Africa</t>
  </si>
  <si>
    <t>Centre National de la Recherche Scientifique (CNRS); CNRS - National Institute for Earth Sciences &amp; Astronomy (INSU); Universite PSL; Ecole Normale Superieure (ENS); Purdue University System; Purdue University; Royal Museum for Central Africa</t>
  </si>
  <si>
    <t>Calais, E (corresponding author), Ardhi Univ, Sch Geospatial Sci &amp; Technol, Dept Geomat, Dar Es Salaam, Tanzania.</t>
  </si>
  <si>
    <t>eric.calais@ens.fr</t>
  </si>
  <si>
    <t>Stamps, D Sarah/JUU-3443-2023; Calais, Eric/K-8219-2012</t>
  </si>
  <si>
    <t>Stamps, D. Sarah/0000-0002-3531-1752; Calais, Eric/0000-0002-5935-8117</t>
  </si>
  <si>
    <t>National Science Foundation (NSF); National Aeronautics and Space Administration (NASA) under NSF [EAR-0735156]; NSF [EAR-0538119, EAR-2009052513]; Action 1 program of the Belgian Science Policy; U.S. National Science Foundation (NSF); Directorate For Geosciences; Division Of Earth Sciences [1261833, 1249295] Funding Source: National Science Foundation</t>
  </si>
  <si>
    <t>National Science Foundation (NSF)(National Science Foundation (NSF)); National Aeronautics and Space Administration (NASA) under NSF(National Aeronautics &amp; Space Administration (NASA)); NSF(National Science Foundation (NSF)); Action 1 program of the Belgian Science Policy; U.S. National Science Foundation (NSF)(National Science Foundation (NSF)); Directorate For Geosciences; Division Of Earth Sciences(National Science Foundation (NSF)NSF - Directorate for Geosciences (GEO))</t>
  </si>
  <si>
    <t>We acknowledge and thank organizations that make their geodetic data openly available to research. We thank colleagues and students from Ardhi University, Department of Geomatics, and the University of Dar Es Salaam, Department of Geology, for the support they provided to our joint field work in Tanzania. We acknowledge the field support from the Hartebestoek Observatory, South Africa, via L. Combrinck. We thank C. DeMets for sharing GPS velocities for Antarctica ahead of publication. This work uses data services provided by the UNAVCO Facility with support from the National Science Foundation (NSF) and National Aeronautics and Space Administration (NASA) under NSF Cooperative Agreement EAR-0735156. E. C., E. S., and D. S. S. were supported by NSF award EAR-0538119 to E. C. D. S. S. was also supported by NSF graduate research fellowship EAR-2009052513. D. D. was supported by the Action 1 program of the Belgian Science Policy. We thank R. Malservisi and an anonymous reviewer for their constructive comments which significantly helped improve the original manuscript. All data used in this study are publicly available on the following public archives: AFREF [afrefdata.org], TRIGNET [www.trignet.co.za], NIGNET [server.nignet.net], UNAVCO [www.unavco.org], SIO [sopac.ucsd.edu], IGS [www.igs.org], and SEGAL [segal.ubi.pt] (provides partial data sets only). We thank all agencies and individual investigators who contribute their data through these archives. We thank the IGS and its centers for providing open GNSS data and data products to the community. All GPS data acquired by our group in East Africa via funding from the U.S. National Science Foundation (NSF) are available on the UNAVCO archive, as per NSF data policy. Ancillary information necessary to process GPS data, such as precise satellite orbits, and antenna phase center models are openly available from the IGS [www.igs.org]. Global SINEX files used here are publicly available at MIT [http://acc.igs.org/reprocess.html]. The software used to process the GPS data (GAMIT-GLOBK) is openly available at MIT [http://www-gpsg.mit.edu/similar to simon/gtgk]. The software used for the kinematic modeling is openly available at http://web.pdx.edu/similar to mccaf/www/defnode/. Earthquake slip vector directions from the CMT project are found at http://www.globalcmt.org.</t>
  </si>
  <si>
    <t>2169-9313</t>
  </si>
  <si>
    <t>2169-9356</t>
  </si>
  <si>
    <t>J GEOPHYS RES-SOL EA</t>
  </si>
  <si>
    <t>J. Geophys. Res.-Solid Earth</t>
  </si>
  <si>
    <t>10.1002/2013JB010901</t>
  </si>
  <si>
    <t>AJ4ZG</t>
  </si>
  <si>
    <t>Green Published, Bronze</t>
  </si>
  <si>
    <t>Y</t>
  </si>
  <si>
    <t>N</t>
  </si>
  <si>
    <t>WOS:000337688600052</t>
  </si>
  <si>
    <t>Chen, LJ; Jordanova, VK; Spasojevic, M; Thorne, RM; Horne, RB</t>
  </si>
  <si>
    <t>Chen, Lunjin; Jordanova, Vania K.; Spasojevic, Maria; Thorne, Richard M.; Horne, Richard B.</t>
  </si>
  <si>
    <t>Electromagnetic ion cyclotron wave modeling during the geospace environment modeling challenge event</t>
  </si>
  <si>
    <t>JOURNAL OF GEOPHYSICAL RESEARCH-SPACE PHYSICS</t>
  </si>
  <si>
    <t>EMIC waves; Ring current; plasmaspheric plume; ray tracing; instability</t>
  </si>
  <si>
    <t>PARTICLE INTERACTIONS; PROTON PRECIPITATION; INNER MAGNETOSPHERE; GEOMAGNETIC STORMS; H+-HE+; GENERATION; ARC; O+; PLASMASPHERE; PROPAGATION</t>
  </si>
  <si>
    <t>We investigate the temporal evolution and the spatial distribution of electromagnetic ion cyclotron (EMIC) waves during the 8-11 June 2001 geomagnetic storm, one of the storms selected for study by the Geospace Environment Modeling program. Generations of EMIC waves in the H+, He+, and O+ bands are simulated using the kinetic ring current-atmosphere interactions model with a self-consistent magnetic field and a ray tracing code. Simulations show that strong wave gain occurs in the afternoon sector at L &gt; 5 and overlaps with a high-density plasmaspheric drainage plume. EMIC wave gain maximizes during the main phase and decreases in the recovery phase. We find that EMIC wave gain is stronger in the He+ band than in the other two bands in the inner magnetosphere, except the region of low L (&lt; 3) where the H+ band is dominant due to an enhancement in the ring current anisotropy. Little wave gain is obtained for the O+ band. Comparison with in situ EMIC events and EMIC event proxies at five geosynchronous satellites shows consistence in the temporal and local time evolution of the wave distribution. Our simulations of the EMIC wave distribution also agree with proton aurora at subauroral latitudes observed from the Imager for Magnetopause-to-Aurora Global Exploration satellite.</t>
  </si>
  <si>
    <t>[Chen, Lunjin] Univ Texas Dallas, Dept Phys, Richardson, TX 75083 USA; [Jordanova, Vania K.] Los Alamos Natl Lab, Los Alamos, NM USA; [Spasojevic, Maria] Stanford Univ, Space Telecommun &amp; Radiosci Lab, Stanford, CA 94305 USA; [Thorne, Richard M.] Univ Calif Los Angeles, Dept Atmospher &amp; Ocean Sci, Los Angeles, CA USA; [Horne, Richard B.] British Antarctic Survey, NERC, Cambridge CB3 0ET, England</t>
  </si>
  <si>
    <t>University of Texas System; University of Texas Dallas; United States Department of Energy (DOE); Los Alamos National Laboratory; Stanford University; University of California System; University of California Los Angeles; UK Research &amp; Innovation (UKRI); Natural Environment Research Council (NERC); NERC British Antarctic Survey</t>
  </si>
  <si>
    <t>Chen, LJ (corresponding author), Univ Texas Dallas, Dept Phys, Richardson, TX 75083 USA.</t>
  </si>
  <si>
    <t>lunjin.chen@gmail.com</t>
  </si>
  <si>
    <t>Horne, Richard B/U-3764-2019; Jordanova, Vania/AAE-9907-2020; Chen, Lunjin/L-1250-2013; Jordanova, Vania/E-3667-2018</t>
  </si>
  <si>
    <t>Horne, Richard B/0000-0002-0412-6407; Spasojevic, Maria/0000-0001-8869-5086; Chen, Lunjin/0000-0003-2489-3571; Jordanova, Vania/0000-0003-0475-8743</t>
  </si>
  <si>
    <t>NASA [NNX13AI61G, NNX11AR64G]; United States Department of Energy; NASA/LWS; NSF/GEM program; NSF [0902846]; Natural Environment Research Council [bas0100023] Funding Source: researchfish; Directorate For Geosciences; Div Atmospheric &amp; Geospace Sciences [0902846] Funding Source: National Science Foundation; NASA [NNX11AR64G, NNX13AI61G, 472988, 137204] Funding Source: Federal RePORTER; NERC [bas0100023] Funding Source: UKRI</t>
  </si>
  <si>
    <t>NASA(National Aeronautics &amp; Space Administration (NASA)); United States Department of Energy(United States Department of Energy (DOE)); NASA/LWS(National Aeronautics &amp; Space Administration (NASA)); NSF/GEM program(National Science Foundation (NSF)NSF - Directorate for Engineering (ENG)); NSF(National Science Foundation (NSF)); Natural Environment Research Council(UK Research &amp; Innovation (UKRI)Natural Environment Research Council (NERC)); Directorate For Geosciences; Div Atmospheric &amp; Geospace Sciences(National Science Foundation (NSF)NSF - Directorate for Geosciences (GEO)); NASA(National Aeronautics &amp; Space Administration (NASA)); NERC(UK Research &amp; Innovation (UKRI)Natural Environment Research Council (NERC))</t>
  </si>
  <si>
    <t>The authors would like to acknowledge NASA grants NNX13AI61G and NNX11AR64G. Work at Los Alamos was conducted under the auspices of the United States Department of Energy with partial support from NASA/LWS and NSF/GEM program. Work at Stanford was supported by NSF award 0902846. Interplanetary data were provided by the CDAWeb at NASA, and the Dst indices were provided by the World Data Center in Kyoto, Japan.</t>
  </si>
  <si>
    <t>2169-9380</t>
  </si>
  <si>
    <t>2169-9402</t>
  </si>
  <si>
    <t>J GEOPHYS RES-SPACE</t>
  </si>
  <si>
    <t>J. Geophys. Res-Space Phys.</t>
  </si>
  <si>
    <t>10.1002/2013JA019595</t>
  </si>
  <si>
    <t>AH6CP</t>
  </si>
  <si>
    <t>WOS:000336218600038</t>
  </si>
  <si>
    <t>Schweikert, K; Hurd, CL; Sutherland, JE; Burritt, DJ</t>
  </si>
  <si>
    <t>Schweikert, Katja; Hurd, Catriona L.; Sutherland, Judith E.; Burritt, David J.</t>
  </si>
  <si>
    <t>Regulation of polyamine metabolism in Pyropia cinnamomea (W.A. Nelson), an important mechanism for reducing UV-B-induced oxidative damage</t>
  </si>
  <si>
    <t>JOURNAL OF PHYCOLOGY</t>
  </si>
  <si>
    <t>Porphyra; polyamine; inhibitors; ornithine decarboxylase; UV-B stress; Pyropia cinnamomea; arginine decarboxylase</t>
  </si>
  <si>
    <t>ORNITHINE-DECARBOXYLASE ACTIVITY; FREE-RADICAL PRODUCTION; ARGININE DECARBOXYLASE; ANTIOXIDANT METABOLISM; ULTRAVIOLET-RADIATION; PLANT-REGENERATION; LEAF DISCS; STRESS; ACCUMULATION; MACROALGAE</t>
  </si>
  <si>
    <t>It is generally accepted that ultraviolet (UV) radiation can have adverse affects on phototrophic organisms, independent of ozone depletion. The red intertidal seaweed Pyropia cinnamomea W.A. Nelson (previously Porphyra cinnamomea Sutherland etal. 2011), similar to many other intertidal macrophytes, is exposed to high levels of UV radiation on a daily basis due to emersion in the upper littoral zone. It has been shown that seaweeds, like higher plants, respond to an increased activity of antioxidative enzymes when exposed to stress. However, earlier investigations have shown that P.cinnamomea also compensates for stress due to UV radiation by increasing polyamine (PA) levels, especially bound-soluble and bound-insoluble PAs. The PA precursor putrescine (PUT) can be synthesized via two enzymatic pathways: arginine decarboxylase (ADC) and ornithine decarboxylase (ODC). Both of these enzymes showed increased activity in P.cinnamomea under UV stress. In higher plants, ADC is the enzyme responsible for increased PA levels during stress exposure, while ODC is correlated with cell division and reproduction. However, there are contrary findings in the literature. Using two irreversible inhibitors, we identified the enzyme most likely responsible for increased PUT synthesis and therefore increased stress tolerance in P.cinnamomea. Our results show that changes in the PA synthesis pathway in P.cinnamomea under UV stress are based on an increased activity of ADC. When either inhibitor was added, lipid hydroperoxide levels increased even under photosynthetically active radiation, suggesting that PAs are involved in protection mechanisms under normal light conditions as well. We also show that under optimum or low-stress conditions, ODC activity is correlated with PUT synthesis.</t>
  </si>
  <si>
    <t>[Schweikert, Katja; Burritt, David J.] Univ Otago, Dept Bot, Dunedin, New Zealand; [Hurd, Catriona L.] Inst Marine &amp; Antarctic Studies, Hobart, Tas 7001, Australia; [Sutherland, Judith E.] Univ Auckland, Auckland Mail Ctr, Sch Biol Sci, Auckland 1142, New Zealand</t>
  </si>
  <si>
    <t>University of Otago; University of Tasmania; University of Auckland</t>
  </si>
  <si>
    <t>Schweikert, K (corresponding author), Univ Otago, Dept Bot, POB 56, Dunedin, New Zealand.</t>
  </si>
  <si>
    <t>katja.schweikert@otago.ac.nz</t>
  </si>
  <si>
    <t>Remy, Melanie/G-3598-2010; Sutherland, Judy/T-5863-2019; Hurd, Catriona/J-2411-2013; Sutherland, Judy/C-3147-2008</t>
  </si>
  <si>
    <t>Remy, Melanie/0000-0002-3238-2125; Hurd, Catriona/0000-0001-9965-4917; Sutherland, Judy/0000-0002-1722-8218</t>
  </si>
  <si>
    <t>University of Otago</t>
  </si>
  <si>
    <t>This study was supported by a University of Otago Research Grant to J.E.S., C. L. H. and D.J.B. K. S. was funded by an University of Otago postgraduate scholarship. We thank L. Kregting for support in the laboratory. B. Niven provided valuable help with statistical analysis.</t>
  </si>
  <si>
    <t>0022-3646</t>
  </si>
  <si>
    <t>1529-8817</t>
  </si>
  <si>
    <t>J PHYCOL</t>
  </si>
  <si>
    <t>J. Phycol.</t>
  </si>
  <si>
    <t>10.1111/jpy.12166</t>
  </si>
  <si>
    <t>Plant Sciences; Marine &amp; Freshwater Biology</t>
  </si>
  <si>
    <t>AE0AE</t>
  </si>
  <si>
    <t>WOS:000333625100004</t>
  </si>
  <si>
    <t>Darelius, E; Strand, KO; Osterhus, S; Gammeslrod, T; Årthun, M; Fer, I</t>
  </si>
  <si>
    <t>Darelius, E.; Strand, K. O.; Osterhus, S.; Gammeslrod, T.; Arthun, M.; Fer, I.</t>
  </si>
  <si>
    <t>On the Seasonal Signal of the Filchner Overflow, Weddell Sea, Antarctica</t>
  </si>
  <si>
    <t>JOURNAL OF PHYSICAL OCEANOGRAPHY</t>
  </si>
  <si>
    <t>Variability; Ice shelves; Bottom currents/bottom water; Geographic location/entity; Southern Ocean; Seasonal cycle; Atm/Ocean Structure/ Phenomena</t>
  </si>
  <si>
    <t>BOTTOM WATER; ICE SHELF; IMPACT; CIRCULATION; DEEP; FLOW</t>
  </si>
  <si>
    <t>The cold ice shelf water (ISW) that formed below the Filchner-Ronne Ice Shelf in the southwestern Weddell Sea, Antarctica, escapes the ice shelf cavity through the Filchner Depression and spills over its sill at a rate of 1.6 Sverdrups (Sv; 1 Sv equivalent to 10(6) m(3) s(-1)), thus contributing significantly to the production of Weddell Sea Bottom Water. Here, the authors examine all available observational data from the region-including five year-long time series of mooring data from the Filchner sill-to examine the seasonal variability of the outflow. The temperature of the ISW outflow is found to vary seasonally by 0.07 degrees C with a maximum in April. The accompanying signal in salinity causes a seasonal signal in density of 0.03-0.04 kg m(-3), potentially changing the penetration depth of the ISW plume by more than 500 m. Contrary to recent modeling, the observations show no seasonal variability in outflow velocity. The seasonality observed at the sill is, at least partly, due to the admixture of high-salinity shelf water from the Berkner Bank. Observations and numerical modeling suggest, however, seasonal signals in the circulation upstream (i.e., in the ice shelf cavity and in the Filchner Depression) that-although processes and linkages are unclear-are likely to contribute to the seasonal signal observed at the sill. In the plume region downstream of the sill, the source variability is apparent only within the very densest portions of the ISW plume. In the more diluted part of the plume, the source variability is overcome by the seasonality in the properties of the water entrained at the shelf break. This will have implications for the properties of the generated bottom waters.</t>
  </si>
  <si>
    <t>[Darelius, E.; Gammeslrod, T.; Fer, I.] Univ Bergen, Inst Geophys, N-5007 Bergen, Norway; [Darelius, E.; Osterhus, S.; Gammeslrod, T.; Fer, I.] Bjerknes Ctr Climate Res, Bergen, Norway; [Strand, K. O.] Norwegian Meteorol Inst, Bergen, Norway; [Osterhus, S.] Uni Res, Uni Climate, Bergen, Norway; [Arthun, M.] British Antarctic Survey, Cambridge CB3 0ET, England</t>
  </si>
  <si>
    <t>University of Bergen; Bjerknes Centre for Climate Research; Norwegian Meteorological Institute; UK Research &amp; Innovation (UKRI); Natural Environment Research Council (NERC); NERC British Antarctic Survey</t>
  </si>
  <si>
    <t>Darelius, E (corresponding author), Univ Bergen, Inst Geophys, Alleg 70, N-5007 Bergen, Norway.</t>
  </si>
  <si>
    <t>darelius@gfi.uib.no</t>
  </si>
  <si>
    <t>Fer, Ilker/C-7820-2012; Darelius, Elin/O-4096-2015</t>
  </si>
  <si>
    <t>Fer, Ilker/0000-0002-2427-2532; Darelius, Elin/0000-0003-3060-0317; Osterhus, Svein/0000-0001-9915-2685; Arthun, Marius/0000-0003-4500-1691</t>
  </si>
  <si>
    <t>Norwegian Research council; NERC [bas0100028] Funding Source: UKRI; Natural Environment Research Council [bas0100028] Funding Source: researchfish</t>
  </si>
  <si>
    <t>Norwegian Research council(Research Council of Norway); NERC(UK Research &amp; Innovation (UKRI)Natural Environment Research Council (NERC)); Natural Environment Research Council(UK Research &amp; Innovation (UKRI)Natural Environment Research Council (NERC))</t>
  </si>
  <si>
    <t>The authors are grateful to the crew and scientist involved in collecting data, to P. Abrahamsen for preparing and providing the GIANT-RISOC data, and to K. Daae for preparing the data from W2. This study was funded through the Norwegian Research council funded projects BIAC and WEDDELL. Comments from two anonymous reviewers helped improve the manuscript and were greatly appreciated.</t>
  </si>
  <si>
    <t>AMER METEOROLOGICAL SOC</t>
  </si>
  <si>
    <t>BOSTON</t>
  </si>
  <si>
    <t>45 BEACON ST, BOSTON, MA 02108-3693 USA</t>
  </si>
  <si>
    <t>0022-3670</t>
  </si>
  <si>
    <t>1520-0485</t>
  </si>
  <si>
    <t>J PHYS OCEANOGR</t>
  </si>
  <si>
    <t>J. Phys. Oceanogr.</t>
  </si>
  <si>
    <t>10.1175/JPO-D-13-0180.1</t>
  </si>
  <si>
    <t>AE6TD</t>
  </si>
  <si>
    <t>WOS:000334128200010</t>
  </si>
  <si>
    <t>Lastra, M; Rodil, IF; Sánchez-Mata, A; García-Gallego, M; Mora, J</t>
  </si>
  <si>
    <t>Lastra, M.; Rodil, I. F.; Sanchez-Mata, A.; Garcia-Gallego, M.; Mora, J.</t>
  </si>
  <si>
    <t>Fate and processing of macroalgal wrack subsidies in beaches of Deception Island, Antarctic Peninsula</t>
  </si>
  <si>
    <t>JOURNAL OF SEA RESEARCH</t>
  </si>
  <si>
    <t>Macroalgae; Wrack Dynamics; Degradation; Consumption; Antarctica; South Shetlands Islands</t>
  </si>
  <si>
    <t>KING GEORGE ISLAND; SOUTH SHETLAND ISLANDS; EXPOSED SANDY BEACHES; POTTER COVE; PALMARIA-DECIPIENS; FOOD PREFERENCE; STRANDED KELP; FEEDING RATES; ALGAL WRACK; NEW-ZEALAND</t>
  </si>
  <si>
    <t>Drift macroalgae detached from rocky substrate frequently strands on the shore line, driving a number of ecological processes, such as degradation, consumption, habitat supply and biogeochemical processing. The algal subsidies received by beaches of Foster Bay, in Deception Island, were evaluated in terms of the spatio-temporal dynamics of wrack deposits. Predominance in the strands of a single red blade species, Palmaria decipiens, points toward an equivalent abundance in the subtidal macroalgal beds, accompanied by Desmarestia menziesii and Desmarestia antarctica, among others. Biomass measurements and wrack grooming along the intertidal range over time indicate that an instantaneous stock of 39.9 MT of algal debris strands on the shore line of Foster Bay, with more than 50% of these materials being renewed at each tidal cycle. Estimates of macrophyte production fluxing to the bay ecosystems suggest that only a small fraction (2.8%) of the detached material within the bay accumulates as wrack along the intertidal zone. Variability in the amount of algae along the shore is significantly affected by wind direction or coastal orientation, with larger strandings when sea-land winds prevail. The degradative process of algal wrack was analyzed through a litter bag experiment where pre-weighted fragments of P. decipiens and D. menziesii were sequentially removed from the drift line along 14 days. Degradation of wrack biomass occurs within the first days of decaying, loosing up to 413% of its initial weight (D. menziesii), with remarkable variability among the two species tested. Higher feeding rates of amphipods were obtained with P. decipiens compared to that on D. menziesii, which can be mediated by its low content in deterrents and its blade shape, as well as being the most abundant species in the Deception Island and in many coastal areas of the Antarctic Peninsula. Globally, the consumer species assayed could process through consumption 0.73% day(-1) of the instantaneous stock of algal deposits along the shore of Foster Bay. This study attempts to identify different linked processes poorly understood in the ecology of Antarctic shores, as the stranding, degradation and consumption of large amount of macroalgal subsidies from highly productive submerged rocky substrates toward low productive intertidal sedimentary shores. (C) 2014 Elsevier B.V. All rights reserved.</t>
  </si>
  <si>
    <t>[Lastra, M.; Rodil, I. F.; Sanchez-Mata, A.; Garcia-Gallego, M.] Univ Vigo, Fac Ciencias Mar, Dept Ecol &amp; Biol Anim, Vigo 36310, Spain; [Mora, J.] Univ Santiago de Compostela, Fac Biol, Dept Zool, Santiago De Compostela 15782, Spain</t>
  </si>
  <si>
    <t>Universidade de Vigo; Universidade de Santiago de Compostela</t>
  </si>
  <si>
    <t>Lastra, M (corresponding author), Univ Vigo, Fac Ciencias Mar, Dept Ecol &amp; Biol Anim, Vigo 36310, Spain.</t>
  </si>
  <si>
    <t>mlastra@uvigo.es</t>
  </si>
  <si>
    <t>Rodil, Iván F./I-5305-2013; LASTRA, MARIANO/K-9481-2017; Lastra, Mariano/AAH-6289-2021</t>
  </si>
  <si>
    <t>Lastra, Mariano/0000-0003-2738-2056; Rodil, Ivan/0000-0001-6375-1598</t>
  </si>
  <si>
    <t>Spanish Ministry of Science and Innovation [CGL2007 63492/ANT, CTM2009-08442-E]</t>
  </si>
  <si>
    <t>Spanish Ministry of Science and Innovation(Spanish Government)</t>
  </si>
  <si>
    <t>The authors thank David Castro for the fruitful help in the field and lab efforts. We are very grateful to the crew of BIO Las Palmas and the staff of the Antarctic Spanish Base Gabriel de Castilla, for their collaboration and hospitality during our logistic transport and stage in Deception Island. This research was supported by the Spanish Ministry of Science and Innovation, Projects CGL2007 63492/ANT and CTM2009-08442-E.</t>
  </si>
  <si>
    <t>ELSEVIER SCIENCE BV</t>
  </si>
  <si>
    <t>PO BOX 211, 1000 AE AMSTERDAM, NETHERLANDS</t>
  </si>
  <si>
    <t>1385-1101</t>
  </si>
  <si>
    <t>1873-1414</t>
  </si>
  <si>
    <t>J SEA RES</t>
  </si>
  <si>
    <t>J. Sea Res.</t>
  </si>
  <si>
    <t>10.1016/j.seares.2013.12.011</t>
  </si>
  <si>
    <t>Marine &amp; Freshwater Biology; Oceanography</t>
  </si>
  <si>
    <t>AH1HT</t>
  </si>
  <si>
    <t>WOS:000335871900001</t>
  </si>
  <si>
    <t>Reed, AJ; Linse, K; Thatje, S</t>
  </si>
  <si>
    <t>Reed, Adam J.; Linse, Katrin; Thatje, Sven</t>
  </si>
  <si>
    <t>Differential adaptations between cold-stenothermal environments in the bivalve Lissarca cf. miliaris (Philobryidae) from the Scotia Sea islands and Antarctic Peninsula</t>
  </si>
  <si>
    <t>Southern Ocean; Plasticity; Bivalve; Speciation; Reproduction; Morphology</t>
  </si>
  <si>
    <t>KING-GEORGE ISLAND; LIMPET NACELLA-CONCINNA; POTTER COVE; SHELL SHAPE; EGG SIZE; NOTORCADENSIS BIVALVIA; PHENOTYPIC PLASTICITY; PHYTOPLANKTON BIOMASS; DISPERSAL MECHANISMS; LATERNULA-ELLIPTICA</t>
  </si>
  <si>
    <t>The cold stenothermal nature of the Southern Ocean, and highly adapted fauna living within, raises the question of how much intra-specific variation there is among invertebrate populations, and how variation may have a role in speciation processes through ecological divergence, natural selection, and reproductive isolation. Despite decades of collecting biological material, this question remains largely unanswered, and many studies compare 'populations' of pooled material from wide geographic ranges to compensate for sampling constraints. In this study, variations in ecophysiological traits are explored by measuring growth, reproduction, and shell morphology among six populations of the small bivalve Lissarca cf. miliaris (Philippi, 1845) from the Southern Ocean, which experience subtle differences in temperature, disturbance, and food availability. There are significant differences in shell morphology and growth among different populations and slower growth rates at higher latitude populations. Prodissoconch sizes show an inverse 'U' shaped relationship with latitude, and are correlated with egg size at South Georgia and King George Island's Potter Cove. Higher brood sizes at the South Georgia population represent a trade-off with lower egg size, and correlate with shell morphology by offering lower internal capacity to brood young. Lower investment into offspring and morphological variations in L cf. miliaris highlight the importance of local scale environmental variations on species' ecology. These variations in physical traits appear to be underestimated in the Southern Ocean, but may be important drivers of ecological divergence and speciation, which should be considered in future genetic investigations on different invertebrate populations. (C) 2014 Elsevier B.V. All rights reserved.</t>
  </si>
  <si>
    <t>[Reed, Adam J.; Thatje, Sven] Univ Southampton, Natl Oceanog Ctr Southampton, Southampton SO14 3ZH, Hants, England; [Linse, Katrin] British Antarctic Survey, NERC, Cambridge CB3 0ET, England</t>
  </si>
  <si>
    <t>NERC National Oceanography Centre; University of Southampton; UK Research &amp; Innovation (UKRI); Natural Environment Research Council (NERC); NERC British Antarctic Survey</t>
  </si>
  <si>
    <t>Reed, AJ (corresponding author), Univ Southampton, Natl Oceanog Ctr Southampton, European Way, Southampton SO14 3ZH, Hants, England.</t>
  </si>
  <si>
    <t>ajr104@soton.ac.uk</t>
  </si>
  <si>
    <t>Reed, Adam/Q-7276-2017</t>
  </si>
  <si>
    <t>Reed, Adam/0000-0003-2200-5067; Linse, Katrin/0000-0003-3477-3047</t>
  </si>
  <si>
    <t>Natural Environment Research Council PhD studentship; Natural Environment Research Council [bas0100026] Funding Source: researchfish; NERC [bas0100026] Funding Source: UKRI</t>
  </si>
  <si>
    <t>Natural Environment Research Council PhD studentship(UK Research &amp; Innovation (UKRI)Natural Environment Research Council (NERC)); Natural Environment Research Council(UK Research &amp; Innovation (UKRI)Natural Environment Research Council (NERC)); NERC(UK Research &amp; Innovation (UKRI)Natural Environment Research Council (NERC))</t>
  </si>
  <si>
    <t>Adam J. Reed was supported through a Natural Environment Research Council PhD studentship. Thanks are due to captain and crew of R/V Polarstern LAMPOS ANT XIX/5 expedition for assistance at sea, who enabled us to collect the samples for this study, and Graham Oliver (National Museum Wales, UK) for the loan of museum specimens. We would also like to thank Cath Waller (University of Hull, UK), Flavio dias Passos (University of Sao Paulo, Brazil), and Maggie Amsler (University of Alabama, Birmingham, USA) for the collection and donation of materials. The authors would also like to thank Paul Tyler and John Grahame for their constructive comments, and their support of this manuscript. This study is part of the British Antarctic Survey Polar Science for Planet Earth Programme.</t>
  </si>
  <si>
    <t>10.1016/j.seares.2013.12.008</t>
  </si>
  <si>
    <t>WOS:000335871900002</t>
  </si>
  <si>
    <t>Faria, SH; Weikusat, I; Azuma, N</t>
  </si>
  <si>
    <t>Faria, Sergio H.; Weikusat, Ilka; Azuma, Nobuhiko</t>
  </si>
  <si>
    <t>The microstructure of polar ice. Part I: Highlights from ice core research</t>
  </si>
  <si>
    <t>JOURNAL OF STRUCTURAL GEOLOGY</t>
  </si>
  <si>
    <t>Review</t>
  </si>
  <si>
    <t>Ice; Glacier; Ice sheet; Mechanics; Creep; Recrystallization; Grain growth; Microstructure; Fabric; Texture</t>
  </si>
  <si>
    <t>C-AXIS FABRICS; DOME FUJI; CLIMATIC RECORD; EAST ANTARCTICA; NORTH GREENLAND; VOSTOK STATION; GRAIN-GROWTH; CAMP CENTURY; MASS-BALANCE; BYRD STATION</t>
  </si>
  <si>
    <t>Polar ice sheets play a fundamental role in Earth's climate system, by interacting actively and passively with the environment. Active interactions include the creeping flow of ice and its effects on polar geomorphology, global sea level, ocean and atmospheric circulation, and so on. Passive interactions are mainly established by the formation of climate records within the ice, in form of air bubbles, dust particles, salt microinclusions and other derivatives of airborne impurities buried by recurrent snowfalls. For a half-century scientists have been drilling deep ice cores in Antarctica and Greenland for studying such records, which can go back to around a million years. Experience shows, however, that the ice-sheet flow generally disrupts the stratigraphy of the bottom part of deep ice cores, destroying the integrity of the oldest records. For all these reasons glaciologists have been studying the microstructure of polar ice cores for decades, in order to understand the genesis and fate of ice-core climate records, as well as to learn more about the physical properties of polar ice, aiming at better climate-record interpretations and ever more precise models of ice-sheet dynamics. In this Part I we review the main difficulties and advances in deep ice core drilling in Antarctica and Greenland, together with the major contributions of deep ice coring to the research on natural ice microstructures. In particular, we discuss in detail the microstructural findings from Camp Century, Byrd, Dye 3, GRIP, GISP2, NorthGRIP, Vostok, Dome C, EDML, and Dome Fuji, besides commenting also on the earlier results of some pioneering ventures, like the Jung-fraujoch Expedition and the Norwegian British Swedish Antarctic Expedition, among others. In the companion Part II of this work (Faria et al., 2014), the review proceeds with a survey of the state-of-the-art understanding of natural ice microstructures and some exciting prospects in this field of research. (C) 2013 Elsevier Ltd. All rights reserved.</t>
  </si>
  <si>
    <t>[Faria, Sergio H.] Basque Ctr Climate Change BC3, Bilbao 48008, Spain; [Faria, Sergio H.] Basque Fdn Sci, IKERBASQUE, Bilbao 48011, Spain; [Weikusat, Ilka] Helmholtz Ctr Polar &amp; Marine Res, Alfred Wegener Inst, D-27568 Bremerhaven, Germany; [Azuma, Nobuhiko] Nagaoka Univ Technol, Dept Mech Engn, Nagaoka, Niigata 9402188, Japan</t>
  </si>
  <si>
    <t>Basque Centre for Climate Change (BC3); Basque Foundation for Science; Helmholtz Association; Alfred Wegener Institute, Helmholtz Centre for Polar &amp; Marine Research; Nagaoka University of Technology</t>
  </si>
  <si>
    <t>Faria, SH (corresponding author), Basque Ctr Climate Change BC3, Alameda Urquijo 4-4, Bilbao 48008, Spain.</t>
  </si>
  <si>
    <t>sergio.faria@bc3research.org; ilka.weikusat@awi.de; azuma@mech.nagaokaut.ac.jp</t>
  </si>
  <si>
    <t>Weikusat, Ilka/E-8826-2015; Faria, Sergio Henrique/K-9454-2013</t>
  </si>
  <si>
    <t>Weikusat, Ilka/0000-0002-3023-6036; Faria, Sergio Henrique/0000-0002-8825-7518</t>
  </si>
  <si>
    <t>ESF Research Networking Programme Micro-Dynamics of Ice (Micro-DICE); German Research Foundation [HA 5675/1-1, WE 4695/1-2]; Helmholtz Association [VH-NG-802]; Grants-in-Aid for Scientific Research [24656033, 22221002] Funding Source: KAKEN</t>
  </si>
  <si>
    <t>ESF Research Networking Programme Micro-Dynamics of Ice (Micro-DICE); German Research Foundation(German Research Foundation (DFG)); Helmholtz Association(Helmholtz Association); Grants-in-Aid for Scientific Research(Ministry of Education, Culture, Sports, Science and Technology, Japan (MEXT)Japan Society for the Promotion of ScienceGrants-in-Aid for Scientific Research (KAKENHI))</t>
  </si>
  <si>
    <t>The authors would like to thank Daniel Koehn (Issue Editor), Jens Roessiger and an anonymous reviewer for insightful revisions. Thanks go also to Daniela Jansen for suggestions and the production of the KML file of ice-core sites (available on-line), as well as Christian Weikusat for help with the preparation of some figures. Support from ESF Research Networking Programme Micro-Dynamics of Ice (Micro-DICE) is gratefully acknowledged. IW acknowledges also financial support by the German Research Foundation (HA 5675/1-1, WE 4695/1-2) via SPP 1158 and by the Helmholtz Association (VH-NG-802).</t>
  </si>
  <si>
    <t>PERGAMON-ELSEVIER SCIENCE LTD</t>
  </si>
  <si>
    <t>THE BOULEVARD, LANGFORD LANE, KIDLINGTON, OXFORD OX5 1GB, ENGLAND</t>
  </si>
  <si>
    <t>0191-8141</t>
  </si>
  <si>
    <t>J STRUCT GEOL</t>
  </si>
  <si>
    <t>J. Struct. Geol.</t>
  </si>
  <si>
    <t>10.1016/j.jsg.2013.09.010</t>
  </si>
  <si>
    <t>Geosciences, Multidisciplinary</t>
  </si>
  <si>
    <t>AF1OC</t>
  </si>
  <si>
    <t>WOS:000334482200002</t>
  </si>
  <si>
    <t>Ahn, J; Hur, SD</t>
  </si>
  <si>
    <t>Ahn, Jinho; Hur, Soon Do</t>
  </si>
  <si>
    <t>Atmospheric CO2 records from ice cores</t>
  </si>
  <si>
    <t>JOURNAL OF THE GEOLOGICAL SOCIETY OF KOREA</t>
  </si>
  <si>
    <t>Korean</t>
  </si>
  <si>
    <t>Ice core; Carbon dioxide; Paleoclimate; Carbon cycle</t>
  </si>
  <si>
    <t>CARBON-DIOXIDE CONCENTRATION; SCALE CLIMATE-CHANGE; ANTARCTIC TEMPERATURE; SIPLE DOME; ISOTOPE CONSTRAINTS; SOUTHERN-OCEAN; AGE SCALE; GREENLAND; AIR; CYCLE</t>
  </si>
  <si>
    <t>It is of great importance to reconstruct past atmospheric carbon dioxide (CO2) concentrations using ice cores for the study of carbon cycle and climate change. Dry extraction techniques are typically used for ice core CO2 analysis, which mechanically crush ice without melting. Ice core records show CO2 variations on 10(1)-10(5) year timescales. The CO2 shows strong positive correlations with Antarctic temperature on 10(3)-10(5) yeartimescales, implying that the Southern Ocean played an important role in controlling atmospheric CO2 . Future studies will be focused on obtaining oldest and/or highest resolution records. In addition, it will be the core part of future research to decipher sources and sinks of atmospheric carbon using isotope analysis. Recently, a technique for ice core CO2 concentration analysis was developed in Korea. Future Korean studies should include technique development for carbon isotope analysis. It is expected that ice cores will be more available to domestic scientists due to recent construction of Jang Bogo Station in Antarctica. It should be considered to utilize blue ice as well as traditional ice cores for efficient paleoclimate studies.</t>
  </si>
  <si>
    <t>[Ahn, Jinho] Seoul Natl Univ, Sch Earth &amp; Environm Sci, Seoul 151742, South Korea; [Hur, Soon Do] Korea Polar Res Inst, Incheon 406840, South Korea</t>
  </si>
  <si>
    <t>Seoul National University (SNU); Korea Polar Research Institute (KOPRI)</t>
  </si>
  <si>
    <t>Ahn, J (corresponding author), Seoul Natl Univ, Sch Earth &amp; Environm Sci, Seoul 151742, South Korea.</t>
  </si>
  <si>
    <t>jinhoahn@snu.ac.kr</t>
  </si>
  <si>
    <t>GEOLOGICAL SOC KOREA</t>
  </si>
  <si>
    <t>SEOUL</t>
  </si>
  <si>
    <t>KOREA SCIENCE &amp; TECHNOLOGY CTR, RM 813, 7 GIL 22, TEHERAN- RO, GANGNAM-GUNA, SEOUL, 06130, SOUTH KOREA</t>
  </si>
  <si>
    <t>0435-4036</t>
  </si>
  <si>
    <t>2288-7377</t>
  </si>
  <si>
    <t>J GEOL SOC KOREA</t>
  </si>
  <si>
    <t>J. Geol. Soc. Korea</t>
  </si>
  <si>
    <t>10.14770/jgsk.2014.50.2.277</t>
  </si>
  <si>
    <t>Emerging Sources Citation Index (ESCI)</t>
  </si>
  <si>
    <t>VH7OZ</t>
  </si>
  <si>
    <t>WOS:000454030000007</t>
  </si>
  <si>
    <t>Peters, A; Patterson, EI; Baker, BGB; Holdsworth, M; Sarker, S; Ghorashi, SA; Raidal, SR</t>
  </si>
  <si>
    <t>Peters, Andrew; Patterson, Edward I.; Baker, Barry G. B.; Holdsworth, Mark; Sarker, Subir; Ghorashi, Seyed A.; Raidal, Shane R.</t>
  </si>
  <si>
    <t>EVIDENCE OF PSITTACINE BEAK AND FEATHER DISEASE VIRUS SPILLOVER INTO WILD CRITICALLY ENDANGERED ORANGE-BELLIED PARROTS (NEOPHEMA CHRYSOGASTER)</t>
  </si>
  <si>
    <t>JOURNAL OF WILDLIFE DISEASES</t>
  </si>
  <si>
    <t>Circovirus; PBFD; psittacine beak and feather disease; threatened species; wildlife disease</t>
  </si>
  <si>
    <t>TRICHOMONAS-GALLINAE; INFECTION; HEMAGGLUTINATION; EXTINCTION; ECOLOGY</t>
  </si>
  <si>
    <t>We report the recent emergence of a novel beak and feather disease virus (BFDV) genotype in the last remaining wild population of the critically endangered Orange-bellied Parrot (Neophema chrysogaster). This virus poses a significant threat to the recovery of the species and potentially its survival in the wild. We used PCR to detect BFDV in the blood of three psittacine beak and feather disease (PBFD)-affected wild Orange-bellied Parrot fledglings captured as founders for an existing captive breeding recovery program. Complete BFDV genome sequence data from one of these birds demonstrating a 1,993-nucleotide-long read encompass the entire circular genome. Maximum-likelihood (ML) and neighbor-joining (NJ) phylogenetic analysis supported file solitary position of this viral isolate in a genetically isolated branch of BFDV. On Rep gene sequencing, a homologous genotype was present in a second wild orange-bellied parrot and the third bird was infected with a distantly related genotype. These viruses have newly appeared in a population that has been intensively monitored for BFDV for the last 13 yr. The detection of two distinct lineages of BFDV in the remnant wild population of Orange-bellied Parrots, consisting of fewer than 50 birds, suggests a role for other parrot species as a reservoir for infection by spillover into this critically endangered species. The potential for such a scenario to contribute to the extinction of a remnant wild animal population is supported by epidemiologic theory.</t>
  </si>
  <si>
    <t>[Peters, Andrew; Patterson, Edward I.; Sarker, Subir; Ghorashi, Seyed A.; Raidal, Shane R.] Charles Stud Univ, Sch Anim &amp; Vet Sci, EH Graham Ctr Agr Innovat, Wagga Wagga, NSW 2678, Australia; [Baker, Barry G. B.] Univ Tasmania, Inst Marine &amp; Antarctic Studies, Hobart, Tas 7001, Australia; [Holdsworth, Mark] Dept Primary Ind Pk Water &amp; Environm, Biodivers Conservat Branch, Hobart, Tas 7001, Australia</t>
  </si>
  <si>
    <t>Charles Sturt University; University of Tasmania</t>
  </si>
  <si>
    <t>Raidal, SR (corresponding author), Charles Stud Univ, Sch Anim &amp; Vet Sci, EH Graham Ctr Agr Innovat, Boorooma St, Wagga Wagga, NSW 2678, Australia.</t>
  </si>
  <si>
    <t>shraidal@csu.edu.au</t>
  </si>
  <si>
    <t>Sarker, Subir/U-8444-2019; Ghorashi, Seyed/C-1529-2016; Raidal, Shane/C-4632-2008</t>
  </si>
  <si>
    <t>Sarker, Subir/0000-0002-2685-8377; Baker, G. Barry/0000-0003-4766-8182; Ghorashi, Seyed/0000-0002-9820-5308; Raidal, Shane/0000-0001-7917-8976; Peters, Andrew/0000-0003-4938-2823; Patterson, Edward/0000-0003-3465-0848</t>
  </si>
  <si>
    <t>Australian Research Council [DP1095408]</t>
  </si>
  <si>
    <t>Australian Research Council(Australian Research Council)</t>
  </si>
  <si>
    <t>We acknowledge contributions of Peter Copley, Sheryl Hamilton, Jocelyn Hockley, Rupert Baker, Neil Murray, and Kristy Penrose of the Orange-bellied Parrot Recovery Team. This research was supported under Australian Research Council's Discovery Projects funding scheme (DP1095408) and also would not have been possible without the foresight of Nicolai Bonne and Margaret Sharp, who archived samples and extracted DNA.</t>
  </si>
  <si>
    <t>WILDLIFE DISEASE ASSOC, INC</t>
  </si>
  <si>
    <t>LAWRENCE</t>
  </si>
  <si>
    <t>810 EAST 10TH ST, LAWRENCE, KS 66044-8897 USA</t>
  </si>
  <si>
    <t>0090-3558</t>
  </si>
  <si>
    <t>1943-3700</t>
  </si>
  <si>
    <t>J WILDLIFE DIS</t>
  </si>
  <si>
    <t>J. Wildl. Dis.</t>
  </si>
  <si>
    <t>10.7589/2013-05-121</t>
  </si>
  <si>
    <t>Veterinary Sciences</t>
  </si>
  <si>
    <t>AH6JT</t>
  </si>
  <si>
    <t>WOS:000336237900015</t>
  </si>
  <si>
    <t>Petrou, K; Trimborn, S; Rost, B; Ralph, PJ; Hassler, CS</t>
  </si>
  <si>
    <t>Petrou, Katherina; Trimborn, Scarlett; Rost, Bjorn; Ralph, Peter J.; Hassler, Christel S.</t>
  </si>
  <si>
    <t>The impact of iron limitation on the physiology of the Antarctic diatom Chaetoceros simplex</t>
  </si>
  <si>
    <t>MARINE BIOLOGY</t>
  </si>
  <si>
    <t>SOUTHERN-OCEAN PHYTOPLANKTON; CARBONIC-ANHYDRASE ACTIVITY; INORGANIC CARBON; CHLAMYDOMONAS-REINHARDTII; LIGHT; ACQUISITION; TRANSPORT; PHOTOSYNTHESIS; BIOAVAILABILITY; IRRADIANCE</t>
  </si>
  <si>
    <t>Iron availability strongly governs the growth of Southern Ocean phytoplankton. To investigate how iron limitation affects photosynthesis as well as the uptake of carbon and iron in the Antarctic diatom Chaetoceros simplex, a combination of chlorophyll a fluorescence measurements and radiotracer incubations in the presence and absence of chemical inhibitors was conducted. Iron limitation in C. simplex led to a decline in growth rates, photochemical efficiency and structural changes in photosystem II (PSII), including a reorganisation of photosynthetic units in PSII and an increase in size of the functional absorption cross section of PSII. Iron-limited cells further exhibited a reduced plastoquinone pool and decreased photosynthetic electron transport rate, while non-photochemical quenching and relative xanthophyll pigment content were strongly increased, suggesting a photoprotective response. Additionally, iron limitation resulted in a strong decline in carbon fixation and thus the particulate organic carbon quotas. Inhibitor studies demonstrated that, independent of the iron supply, carbon fixation was dependent on internal, but not on extracellular carbonic anhydrase activity. Orthovanadate more strongly inhibited iron uptake in iron-limited cells, indicating that P-type ATPase transporters are involved in iron uptake. The stronger reduction in iron uptake by ascorbate in iron-limited cells suggests that the re-oxidation of iron is required before it can be taken up and further supports the presence of a high-affinity iron transport pathway. The measured changes to photosystem architecture and shifts in carbon and iron uptake strategies in C. simplex as a result of iron limitation provide evidence for a complex interaction of these processes to balance the iron requirements for photosynthesis and carbon demand for sustained growth in iron-limited waters.</t>
  </si>
  <si>
    <t>[Petrou, Katherina; Ralph, Peter J.; Hassler, Christel S.] Univ Technol Sydney, Plant Funct Biol &amp; Climate Change Cluster, Sydney, NSW 2007, Australia; [Trimborn, Scarlett; Rost, Bjorn] Alfred Wegener Inst Polar &amp; Marine Res, D-27570 Bremerhaven, Germany; [Hassler, Christel S.] Univ Geneva, Inst FA Forel, CH-1290 Versoix, Switzerland</t>
  </si>
  <si>
    <t>University of Technology Sydney; Helmholtz Association; Alfred Wegener Institute, Helmholtz Centre for Polar &amp; Marine Research; University of Geneva</t>
  </si>
  <si>
    <t>Trimborn, S (corresponding author), Alfred Wegener Inst Polar &amp; Marine Res, Handelshafen 12, D-27570 Bremerhaven, Germany.</t>
  </si>
  <si>
    <t>Scarlett.Trimborn@awi.de</t>
  </si>
  <si>
    <t>Rost, Bjoern/B-4447-2015; Trimborn, Scarlett/AAM-1061-2021; Ralph, Peter/L-1527-2019</t>
  </si>
  <si>
    <t>Rost, Bjoern/0000-0001-5452-5505; Trimborn, Scarlett/0000-0003-1434-9927; Ralph, Peter/0000-0002-3103-7346; Hassler, Christel/0000-0002-8976-5469; Petrou, Katherina/0000-0002-2703-0694</t>
  </si>
  <si>
    <t>Australian Research Council [DP0773558, DP1092892]; European Research Council under the European Community [205150]; Australian Postgraduate Award; Commonwealth Scientific and Industrial Research Organisation; German Science Foundation [TR899]; Chancellor's Fellowship, University of Technology, Sydney; Swiss National Science Foundation; Australian Research Council [DP0773558, DP1092892] Funding Source: Australian Research Council</t>
  </si>
  <si>
    <t>Australian Research Council(Australian Research Council); European Research Council under the European Community(European Research Council (ERC)); Australian Postgraduate Award(Australian Government); Commonwealth Scientific and Industrial Research Organisation(Commonwealth Scientific &amp; Industrial Research Organisation (CSIRO)); German Science Foundation(German Research Foundation (DFG)); Chancellor's Fellowship, University of Technology, Sydney; Swiss National Science Foundation(Swiss National Science Foundation (SNSF)); Australian Research Council(Australian Research Council)</t>
  </si>
  <si>
    <t>We thank three anonymous reviewers that helped to significantly improve the manuscript. This work was supported by the Australian Research Council awarded to Ralph (DP0773558) and to Hassler (DP1092892), the European Research Council under the European Community's Seventh Framework Programme (FP7/2007-2013)/ERC Grant Agreement No. (205150) awarded to Rost. Petrou was supported by an Australian Postgraduate Award and the Commonwealth Scientific and Industrial Research Organisation top-up scholarship. Trimborn was funded by the German Science Foundation (TR899). Hassler was funded by a Chancellor's Fellowship, University of Technology, Sydney, and a Swiss National Science Foundation Professor Fellowship. Thanks to Drs. Andrew Bowie and Pier Van Der Merwe (University of Tasmania, Australia) for flow injection analyses and to Roslyn Watson, Jeanette O'Sullivan and Edward Butler (CSIRO) for determination of background iron concentrations in inhibitors.</t>
  </si>
  <si>
    <t>SPRINGER HEIDELBERG</t>
  </si>
  <si>
    <t>HEIDELBERG</t>
  </si>
  <si>
    <t>TIERGARTENSTRASSE 17, D-69121 HEIDELBERG, GERMANY</t>
  </si>
  <si>
    <t>0025-3162</t>
  </si>
  <si>
    <t>1432-1793</t>
  </si>
  <si>
    <t>MAR BIOL</t>
  </si>
  <si>
    <t>Mar. Biol.</t>
  </si>
  <si>
    <t>10.1007/s00227-014-2392-z</t>
  </si>
  <si>
    <t>Marine &amp; Freshwater Biology</t>
  </si>
  <si>
    <t>AE3TD</t>
  </si>
  <si>
    <t>Green Published, hybrid, Green Submitted</t>
  </si>
  <si>
    <t>WOS:000333899500016</t>
  </si>
  <si>
    <t>Wei, JJ; Wu, XF; Melia, F; Wei, DM; Feng, LL</t>
  </si>
  <si>
    <t>Wei, Jun-Jie; Wu, Xue-Feng; Melia, Fulvio; Wei, Da-Ming; Feng, Long-Long</t>
  </si>
  <si>
    <t>Cosmological tests using gamma-ray bursts, the star formation rate and possible abundance evolution</t>
  </si>
  <si>
    <t>MONTHLY NOTICES OF THE ROYAL ASTRONOMICAL SOCIETY</t>
  </si>
  <si>
    <t>methods: statistical; stars: formation; gamma-ray burst: general; cosmology: observations; cosmology: theory</t>
  </si>
  <si>
    <t>COSMIC METALLICITY EVOLUTION; LUMINOSITY FUNCTION; HIGH-REDSHIFT; HOST GALAXIES; FORMATION HISTORY; CHEMICAL EVOLUTION; FORMING GALAXIES; ALERT TELESCOPE; MASSIVE STARS; CT UNIVERSE</t>
  </si>
  <si>
    <t>The principal goal of this paper is to use attempts at reconciling the Swift long gamma-ray bursts (LGRBs) with the star formation history (SFH) to compare the predictions of Lambda cold dark matter (Lambda CDM) with those in the R-h = ct Universe. In the context of the former, we confirm that the latest Swift sample of GRBs reveals an increasing evolution in the GRB rate relative to the star formation rate (SFR) at high redshifts. The observed discrepancy between the GRB rate and the SFR may be eliminated by assuming a modest evolution parametrized as (1 + z)(0.8) - perhaps indicating a cosmic evolution in metallicity. However, we find a higher metallicity cut of Z = 0.52 Z(circle dot) than was seen in previous studies, which suggested that LGRBs occur preferentially in metal-poor environments, i.e. Z similar to 0.1-0.3 Z(circle dot). We use a simple power-law approximation to the high-z ( greater than or similar to 3.8) SFH, i.e. R-SF proportional to [(1 + z)/4.8](alpha), to examine how the high-z SFR may be impacted by a possible abundance evolution in the Swift GRB sample. For an expansion history consistent with Lambda CDM, we find that the Swift redshift and luminosity distributions can be reproduced with reasonable accuracy if alpha = -2.41(-2.09)(+1.87). For the R-h = ct Universe, the GRB rate is slightly different from that in Lambda CDM, but also requires an extra evolutionary effect, with a metallicity cut of Z = 0.44 Z(circle dot). Assuming that the SFR and GRB rate are related via an evolving metallicity, we find that the GRB data constrain the slope of the high-z SFR in R-h = ct to be alpha = -3.60(-2.45)(+2.45). Both cosmologies fit the GRB/SFR data rather well. However, in a one-on-one comparison using the Akaike information criterion, the best-fitting R-h = ct model is statistically preferred over the best-fitting Lambda CDM model with a relative probability of similar to 70 per cent versus similar to 30 per cent.</t>
  </si>
  <si>
    <t>[Wei, Jun-Jie; Wu, Xue-Feng; Wei, Da-Ming; Feng, Long-Long] Chinese Acad Sci, Purple Mt Observ, Nanjing 210008, Peoples R China; [Wei, Jun-Jie] Chinese Acad Sci, Grad Univ, Beijing 100049, Peoples R China; [Wu, Xue-Feng; Feng, Long-Long] Chinese Ctr Antarctic Astron, Nanjing 210008, Peoples R China; [Wu, Xue-Feng] Nanjing Univ, Purple Mt Observ, Joint Ctr Particle Nucl Phys &amp; Cosmol, Nanjing 210008, Peoples R China; [Melia, Fulvio] Univ Arizona, Program Appl Math, Dept Phys, Tucson, AZ 85721 USA; [Melia, Fulvio] Univ Arizona, Dept Astron, Tucson, AZ 85721 USA; [Wei, Da-Ming] Chinese Acad Sci, Key Lab Dark Matter &amp; Space Astron, Nanjing 210008, Peoples R China</t>
  </si>
  <si>
    <t>Purple Mountain Observatory, CAS; Chinese Academy of Sciences; Nanjing Institute of Astronomical Optics &amp; Technology, NAOC, CAS; Chinese Academy of Sciences; University of Chinese Academy of Sciences, CAS; Nanjing University; Chinese Academy of Sciences; Nanjing Institute of Astronomical Optics &amp; Technology, NAOC, CAS; Purple Mountain Observatory, CAS; University of Arizona; University of Arizona; Chinese Academy of Sciences</t>
  </si>
  <si>
    <t>Wei, JJ (corresponding author), Chinese Acad Sci, Purple Mt Observ, Nanjing 210008, Peoples R China.</t>
  </si>
  <si>
    <t>jjwei@pmo.ac.cn; xfwu@pmo.ac.cn</t>
  </si>
  <si>
    <t>Melia, Fulvio/V-4197-2018; Wu, Xuefeng/G-5316-2015</t>
  </si>
  <si>
    <t>Melia, Fulvio/0000-0002-8014-0593; Wu, Xuefeng/0000-0002-6299-1263; Wei, Jun-Jie/0000-0003-0162-2488</t>
  </si>
  <si>
    <t>National Basic Research Program ('973' Program) of China [2014CB845800, 2013CB834900]; National Natural Science Foundation of China [10921063, 11273063, 11322328, 11373068]; One-Hundred-Talents Program; Youth Innovation Promotion Association of the Chinese Academy of Sciences; Natural Science Foundation of Jiangsu Province; Amherst College through a John Woodruff Simpson Lectureship; Chinese Academy of Sciences Visiting Professorships for Senior International Scientists [2012T1J0011]; Chinese State Administration of Foreign Experts Affairs [GDJ20120491013]</t>
  </si>
  <si>
    <t>National Basic Research Program ('973' Program) of China(National Basic Research Program of China); National Natural Science Foundation of China(National Natural Science Foundation of China (NSFC)); One-Hundred-Talents Program(Chinese Academy of Sciences); Youth Innovation Promotion Association of the Chinese Academy of Sciences; Natural Science Foundation of Jiangsu Province(Natural Science Foundation of Jiangsu Province); Amherst College through a John Woodruff Simpson Lectureship; Chinese Academy of Sciences Visiting Professorships for Senior International Scientists; Chinese State Administration of Foreign Experts Affairs</t>
  </si>
  <si>
    <t>We thank X. H. Cui, X. Kang, E. W. Liang, and F. Y. Wang for helpful discussions. This work is partially supported by the National Basic Research Program ('973' Program) of China (grants 2014CB845800 and 2013CB834900), the National Natural Science Foundation of China (grants nos. 10921063, 11273063, 11322328, and 11373068), the One-Hundred-Talents Program and the Youth Innovation Promotion Association of the Chinese Academy of Sciences, and the Natural Science Foundation of Jiangsu Province. FM is grateful to Amherst College for its support through a John Woodruff Simpson Lectureship, and to Purple Mountain Observatory in Nanjing, China, for its hospitality while this work was being carried out. This work was partially supported by grant 2012T1J0011 from The Chinese Academy of Sciences Visiting Professorships for Senior International Scientists, and grant GDJ20120491013 from the Chinese State Administration of Foreign Experts Affairs. We also thank the anonymous referee for providing many comments and suggestions that have led to a significant improvement in the presentation of the material in this paper.</t>
  </si>
  <si>
    <t>OXFORD UNIV PRESS</t>
  </si>
  <si>
    <t>GREAT CLARENDON ST, OXFORD OX2 6DP, ENGLAND</t>
  </si>
  <si>
    <t>0035-8711</t>
  </si>
  <si>
    <t>1365-2966</t>
  </si>
  <si>
    <t>MON NOT R ASTRON SOC</t>
  </si>
  <si>
    <t>Mon. Not. Roy. Astron. Soc.</t>
  </si>
  <si>
    <t>10.1093/mnras/stu166</t>
  </si>
  <si>
    <t>AE6PG</t>
  </si>
  <si>
    <t>Bronze, Green Submitted</t>
  </si>
  <si>
    <t>WOS:000334115400011</t>
  </si>
  <si>
    <t>de Lavergne, C; Palter, JB; Galbraith, ED; Bernardello, R; Marinov, I</t>
  </si>
  <si>
    <t>de Lavergne, Casimir; Palter, Jaime B.; Galbraith, Eric D.; Bernardello, Raffaele; Marinov, Irina</t>
  </si>
  <si>
    <t>Cessation of deep convection in the open Southern Ocean under anthropogenic climate change</t>
  </si>
  <si>
    <t>NATURE CLIMATE CHANGE</t>
  </si>
  <si>
    <t>WEDDELL POLYNYA; VARIABILITY; WATERS; CMIP5; MODEL</t>
  </si>
  <si>
    <t>In 1974, newly available satellite observations unveiled the presence of a giant ice-free area, or polynya, within the Antarctic ice pack of the Weddell Sea, which persisted during the two following winters(1). Subsequent research showed that deep convective overturning had opened a conduit between the surface and the abyssal ocean, and had maintained the polynya through the massive release of heat from the deep sea(2,3). Although the polynya has aroused continued interest(1-9), the presence of a fresh surface layer has prevented the recurrence of deep convection there since 1976(8), and it is now largely viewed as a naturally rare event(10). Here, we present a new analysis of historical observations and model simulations that suggest deep convection in the Weddell Sea was more active in the past, and has been weakened by anthropogenic forcing. The observations show that surface freshening of the southern polar ocean since the 1950s has considerably enhanced the salinity stratification. Meanwhile, among the present generation of global climate models, deep convection is common in the Southern Ocean under pre-industrial conditions, but weakens and ceases under a climate change scenario owing to surface freshening. A decline of open-ocean convection would reduce the production rate of Antarctic Bottom Waters, with important implications for ocean heat and carbon storage, and may have played a role in recent Antarctic climate change.</t>
  </si>
  <si>
    <t>[de Lavergne, Casimir; Palter, Jaime B.] McGill Univ, Dept Atmospher &amp; Ocean Sci, Montreal, PQ H3A 0B9, Canada; [Galbraith, Eric D.] McGill Univ, Dept Earth &amp; Planetary Sci, Montreal, PQ H3A 0E8, Canada; [Bernardello, Raffaele; Marinov, Irina] Univ Penn, Dept Earth &amp; Environm Sci, Philadelphia, PA 19104 USA</t>
  </si>
  <si>
    <t>McGill University; McGill University; University of Pennsylvania</t>
  </si>
  <si>
    <t>de Lavergne, C (corresponding author), McGill Univ, Dept Atmospher &amp; Ocean Sci, Burnside Hall,805 Sherbrooke St West, Montreal, PQ H3A 0B9, Canada.</t>
  </si>
  <si>
    <t>casimir.delavergne@gmail.com</t>
  </si>
  <si>
    <t>Galbraith, Eric D./F-9469-2014; Palter, Jaime B/B-9484-2011</t>
  </si>
  <si>
    <t>Galbraith, Eric D./0000-0003-4476-4232; Bernardello, Raffaele/0000-0003-4923-1582; Palter, Jaime/0000-0002-2656-8062; de Lavergne, Casimir/0000-0001-9267-7390</t>
  </si>
  <si>
    <t>Stephen and Anastasia Mysak Graduate Fellowship in Atmospheric and Oceanic Sciences; Natural Sciences and Engineering Research Council of Canada (NSERC); Canadian Institute for Advanced Research (CIFAR); Canadian Foundation for Innovation and Compute Canada; [NOAA-NA10OAR4310092]</t>
  </si>
  <si>
    <t>Stephen and Anastasia Mysak Graduate Fellowship in Atmospheric and Oceanic Sciences; Natural Sciences and Engineering Research Council of Canada (NSERC)(Natural Sciences and Engineering Research Council of Canada (NSERC)); Canadian Institute for Advanced Research (CIFAR)(Canadian Institute for Advanced Research (CIFAR)); Canadian Foundation for Innovation and Compute Canada;</t>
  </si>
  <si>
    <t>We thank D. Bianchi for his help with the analysis. This work was supported by the Stephen and Anastasia Mysak Graduate Fellowship in Atmospheric and Oceanic Sciences, by the Natural Sciences and Engineering Research Council of Canada (NSERC) Discovery programme, by the Canadian Institute for Advanced Research (CIFAR) and by computing infrastructure provided to E.D.G. by the Canadian Foundation for Innovation and Compute Canada. R.B. and I.M. were financially supported by grant NOAA-NA10OAR4310092.</t>
  </si>
  <si>
    <t>NATURE PUBLISHING GROUP</t>
  </si>
  <si>
    <t>MACMILLAN BUILDING, 4 CRINAN ST, LONDON N1 9XW, ENGLAND</t>
  </si>
  <si>
    <t>1758-678X</t>
  </si>
  <si>
    <t>1758-6798</t>
  </si>
  <si>
    <t>NAT CLIM CHANGE</t>
  </si>
  <si>
    <t>Nat. Clim. Chang.</t>
  </si>
  <si>
    <t>10.1038/NCLIMATE2132</t>
  </si>
  <si>
    <t>Environmental Sciences; Environmental Studies; Meteorology &amp; Atmospheric Sciences</t>
  </si>
  <si>
    <t>Environmental Sciences &amp; Ecology; Meteorology &amp; Atmospheric Sciences</t>
  </si>
  <si>
    <t>AE0PY</t>
  </si>
  <si>
    <t>WOS:000333669600021</t>
  </si>
  <si>
    <t>Ahn, J; Brook, EJ</t>
  </si>
  <si>
    <t>Ahn, Jinho; Brook, Edward J.</t>
  </si>
  <si>
    <t>Siple Dome ice reveals two modes of millennial CO2 change during the last ice age</t>
  </si>
  <si>
    <t>NATURE COMMUNICATIONS</t>
  </si>
  <si>
    <t>SCALE CLIMATE-CHANGE; ATMOSPHERIC CO2; ANTARCTIC TEMPERATURE; SOUTHERN-OCEAN; ATLANTIC; CORE; GREENLAND; CIRCULATION; COLLAPSE; MARINE</t>
  </si>
  <si>
    <t>Reconstruction of atmospheric CO2 during times of past abrupt climate change may help us better understand climate-carbon cycle feedbacks. Previous ice core studies reveal simultaneous increases in atmospheric CO2 and Antarctic temperature during times when Greenland and the northern hemisphere experienced very long, cold stadial conditions during the last ice age. Whether this relationship extends to all of the numerous stadial events in the Greenland ice core record has not been clear. Here we present a high-resolution record of atmospheric CO2 from the Siple Dome ice core, Antarctica for part of the last ice age. We find that CO2 does not significantly change during the short Greenlandic stadial events, implying that the climate system perturbation that produced the short stadials was not strong enough to substantially alter the carbon cycle.</t>
  </si>
  <si>
    <t>[Ahn, Jinho] Seoul Natl Univ, Sch Earth &amp; Environm Sci, Seoul 151742, South Korea; [Brook, Edward J.] Oregon State Univ, Coll Earth Ocean &amp; Atmospher Sci, Corvallis, OR 97331 USA</t>
  </si>
  <si>
    <t>Seoul National University (SNU); Oregon State University</t>
  </si>
  <si>
    <t>Brook, Edward/AAB-7807-2021</t>
  </si>
  <si>
    <t>National Science Foundation Grant [OPP 0944764]; Polar Academic Program (PAP) of the Korea Polar Research Institution (KOPRI) [PD12010]; Basic Science Research Program through the National Research Foundation of Korea (NRF) - Ministry of Education, Science and Technology [2011-0025242]</t>
  </si>
  <si>
    <t>National Science Foundation Grant(National Science Foundation (NSF)); Polar Academic Program (PAP) of the Korea Polar Research Institution (KOPRI); Basic Science Research Program through the National Research Foundation of Korea (NRF) - Ministry of Education, Science and Technology</t>
  </si>
  <si>
    <t>We thank Michael Kalk for analytical assistance and the staff of the National Ice Core Lab for ice sampling and curation. We also thank Andreas Schmittner and Luke Skinner for helpful discussions. Financial support was provided by the National Science Foundation Grant OPP 0944764. This work was also supported by Polar Academic Program (PAP, PD12010) of the Korea Polar Research Institution (KOPRI) research grant and Basic Science Research Program through the National Research Foundation of Korea (NRF) funded by the Ministry of Education, Science and Technology (2011-0025242). The data will be available at NSIDC (National Snow and Ice Data Center) and NOAA (National Oceanic and Atmospheric Administration) Palaeoclimatology websites.</t>
  </si>
  <si>
    <t>2041-1723</t>
  </si>
  <si>
    <t>NAT COMMUN</t>
  </si>
  <si>
    <t>Nat. Commun.</t>
  </si>
  <si>
    <t>10.1038/ncomms4723</t>
  </si>
  <si>
    <t>Multidisciplinary Sciences</t>
  </si>
  <si>
    <t>Science &amp; Technology - Other Topics</t>
  </si>
  <si>
    <t>AG2CM</t>
  </si>
  <si>
    <t>hybrid, Green Published</t>
  </si>
  <si>
    <t>WOS:000335223200010</t>
  </si>
  <si>
    <t>Kulessa, B; Jansen, D; Luckman, AJ; King, EC; Sammonds, PR</t>
  </si>
  <si>
    <t>Kulessa, Bernd; Jansen, Daniela; Luckman, Adrian J.; King, Edward C.; Sammonds, Peter R.</t>
  </si>
  <si>
    <t>Marine ice regulates the future stability of a large Antarctic ice shelf</t>
  </si>
  <si>
    <t>DEFORMATION; CREVASSES; FRACTURE</t>
  </si>
  <si>
    <t>The collapses of the Larsen A and B ice shelves on the Antarctic Peninsula in 1995 and 2002 confirm the impact of southward-propagating climate warming in this region. Recent mass and dynamic changes of Larsen B's southern neighbour Larsen C, the fourth largest ice shelf in Antarctica, may herald a similar instability. Here, using a validated ice-shelf model run in diagnostic mode, constrained by satellite and in situ geophysical data, we identify the nature of this potential instability. We demonstrate that the present-day spatial distribution and orientation of the principal stresses within Larsen C ice shelf are akin to those within pre-collapse Larsen B. When Larsen B's stabilizing frontal portion was lost in 1995, the unstable remaining shelf accelerated, crumbled and ultimately collapsed. We hypothesize that Larsen C ice shelf may suffer a similar fate if it were not stabilized by warm and mechanically soft marine ice, entrained within narrow suture zones.</t>
  </si>
  <si>
    <t>[Kulessa, Bernd; Jansen, Daniela; Luckman, Adrian J.] Swansea Univ, Coll Sci, Glaciol Grp, Swansea SA2 8PP, W Glam, Wales; [King, Edward C.] British Antarctic Survey, Nat Environm Res Council, Cambridge CB3 0ET, England; [Sammonds, Peter R.] UCL, Dept Earth Sci, Rock &amp; Ice Phys Lab, London WC1E 6BT, England; [Sammonds, Peter R.] UCL, Ctr Polar Observat &amp; Modelling, Rock &amp; Ice Phys Lab, London WC1E 6BT, England</t>
  </si>
  <si>
    <t>Swansea University; UK Research &amp; Innovation (UKRI); Natural Environment Research Council (NERC); NERC British Antarctic Survey; University of London; University College London; University of London; University College London</t>
  </si>
  <si>
    <t>Kulessa, B (corresponding author), Swansea Univ, Coll Sci, Glaciol Grp, Singleton Pk, Swansea SA2 8PP, W Glam, Wales.</t>
  </si>
  <si>
    <t>b.kulessa@swansea.ac.uk</t>
  </si>
  <si>
    <t>Facility, NERC Geophysical Equipment/G-5260-2010; Luckman, Adrian/GVS-1716-2022; Jansen, Daniela/AAG-2773-2019</t>
  </si>
  <si>
    <t>Luckman, Adrian/0000-0002-9618-5905; Jansen, Daniela/0000-0002-4412-5820; Kulessa, Bernd/0000-0002-4830-4949</t>
  </si>
  <si>
    <t>UK Natural Environment Research Council (NERC) [NE/E012914/1, NE/I016678/1]; Natural Environment Research Council [bas0100027, NE/E012914/1, NE/I016678/1, NE/E013414/1] Funding Source: researchfish; NERC [NE/E013414/1, NE/I016678/1, NE/E012914/1, bas0100027] Funding Source: UKRI</t>
  </si>
  <si>
    <t>UK 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</si>
  <si>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We acknowledge major support by UK Natural Environment Research Council (NERC) grants NE/E012914/1 and NE/I016678/1, as well as Loans 863 and 905 of the NERC's Geophysical Equipment Facility. We thank J. Scott for making available his MATLAB code for the estimation of density-depth profiles from seismic data that are required as model inputs. We also thank the National Snow and Ice Data Center, Boulder, Colorado, USA for the distribution of ICESat, flow-velocity and Mosaic of Antarctica (MOA) data. We thank Michael Chester and Catrin Thomas for assistance during the 2008/09 and 2009/10 field campaigns.</t>
  </si>
  <si>
    <t>10.1038/ncomms4707</t>
  </si>
  <si>
    <t>AG4GS</t>
  </si>
  <si>
    <t>Green Published, Green Accepted, hybrid</t>
  </si>
  <si>
    <t>WOS:000335378200001</t>
  </si>
  <si>
    <t>Bunde, A; Ludescher, J; Franzke, CLE; Büntgen, U</t>
  </si>
  <si>
    <t>Bunde, Armin; Ludescher, Josef; Franzke, Christian L. E.; Buentgen, Ulf</t>
  </si>
  <si>
    <t>How significant is West Antarctic warming?</t>
  </si>
  <si>
    <t>NATURE GEOSCIENCE</t>
  </si>
  <si>
    <t>Letter</t>
  </si>
  <si>
    <t>[Bunde, Armin; Ludescher, Josef] Univ Giessen, Inst Theoret Phys, D-35392 Giessen, Germany; [Franzke, Christian L. E.] British Antarctic Survey, NERC, Cambridge CB3 0ET, England; [Franzke, Christian L. E.] Univ Hamburg, Inst Meteorol, D-20144 Hamburg, Germany; [Buentgen, Ulf] Swiss Fed Res Inst WSL, CH-8903 Birmensdorf, Switzerland; [Buentgen, Ulf] Univ Bern, Oeschger Ctr Climate Change Res, CH-3012 Bern, Switzerland; [Buentgen, Ulf] Global Change Res Ctr AS CR, Vvi, Brno 60300, Czech Republic</t>
  </si>
  <si>
    <t>Justus Liebig University Giessen; UK Research &amp; Innovation (UKRI); Natural Environment Research Council (NERC); NERC British Antarctic Survey; University of Hamburg; Swiss Federal Institutes of Technology Domain; Swiss Federal Institute for Forest, Snow &amp; Landscape Research; University of Bern; Czech Academy of Sciences; Global Change Research Centre of the Czech Academy of Sciences</t>
  </si>
  <si>
    <t>Bunde, A (corresponding author), Univ Giessen, Inst Theoret Phys, D-35392 Giessen, Germany.</t>
  </si>
  <si>
    <t>armin.bunde@theaphysik.uni-giessen.de</t>
  </si>
  <si>
    <t>buentgen, ulf/J-6952-2013; Franzke, Christian/A-6191-2012</t>
  </si>
  <si>
    <t>Franzke, Christian/0000-0003-4111-1228</t>
  </si>
  <si>
    <t>NERC [bas0100026] Funding Source: UKRI; Natural Environment Research Council [bas0100026] Funding Source: researchfish</t>
  </si>
  <si>
    <t>75 VARICK ST, 9TH FLR, NEW YORK, NY 10013-1917 USA</t>
  </si>
  <si>
    <t>1752-0894</t>
  </si>
  <si>
    <t>1752-0908</t>
  </si>
  <si>
    <t>NAT GEOSCI</t>
  </si>
  <si>
    <t>Nat. Geosci.</t>
  </si>
  <si>
    <t>10.1038/ngeo2126</t>
  </si>
  <si>
    <t>AE2PP</t>
  </si>
  <si>
    <t>WOS:000333815700002</t>
  </si>
  <si>
    <t>Tagliabue, A; Sallée, JB; Bowie, AR; Lévy, M; Swart, S; Boyd, PW</t>
  </si>
  <si>
    <t>Tagliabue, Alessandro; Sallee, Jean-Baptiste; Bowie, Andrew R.; Levy, Marina; Swart, Sebastiaan; Boyd, Philip W.</t>
  </si>
  <si>
    <t>Surface-water iron supplies in the Southern Ocean sustained by deep winter mixing</t>
  </si>
  <si>
    <t>MIXED-LAYER; PHYTOPLANKTON; LIMITATION; IMPACT; CIRCULATION; PATTERNS; BLOOMS; CYCLE; MODE</t>
  </si>
  <si>
    <t>Low levels of iron limit primary productivity across much of the Southern Ocean. At the basin scale, most dissolved iron is supplied to surface waters from subsurface reservoirs, because land inputs are spatially limited. Deep mixing in winter together with year-round diffusion across density surfaces, known as diapycnal diffusion, are the main physical processes that carry iron-laden subsurface waters to the surface. Here, we analyse data on dissolved iron concentrations in the top 1,000 m of the Southern Ocean, taken from all known and available cruises to date, together with hydrographic data to determine the relative importance of deep winter mixing and diapycnal diffusion to dissolved iron fluxes at the basin scale. Using information on the vertical distribution of iron we show that deep winter mixing supplies ten times more iron to the surface ocean each year, on average, than diapycnal diffusion. Biological observations from the sub-Antarctic sector suggest that following the depletion of this wintertime iron pulse, intense iron recycling sustains productivity over the subsequent spring and summer. We conclude that winter mixing and surface-water iron recycling are important drivers of temporal variations in Southern Ocean primary production.</t>
  </si>
  <si>
    <t>[Tagliabue, Alessandro] Univ Liverpool, Sch Environm Sci, Dept Earth Ocean &amp; Ecol Sci, Liverpool L69 3GP, Merseyside, England; [Tagliabue, Alessandro; Swart, Sebastiaan] CSIR, Southern Ocean Carbon &amp; Climate Observ, ZA-7599 Stellenbosch, South Africa; [Sallee, Jean-Baptiste; Levy, Marina] Univ Paris 04, UPMC Univ, UMR 7159, LOCEAN IPSL, F-75005 Paris, France; [Sallee, Jean-Baptiste; Levy, Marina] CNRS, UMR 7159, LOCEAN IPSL, F-75005 Paris, France; [Sallee, Jean-Baptiste] British Antarctic Survey, Cambridge CB3 0ET, England; [Bowie, Andrew R.] Univ Tasmania, Antarctic Climate &amp; Ecosyst CRC, Hobart, Tas 7001, Australia; [Swart, Sebastiaan] Univ Cape Town, Marine Res Inst, Dept Oceanog, ZA-7701 Rondebosch, South Africa; [Boyd, Philip W.] Univ Otago, NIWA Ctr Chem &amp; Phys Oceanog, Dept Chem, Dunedin 9016, New Zealand; [Boyd, Philip W.] Univ Tasmania, Inst Marine &amp; Antarctic Studies, Hobart, Tas 7001, Australia</t>
  </si>
  <si>
    <t>University of Liverpool; Council for Scientific &amp; Industrial Research (CSIR) - South Africa; Sorbonne Universite; Centre National de la Recherche Scientifique (CNRS); CNRS - National Institute for Earth Sciences &amp; Astronomy (INSU); Museum National d'Histoire Naturelle (MNHN); Centre National de la Recherche Scientifique (CNRS); CNRS - National Institute for Earth Sciences &amp; Astronomy (INSU); Sorbonne Universite; Museum National d'Histoire Naturelle (MNHN); UK Research &amp; Innovation (UKRI); Natural Environment Research Council (NERC); NERC British Antarctic Survey; University of Tasmania; University of Cape Town; University of Otago; University of Tasmania</t>
  </si>
  <si>
    <t>Tagliabue, A (corresponding author), Univ Liverpool, Sch Environm Sci, Dept Earth Ocean &amp; Ecol Sci, Liverpool L69 3GP, Merseyside, England.</t>
  </si>
  <si>
    <t>a.tagliabue@liverpool.ac.uk</t>
  </si>
  <si>
    <t>SALLEE, Jean baptiste/HDO-5355-2022; SALLEE, Jean baptiste/A-5837-2010; Bowie, Andrew/C-8677-2013; Levy, Marina/A-1315-2012; Boyd, Philip/J-7624-2014; Swart, Sebastiaan/U-5498-2017</t>
  </si>
  <si>
    <t>Tagliabue, Alessandro/0000-0002-3572-3634; SALLEE, Jean baptiste/0000-0002-6109-5176; Bowie, Andrew/0000-0002-5144-7799; Levy, Marina/0000-0003-2961-608X; Boyd, Philip/0000-0001-7850-1911; Swart, Sebastiaan/0000-0002-2251-8826</t>
  </si>
  <si>
    <t>French Agence Nationale de la Recherche (ANR) [ANR-10-LABX-18-01]; CSIR Parliamentary; NRF-SANAP; EU FP7 Marie; European Commission's [317699]; Agence Nationale de la Recherche (ANR) [ANR-12-RDOC-0001]; British Antarctic Survey as a BAS; Australian Government Cooperative Research Centres Programme through the Antarctic Climate and Ecosystems CRC (ACE CRC); University of Tasmania Rising Stars [130019024]; Australian Antarctic Science [2900]; New Zealand Ministry for Science and linnovation and the Institute of Marine and Antarctic Studies, University of Tasmania; Natural Environment Research Council [bas0100028] Funding Source: researchfish; NERC [bas0100028] Funding Source: UKRI</t>
  </si>
  <si>
    <t>French Agence Nationale de la Recherche (ANR)(Agence Nationale de la Recherche (ANR)); CSIR Parliamentary(Council of Scientific &amp; Industrial Research (CSIR) - India); NRF-SANAP; EU FP7 Marie(European Union (EU)Marie Curie Actions); European Commission's(European Union (EU)European Commission Joint Research Centre); Agence Nationale de la Recherche (ANR)(Agence Nationale de la Recherche (ANR)); British Antarctic Survey as a BAS; Australian Government Cooperative Research Centres Programme through the Antarctic Climate and Ecosystems CRC (ACE CRC)(Australian GovernmentDepartment of Industry, Innovation and ScienceCooperative Research Centres (CRC) Programme); University of Tasmania Rising Stars; Australian Antarctic Science; New Zealand Ministry for Science and linnovation and the Institute of Marine and Antarctic Studies, University of Tasmania; Natural Environment Research Council(UK Research &amp; Innovation (UKRI)Natural Environment Research Council (NERC)); NERC(UK Research &amp; Innovation (UKRI)Natural Environment Research Council (NERC))</t>
  </si>
  <si>
    <t>We thank all observational scientists that generously shared iron data (especially M. Klunder and P. Sedwick, who did so before publication), the GEOTRACES programme (www.geotraces.org), K. Arrigo and G. van Dijken for providing iron utilization data files and A. Barton for comments on the manuscript. The Argo float data were collected and made freely as by the International Argo Program (http://www.argo.ucsd.edu). This work benefitted from the support of the French Agence Nationale de la Recherche (ANR) grant ANR-10-LABX-18-01 of the national Programme Investissements d'Avenir, the CSIR Parliamentary Grant, NRF-SANAP and the EU FP7 Marie (Arnie International Research Staff Exchange Scheme (IRSES) Fellowship SOCCII (The role of Southern Ocean Carbon cycle under CLImate change), which received funding from the European Commission's Seventh Framework, Programme under grant agreement 317699. T.B.S. received support from Agence Nationale de la Recherche (ANR), ANR-12-RDOC-0001, as well as from the British Antarctic Survey as a BAS Fellow this research was partly supported by the Australian Government Cooperative Research Centres Programme through the Antarctic Climate and Ecosystems CRC (ACE CRC), University of Tasmania Rising Stars grant no 130019024 and Australian Antarctic Science project no 2900, the New Zealand Ministry for Science and linnovation and the Institute of Marine and Antarctic Studies, University of Tasmania.</t>
  </si>
  <si>
    <t>10.1038/NGEO2101</t>
  </si>
  <si>
    <t>WOS:000333815700021</t>
  </si>
  <si>
    <t>Schöb, C; Michalet, R; Cavieres, LA; Pugnaire, FI; Brooker, RW; Butterfield, BJ; Cook, BJ; Kikvidze, Z; Lortie, CJ; Xiao, S; Al Hayek, P; Anthelme, F; Cranston, BH; García, MC; Le Bagousse-Pinguet, Y; Reid, AM; le Roux, PC; Lingua, E; Nyakatya, MJ; Touzard, B; Zhao, L; Callaway, RM</t>
  </si>
  <si>
    <t>Schoeb, Christian; Michalet, Richard; Cavieres, Lohengrin A.; Pugnaire, Francisco I.; Brooker, Rob W.; Butterfield, Bradley J.; Cook, Bradley J.; Kikvidze, Zaal; Lortie, Christopher J.; Xiao, Sa; Al Hayek, Patrick; Anthelme, Fabien; Cranston, Brittany H.; Garcia, Mary-Carolina; Le Bagousse-Pinguet, Yoann; Reid, Anya M.; le Roux, Peter C.; Lingua, Emanuele; Nyakatya, Mawethu J.; Touzard, Blaise; Zhao, Liang; Callaway, Ragan M.</t>
  </si>
  <si>
    <t>A global analysis of bidirectional interactions in alpine plant communities shows facilitators experiencing strong reciprocal fitness costs</t>
  </si>
  <si>
    <t>NEW PHYTOLOGIST</t>
  </si>
  <si>
    <t>community feedbacks; competition; nurse plant system; parasitism; plant-plant interactions; reciprocal interactions; reproductive success</t>
  </si>
  <si>
    <t>POSITIVE INTERACTIONS; NEOBUXBAUMIA-TETETZO; SEED SET; COMPETITION; DIVERSITY; FRUIT; INCREASE; ACAULIS; GROWTH</t>
  </si>
  <si>
    <t>Facilitative interactions are defined as positive effects of one species on another, but bidirectional feedbacks may be positive, neutral, or negative. Understanding the bidirectional nature of these interactions is a fundamental prerequisite for the assessment of the potential evolutionary consequences of facilitation. In a global study combining observational and experimental approaches, we quantified the impact of the cover and richness of species associated with alpine cushion plants on reproductive traits of the benefactor cushions. We found a decline in cushion seed production with increasing cover of cushion-associated species, indicating that being a benefactor came at an overall cost. The effect of cushion-associated species was negative for flower density and seed set of cushions, but not for fruit set and seed quality. Richness of cushion-associated species had positive effects on seed density and modulated the effects of their abundance on flower density and fruit set, indicating that the costs and benefits of harboring associated species depend on the composition of the plant assemblage. Our study demonstrates 'parasitic' interactions among plants over a wide range of species and environments in alpine systems, and we consider their implications for the possible selective effects of interactions between benefactor and beneficiary species.</t>
  </si>
  <si>
    <t>[Schoeb, Christian; Pugnaire, Francisco I.] EEZA CSIC, Estac Expt Zonas Aridas, CSIC, Almeria 04120, Spain; [Michalet, Richard; Al Hayek, Patrick; Le Bagousse-Pinguet, Yoann] Univ Bordeaux, UMR CNRS EPOC 5805, F-33405 Talence, France; [Cavieres, Lohengrin A.; Garcia, Mary-Carolina] Univ Concepcion, Dept Bot, Fac Ciencias Nat &amp; Oceanog, Concepcion, Chile; [Cavieres, Lohengrin A.; Garcia, Mary-Carolina] Inst Ecol &amp; Biodiversidad, Santiago, Chile; [Brooker, Rob W.] James Hutton Inst, Aberdeen AB15 8QH, Scotland; [Butterfield, Bradley J.] No Arizona Univ, Merriam Powell Ctr Environm Res, Flagstaff, AZ 86011 USA; [Cook, Bradley J.] Minnesota State Univ, Dept Biol Sci, Mankato, MN USA; [Kikvidze, Zaal] Ilia State Univ, Res Inst 4D, GE-0162 Tbilisi, Georgia; [Lortie, Christopher J.] York Univ, Dept Biol, Toronto, ON M3J 1P3, Canada; [Xiao, Sa] Lanzhou Univ, Sch Life Sci, MOE Key Lab Cell Act &amp; Stress Adaptat, Lanzhou 730000, Peoples R China; [Al Hayek, Patrick; Touzard, Blaise] Univ Bordeaux, UMR INRA BIOGECO 1202, F-33405 Talence, France; [Anthelme, Fabien] IRD, UMR AMAP, TA A51 PS2, F-34398 Montpellier 5, France; [Cranston, Brittany H.; Callaway, Ragan M.] Univ Montana, Div Biol Sci, Missoula, MT 59812 USA; [Cranston, Brittany H.; Callaway, Ragan M.] Univ Montana, Inst Ecosyst, Missoula, MT 59812 USA; [Le Bagousse-Pinguet, Yoann] Univ South Bohemia, Dept Bot, Fac Sci, CZ-37005 Ceske Budejovice, Czech Republic; [Reid, Anya M.] Univ British Columbia, Dept Forest &amp; Conservat Sci, Vancouver, BC V6T 1Z4, Canada; [le Roux, Peter C.] Univ Helsinki, Dept Geosci &amp; Geog, FIN-00014 Helsinki, Finland; [Lingua, Emanuele] Univ Padua, Dept TeSAF, I-35020 Legnaro, Italy; [Nyakatya, Mawethu J.] Univ Stellenbosch, Dept Conservat Ecol &amp; Entomol, ZA-7602 Matieland, South Africa; [Zhao, Liang] Chinese Acad Sci, Key Lab Ecohydrol Inland River Basin, Cold &amp; Arid Reg Environm &amp; Engn Res Inst, Lanzhou 730000, Peoples R China</t>
  </si>
  <si>
    <t>Consejo Superior de Investigaciones Cientificas (CSIC); CSIC - Estacion Experimental de Zonas Aridas (EEZA); Universite de Bordeaux; Centre National de la Recherche Scientifique (CNRS); Universidad de Concepcion; James Hutton Institute; Northern Arizona University; Minnesota State Colleges &amp; Universities; Minnesota State University Mankato; Ilia State University; York University - Canada; Lanzhou University; INRAE; Universite de Bordeaux; CIRAD; Centre National de la Recherche Scientifique (CNRS); Institut de Recherche pour le Developpement (IRD); Universite de Montpellier; University of Montana System; University of Montana; University of Montana System; University of Montana; University of South Bohemia Ceske Budejovice; University of British Columbia; University of Helsinki; University of Padua; Stellenbosch University; Chinese Academy of Sciences; Cold &amp; Arid Regions Environmental &amp; Engineering Research Institute, CAS</t>
  </si>
  <si>
    <t>Schöb, C (corresponding author), James Hutton Inst, Aberdeen AB15 8QH, Scotland.</t>
  </si>
  <si>
    <t>christian.schoeb@hutton.ac.uk</t>
  </si>
  <si>
    <t>lortie, christopher j/F-6241-2014; Cavieres, Lohengrin A./A-9542-2010; Zhao, Liang/T-9147-2019; Le Bagousse-Pinguet, Yoann/I-2413-2016; Schöb, Christian/B-6083-2008; Lingua, Emanuele/B-2941-2008; le Roux, Peter Christiaan/E-7784-2011; , Zaal/ABC-7252-2021; Brooker, Rob W/F-9569-2012; Touzard, Blaise/B-3497-2014; Pugnaire, Francisco I./A-7150-2008</t>
  </si>
  <si>
    <t>lortie, christopher j/0000-0002-4291-7023; Cavieres, Lohengrin A./0000-0001-9122-3020; Schöb, Christian/0000-0003-4472-2286; Lingua, Emanuele/0000-0001-9515-7657; le Roux, Peter Christiaan/0000-0002-7941-7444; , Zaal/0000-0002-5007-4484; Brooker, Rob W/0000-0002-7014-0071; Pugnaire, Francisco I./0000-0002-1227-6827</t>
  </si>
  <si>
    <t>Swiss National Science Foundation [PBBEP3_128361, PA00P3_136474]; CSIC [PA1003183]; University of Bordeaux 1; French ANR [09 - STRA - 09 O2LA, 11 EF 8 / L 11]; CONICYT [PFB-023]; FONDECYT [1090389]; Organismo Autonomo Parques Nacionales [0002/9]; NSERC DG; State Key Program of National Natural Science of China [31230014]; Program for New Century Excellent Talents in University [NCET-13-0265]; National Natural Science Foundation of China [31070357, 40901019, 31000203, 31000178]; Qilian Shan station of Glaciology and Ecological Environment; Postdoc USB [CZ.1.07/2.3.00/30.0006]; European Social Fund; Czech State Budget; South African National Research Foundation; South African National Antarctic Program; Stellenbosch University; F ICM [P05-002]; Office of Integrative Activities; Office Of The Director [1443108] Funding Source: National Science Foundation; Swiss National Science Foundation (SNF) [PBBEP3_128361] Funding Source: Swiss National Science Foundation (SNF)</t>
  </si>
  <si>
    <t>Swiss National Science Foundation(Swiss National Science Foundation (SNSF)); CSIC; University of Bordeaux 1; French ANR(Agence Nationale de la Recherche (ANR)); CONICYT(Comision Nacional de Investigacion Cientifica y Tecnologica (CONICYT)); FONDECYT(Comision Nacional de Investigacion Cientifica y Tecnologica (CONICYT)CONICYT FONDECYT); Organismo Autonomo Parques Nacionales; NSERC DG(Natural Sciences and Engineering Research Council of Canada (NSERC)); State Key Program of National Natural Science of China(National Natural Science Foundation of China (NSFC)); Program for New Century Excellent Talents in University(Program for New Century Excellent Talents in University (NCET)); National Natural Science Foundation of China(National Natural Science Foundation of China (NSFC)); Qilian Shan station of Glaciology and Ecological Environment; Postdoc USB; European Social Fund(European Social Fund (ESF)); Czech State Budget; South African National Research Foundation(National Research Foundation - South Africa); South African National Antarctic Program; Stellenbosch University; F ICM; Office of Integrative Activities; Office Of The Director(National Science Foundation (NSF)NSF - Office of the Director (OD)NSF - Office of Integrative Activities (OIA)); Swiss National Science Foundation (SNF)(Swiss National Science Foundation (SNSF))</t>
  </si>
  <si>
    <t>We were supported by funding from the Swiss National Science Foundation (PBBEP3_128361 and PA00P3_136474) and the CSIC (PA1003183) to C. S.; the University of Bordeaux 1, French ANR 09 - STRA - 09 O2LA and project CEDRE 11 EF 8 / L 11 to R. M., P. A. H., Y.L.B.P. and B. T.; F ICM P05-002, CONICYT PFB-023 and FONDECYT 1090389 to L. A. C.; the Organismo Autonomo Parques Nacionales (grant 0002/9) to F. I. P.; an NSERC DG to C.J.L.; the State Key Program of National Natural Science of China (31230014), Program for New Century Excellent Talents in University (NCET-13-0265), National Natural Science Foundation of China (31070357, 40901019, 31000203 and 31000178) and Qilian Shan station of Glaciology and Ecological Environment to S. X. and L.Z; Postdoc USB (reg.no. CZ.1.07/2.3.00/30.0006) realized through EU Education for Competitiveness Operational Program and funded by European Social Fund and Czech State Budget to Y.L.B.P.; and the South African National Research Foundation, the South African National Antarctic Program and Stellenbosch University to P. C. L. R and M.J.N. For their help with data collection and analyses, we are grateful to Manuela Guler, Charlotte Mazoyer, Melodie McGeoch, Maritza Mihoc, Jordi Moya-Larano, Nuria Piston, Graciela Valencia and Oriol Verdeny-Vilalta. Three high-quality reviews are highly appreciated and greatly improved this manuscript.</t>
  </si>
  <si>
    <t>0028-646X</t>
  </si>
  <si>
    <t>1469-8137</t>
  </si>
  <si>
    <t>NEW PHYTOL</t>
  </si>
  <si>
    <t>New Phytol.</t>
  </si>
  <si>
    <t>10.1111/nph.12641</t>
  </si>
  <si>
    <t>AB4CX</t>
  </si>
  <si>
    <t>WOS:000331737900020</t>
  </si>
  <si>
    <t>Quaijtaal, W; Donders, TH; Persico, D; Louwye, S</t>
  </si>
  <si>
    <t>Quaijtaal, Willemijn; Donders, Timme H.; Persico, Davide; Louwye, Stephen</t>
  </si>
  <si>
    <t>Characterising the middle Miocene Mi-events in the Eastern North Atlantic realm: A first high-resolution marine palynological record from the Porcupine Basin</t>
  </si>
  <si>
    <t>PALAEOGEOGRAPHY PALAEOCLIMATOLOGY PALAEOECOLOGY</t>
  </si>
  <si>
    <t>Miocene; Atlantic Ocean; Porcupine Basin; Organic-walled dinoflagellate cysts; Palaeoecology</t>
  </si>
  <si>
    <t>WALLED DINOFLAGELLATE CYSTS; SEA-LEVEL; ISOTOPE STRATIGRAPHY; NEW-JERSEY; PLIOCENE; CLIMATE; ANTARCTICA; GLACIATION; BIOSTRATIGRAPHY; SEDIMENTATION</t>
  </si>
  <si>
    <t>The warm climate of the Miocene peaked during the middle Miocene Climatic Optimum (MMCO; 17-14.5 Ma). After the MMCO, global climate went through several short-lived cooling events: the Mi-events (Miocene isotope events). One of the more severe Mi-events is Mi-3, associated with East Antarctic Ice Sheet growth, species turnover in terrestrial and marine realms, Northern Hemisphere and mid-latitude aridification and Antarctic sea-surface temperature cooling. CO2 reconstructions, as well as the aforementioned observations, suggest that a drawdown of CO2 and/or changes in ocean circulation led to the changes surrounding Mi-3. A combination of eccentricity and obliquity amplitude modulation minima, favourable conditions for ice growth, has also been suggested as a possible triggering mechanism. However, an exact cause cannot be pinpointed yet. High-resolution records necessary to investigate the exact order of events surrounding Mi-3 and the possible role of orbital forcing, a very likely trigger, are sparse. Integrated Ocean Drilling Program (IODP) Leg 307 recovered such a high resolution record from the middle Miocene at the Porcupine Basin (offshore south-western Ireland). Well-preserved palynomorphs, mainly organic-walled dinoflagellate cysts, acritarchs and some pollen were extracted from Site U1318, and relative and absolute abundance changes were determined. Using dinocysts and calcareous nannoplankton the age model for the record was improved. Based on the palynology, the Mi-3a, Mi-3b and Mi-4 events were successfully identified and concomitant palaeoenvironmental change was observed. These events, although different in magnitude, can be associated with a decrease in sea-surface temperature, as well as with a likely fall in sea-level. Furthermore, possible palaeoenvironmental preferences of 5 dinocyst taxa were determined, based on observations from the record and multivariate statistics. (C) 2014 Elsevier B.V. All rights reserved.</t>
  </si>
  <si>
    <t>[Quaijtaal, Willemijn; Louwye, Stephen] Univ Ghent, Dept Geol &amp; Soil Sci, Res Unit Palaeontol, B-9000 Ghent, Belgium; [Donders, Timme H.] Univ Utrecht, Fac Geosci, Dept Phys Geog, NL-3584 CD Utrecht, Netherlands; [Persico, Davide] Univ Parma, Dipartimento Fis Sci Terra M Melloni, I-43124 Parma, Italy</t>
  </si>
  <si>
    <t>Ghent University; Utrecht University; University of Parma</t>
  </si>
  <si>
    <t>Quaijtaal, W (corresponding author), Univ Ghent, Dept Geol &amp; Soil Sci, Res Unit Palaeontol, Krijgslaan 28-S8, B-9000 Ghent, Belgium.</t>
  </si>
  <si>
    <t>willemijn.quaijtaal@ugent.be</t>
  </si>
  <si>
    <t>Donders, Timme H/J-5044-2012; Quaijtaal, Willemijn/HNB-5108-2023; Louwye, Stephen/D-3856-2012</t>
  </si>
  <si>
    <t>Quaijtaal, Willemijn/0000-0001-6016-0194; Donders, Timme/0000-0003-4698-3463; Persico, Davide/0000-0001-5194-9724; Louwye, Stephen/0000-0003-4814-4313</t>
  </si>
  <si>
    <t>Research Foundation-Flandres (FWO)</t>
  </si>
  <si>
    <t>We would like to thank Sabine Van Cauwenberghe for technical assistance. Alex Wulbers and Walter Hale are acknowledged for their help during sampling at the Bremen Core Repository. Christian Zeeden and Hemmo Abels are kindly thanked for the useful discussions on the timing of the Mi-events and the age model. David van Rooij is acknowledged for his help regarding sedimentological issues. The comments and suggestions of two anonymous reviewers are appreciated. This research was funded by the Research Foundation-Flandres (FWO).</t>
  </si>
  <si>
    <t>0031-0182</t>
  </si>
  <si>
    <t>1872-616X</t>
  </si>
  <si>
    <t>PALAEOGEOGR PALAEOCL</t>
  </si>
  <si>
    <t>Paleogeogr. Paleoclimatol. Paleoecol.</t>
  </si>
  <si>
    <t>10.1016/j.palaeo.2014.02.017</t>
  </si>
  <si>
    <t>Geography, Physical; Geosciences, Multidisciplinary; Paleontology</t>
  </si>
  <si>
    <t>Physical Geography; Geology; Paleontology</t>
  </si>
  <si>
    <t>AF8PP</t>
  </si>
  <si>
    <t>WOS:000334978400012</t>
  </si>
  <si>
    <t>Massaferro, J; Larocque-Tobler, I; Brooks, SJ; Vandergoes, M; Dieffenbacher-Krall, A; Moreno, P</t>
  </si>
  <si>
    <t>Massaferro, Julieta; Larocque-Tobler, Isabelle; Brooks, Stephen J.; Vandergoes, Marcus; Dieffenbacher-Krall, Ann; Moreno, Patricio</t>
  </si>
  <si>
    <t>Quantifying climate change in Huelmo mire (Chile, Northwestern Patagonia) during the Last Glacial Termination using a newly developed chironomid-based temperature model</t>
  </si>
  <si>
    <t>Chironomids; Temperature reconstruction; Younger Dryas; Huelmo-Mascardi Cold Reversal; Antarctic Cold Reversal; Northern Patagonia</t>
  </si>
  <si>
    <t>PAST ENVIRONMENTAL-CONDITIONS; CHRYSOPHYTE CYST ASSEMBLAGES; NEW-ZEALAND; QUANTITATIVE INDICATORS; AIR TEMPERATURES; SOUTHERN ALPS; COLD REVERSAL; MODERN DIATOM; TRAINING SET; LAKES</t>
  </si>
  <si>
    <t>The development of quantitative temperature reconstructions in regions of paleoclimate interest is an important step for providing reliable temperature estimates in that region. Fossil chironomid assemblages have been studied in Patagonia showing great promise for reconstructing paleotemperatures; however there is still a lack of robust temperature inference models in that area. To contribute to the understanding of climate change, a transfer function using chironomids preserved in 46 lakes in Chile and Argentina was developed. The best performing model to infer the mean air temperature of the warmest month was a 3-component WA-PLS model with a coefficient of correlation (r(jack)(2)) of 0.56, a root mean square error of prediction (RMSEP) of 1.69 degrees C and a maximum bias of 2.07 degrees C. This model was applied to the chironomids preserved in the sediment of the Huelmo mire (41 degrees 31'S, 73 degrees 00'W), in the lake district of northwestern Patagonia. The reconstruction showed several cold spells (one at 13,200 to 13,000 cal yr BP and a cooling trend between 12,600 and 11,500 cal yr BP) associated with the Younger Dryas and/or Huelmo-Mascardi Cold Reversal (HMCR). Our findings support climate models proposing fast acting inter-hemispheric coupling mechanisms including the recently proposed bipolar atmospheric and/or bipolar ocean teleconnections rather than a bipolar see-saw model. (C) 2014 Elsevier B.V. All rights reserved.</t>
  </si>
  <si>
    <t>[Massaferro, Julieta] CENAC APN, RA-8400 San Carlos De Bariloche, Rio Negro, Argentina; [Larocque-Tobler, Isabelle] LAKES Inst, CH-3250 Lyss, Switzerland; [Brooks, Stephen J.] Nat Hist Museum, Dept Life Sci, London SW7 5BD, England; [Vandergoes, Marcus] GNS Sci, Lower Hutt 5040, New Zealand; [Dieffenbacher-Krall, Ann] Univ Maine, Sch Biol &amp; Ecol, Orono, ME 04468 USA; [Moreno, Patricio] Univ Chile, Inst Ecol &amp; Biodivers, Santiago, Chile; [Moreno, Patricio] Univ Chile, Dept Ecol Sci, Santiago, Chile</t>
  </si>
  <si>
    <t>Natural History Museum London; GNS Science - New Zealand; University of Maine System; University of Maine Orono; Universidad de Chile; Universidad de Chile</t>
  </si>
  <si>
    <t>Massaferro, J (corresponding author), CENAC APN, Fagnano 244, RA-8400 San Carlos De Bariloche, Rio Negro, Argentina.</t>
  </si>
  <si>
    <t>julimassaferro@hotmail.com</t>
  </si>
  <si>
    <t>Moreno, Patricio/D-2317-2012</t>
  </si>
  <si>
    <t>Moreno, Patricio/0000-0002-1333-6238</t>
  </si>
  <si>
    <t>COMER Science Foundation</t>
  </si>
  <si>
    <t>We thank Sarah Gilchrist for collecting some of the samples and for preliminary chironomid analysis. JM acknowledges G. Denton and COMER Science Foundation for providing financial support and M. Colombres for lab assistance.</t>
  </si>
  <si>
    <t>10.1016/j.palaeo.2014.01.013</t>
  </si>
  <si>
    <t>WOS:000334978400017</t>
  </si>
  <si>
    <t>Borrelli, C; Cramer, BS; Katz, ME</t>
  </si>
  <si>
    <t>Borrelli, Chiara; Cramer, Benjamin S.; Katz, Miriam E.</t>
  </si>
  <si>
    <t>Bipolar Atlantic deepwater circulation in the middle- late Eocene: Effects of Southern Ocean gateway openings</t>
  </si>
  <si>
    <t>PALEOCEANOGRAPHY</t>
  </si>
  <si>
    <t>Paleoceanography; Geochemistry</t>
  </si>
  <si>
    <t>BENTHIC FORAMINIFERAL ISOTOPES; ANTARCTIC CIRCUMPOLAR CURRENT; GREENLAND-SCOTLAND RIDGE; WESTERN NORTH-ATLANTIC; FOSSIL FISH TEETH; THERMOHALINE CIRCULATION; DRAKE PASSAGE; LABRADOR SEA; OLIGOCENE INITIATION; DELTA-C-13 RECORD</t>
  </si>
  <si>
    <t>We present evidence for Antarctic Circumpolar Current (ACC)-like effects on Atlantic deepwater circulation beginning in the late-middle Eocene. Modern ocean circulation is characterized by a thermal differentiation between Southern Ocean and North Atlantic deepwater formation regions. In order to better constrain the timing and nature of the initial thermal differentiation between Northern Component Water (NCW) and Southern Component Water (SCW), we analyze benthic foraminiferal stable isotope (O-18(bf) and C-13(bf)) records from Ocean Drilling Program Site 1053 (upper deep water, western North Atlantic). Our data, compared with published records and interpreted in the context of ocean circulation models, indicate that progressive opening of Southern Ocean gateways and initiation of a circum-Antarctic current caused a transition to a modern-like deep ocean circulation characterized by thermal differentiation between SCW and NCW beginning similar to 38.5Ma, in the initial stages of Drake Passage opening. In addition, the relatively low O-18(bf) values recorded at Site 1053 show that the cooling trend of the middle-late Eocene was not global, because it was not recorded in the North Atlantic. The timing of thermal differentiation shows that NCW contributed to ocean circulation by the late-middle Eocene, similar to 1-4Myr earlier than previously thought. We propose that early NCW originated in the Labrador Sea, based on tectonic reconstructions and changes in foraminiferal assemblages in this basin. Finally, we link further development of meridional isotopic gradients in the Atlantic and Pacific in the late Eocene with the Tasman Gateway deepening (similar to 34Ma) and the consequent development of a circumpolar proto-ACC.</t>
  </si>
  <si>
    <t>[Borrelli, Chiara; Katz, Miriam E.] Rensselaer Polytech Inst, Dept Earth &amp; Environm Sci, Troy, NY 12180 USA; [Cramer, Benjamin S.] Theiss Res, Eugene, OR USA</t>
  </si>
  <si>
    <t>Rensselaer Polytechnic Institute</t>
  </si>
  <si>
    <t>Borrelli, C (corresponding author), Rensselaer Polytech Inst, Dept Earth &amp; Environm Sci, Troy, NY 12180 USA.</t>
  </si>
  <si>
    <t>borrec@rpi.edu</t>
  </si>
  <si>
    <t>Cramer, Benjamin S/A-5303-2008; Borrelli, Chiara/IQW-9421-2023</t>
  </si>
  <si>
    <t>NSF [OCE 09-28607/09-27663]; NSF</t>
  </si>
  <si>
    <t>NSF(National Science Foundation (NSF)); NSF(National Science Foundation (NSF))</t>
  </si>
  <si>
    <t>The Site 1053 benthic foraminiferal stable isotope data used in this study are available as in Auxiliary Material Table S1. This research was supported by the NSF grant OCE 09-28607/09-27663 (M. E. K. and B. S. C.). C. B. gratefully thanks Richard Mortlock (Rutgers University) for his help with stable isotope analyses and Kenneth Miller and James Wright (Rutgers University) for helpful discussions. The authors thank Meir Abelson, three anonymous reviewers, and an anonymous associate editor for useful comments that significantly improved the manuscript. This research used samples provided by ODP, which is sponsored by NSF and participating countries under management of the Joint Oceanographic Institutions, Inc.</t>
  </si>
  <si>
    <t>0883-8305</t>
  </si>
  <si>
    <t>1944-9186</t>
  </si>
  <si>
    <t>Paleoceanography</t>
  </si>
  <si>
    <t>10.1002/2012PA002444</t>
  </si>
  <si>
    <t>Geosciences, Multidisciplinary; Oceanography; Paleontology</t>
  </si>
  <si>
    <t>Geology; Oceanography; Paleontology</t>
  </si>
  <si>
    <t>AH3LY</t>
  </si>
  <si>
    <t>hybrid</t>
  </si>
  <si>
    <t>WOS:000336026300003</t>
  </si>
  <si>
    <t>Benoit, JB; Hansen, IA; Attardo, GM; Michalková, V; Mireji, PO; Bargul, JL; Drake, LL; Masiga, DK; Aksoy, S</t>
  </si>
  <si>
    <t>Benoit, Joshua B.; Hansen, Immo A.; Attardo, Geoffrey M.; Michalkova, Veronika; Mireji, Paul O.; Bargul, Joel L.; Drake, Lisa L.; Masiga, Daniel K.; Aksoy, Serap</t>
  </si>
  <si>
    <t>Aquaporins Are Critical for Provision of Water during Lactation and Intrauterine Progeny Hydration to Maintain Tsetse Fly Reproductive Success</t>
  </si>
  <si>
    <t>PLOS NEGLECTED TROPICAL DISEASES</t>
  </si>
  <si>
    <t>MULTIPLE PROTEIN-SEQUENCE; GOLDENROD GALL FLY; GLOSSINA-MORSITANS; SLEEPING SICKNESS; FREEZE TOLERANCE; ANTARCTIC MIDGE; MILK GLAND; FAT-BODY; MOLECULAR CHARACTERIZATION; DRUG-RESISTANCE</t>
  </si>
  <si>
    <t>Author Summary Glossina sp. are responsible for transmission of African trypanosomes, the causative agents of sleeping sickness in humans and Nagana in cattle. Blood feeding and nutrient provisioning through lactation during intrauterine progeny development are periods when considerable water movement occurs within tsetse flies. With the completion of the tsetse fly genome, we sought to characterize the role of aquaporins in relation water homeostasis during blood feeding, stress tolerance and the lactation cycle. We provide evidence that specific AQPs are 1. critical during diuresis following a bloodmeal, 2. important in the regulation of dehydration resistance and heat tolerance and 3. crucial in the allocation of water within tsetse milk that is necessary for progeny hydration. Specifically, we discovered a novel tsetse AQP that is imperative to lactation and may represent a potential target for population control of this disease vector. Tsetse flies undergo drastic fluctuations in their water content throughout their adult life history due to events such as blood feeding, dehydration and lactation, an essential feature of the viviparous reproductive biology of tsetse. Aquaporins (AQPs) are transmembrane proteins that allow water and other solutes to permeate through cellular membranes. Here we identify tsetse aquaporin (AQP) genes, examine their expression patterns under different physiological conditions (blood feeding, lactation and stress response) and perform functional analysis of three specific genes utilizing RNA interference (RNAi) gene silencing. Ten putative aquaporins were identified in the Glossina morsitans morsitans (Gmm) genome, two more than has been previously documented in any other insect. All organs, tissues, and body parts examined had distinct AQP expression patterns. Two AQP genes, gmmdripa and gmmdripb ( = gmmaqp1a and gmmaqp1b) are highly expressed in the milk gland/fat body tissues. The whole-body transcript levels of these two genes vary over the course of pregnancy. A set of three AQPs (gmmaqp5, gmmaqp2a, and gmmaqp4b) are expressed highly in the Malpighian tubules. Knockdown of gmmdripa and gmmdripb reduced the efficiency of water loss following a blood meal, increased dehydration tolerance and reduced heat tolerance of adult females. Knockdown of gmmdripa extended pregnancy length, and gmmdripb knockdown resulted in extended pregnancy duration and reduced progeny production. We found that knockdown of AQPs increased tsetse milk osmolality and reduced the water content in developing larva. Combined knockdown of gmmdripa, gmmdripb and gmmaqp5 extended pregnancy by 4-6 d, reduced pupal production by nearly 50%, increased milk osmolality by 20-25% and led to dehydration of feeding larvae. Based on these results, we conclude that gmmDripA and gmmDripB are critical for diuresis, stress tolerance and intrauterine lactation through the regulation of water and/or other uncharged solutes.</t>
  </si>
  <si>
    <t>[Benoit, Joshua B.; Attardo, Geoffrey M.; Michalkova, Veronika; Aksoy, Serap] Yale Univ, Yale Sch Publ Hlth, Dept Epidemiol Microbial Dis, New Haven, CT USA; [Hansen, Immo A.; Drake, Lisa L.] New Mexico State Univ, Dept Biol, Las Cruces, NM 88003 USA; [Hansen, Immo A.; Drake, Lisa L.] New Mexico State Univ, Inst Appl Biosci, Las Cruces, NM 88003 USA; [Michalkova, Veronika] Slovak Acad Sci, Inst Zool, Bratislava, Slovakia; [Mireji, Paul O.] Egerton Univ, Dept Biochem &amp; Mol Biol, Njoro, Kenya; [Bargul, Joel L.; Masiga, Daniel K.] ICIPE, Mol Biol &amp; Bioinformat Unit, Nairobi, Kenya</t>
  </si>
  <si>
    <t>Yale University; New Mexico State University; New Mexico State University; Slovak Academy of Sciences; Egerton University; International Centre of Insect Physiology &amp; Ecology (ICIPE)</t>
  </si>
  <si>
    <t>Benoit, JB (corresponding author), Univ Cincinnati, Dept Biol Sci, McMicken Coll Arts &amp; Sci, Cincinnati, OH 45221 USA.</t>
  </si>
  <si>
    <t>joshua.benoit@uc.edu</t>
  </si>
  <si>
    <t>Bargul, Joel L./ABB-5310-2021; Michalkova, Veronika/KDM-9501-2024; Aksoy, Serap/K-2244-2019; Attardo, Geoffrey Michael/I-3320-2019; Hattori, Masahira/C-6958-2016; Mireji, Paul/M-3830-2019</t>
  </si>
  <si>
    <t>Aksoy, Serap/0000-0001-9941-143X; Attardo, Geoffrey Michael/0000-0001-6265-2969; Mireji, Paul/0000-0002-7965-2428; Masiga, Daniel/0000-0001-7513-0887; Bargul, Joel/0000-0001-8573-6807</t>
  </si>
  <si>
    <t>National Institutes of Health [AI081774]; National Institutes of Health Kirschstein Fellowship [F32AI093023]</t>
  </si>
  <si>
    <t>National Institutes of Health(United States Department of Health &amp; Human ServicesNational Institutes of Health (NIH) - USA); National Institutes of Health Kirschstein Fellowship(United States Department of Health &amp; Human ServicesNational Institutes of Health (NIH) - USAOffice of the Administrator (NIH))</t>
  </si>
  <si>
    <t>Funding for this project was provided by National Institutes of Health AI081774 to SA, and National Institutes of Health Kirschstein Fellowship to JBB (F32AI093023). The funders had no role in study design, data collection and analysis, decision to publish, or preparation of the manuscript.</t>
  </si>
  <si>
    <t>PUBLIC LIBRARY SCIENCE</t>
  </si>
  <si>
    <t>SAN FRANCISCO</t>
  </si>
  <si>
    <t>1160 BATTERY STREET, STE 100, SAN FRANCISCO, CA 94111 USA</t>
  </si>
  <si>
    <t>1935-2735</t>
  </si>
  <si>
    <t>PLOS NEGLECT TROP D</t>
  </si>
  <si>
    <t>Plos Neglect. Trop. Dis.</t>
  </si>
  <si>
    <t>10.1371/journal.pntd.0002517</t>
  </si>
  <si>
    <t>Infectious Diseases; Parasitology; Tropical Medicine</t>
  </si>
  <si>
    <t>AG3TK</t>
  </si>
  <si>
    <t>Green Published, gold, Green Submitted</t>
  </si>
  <si>
    <t>WOS:000335342400006</t>
  </si>
  <si>
    <t>Carroll, EL; Jackson, JA; Paton, D; Smith, TD</t>
  </si>
  <si>
    <t>Carroll, Emma L.; Jackson, Jennifer A.; Paton, David; Smith, Tim D.</t>
  </si>
  <si>
    <t>Two Intense Decades of 19th Century Whaling Precipitated Rapid Decline of Right Whales around New Zealand and East Australia</t>
  </si>
  <si>
    <t>PLOS ONE</t>
  </si>
  <si>
    <t>SOUTHERN RIGHT WHALES</t>
  </si>
  <si>
    <t>Right whales (Eubalaenaspp.)werethe focus of worldwide whaling activities from the 16 (th) to the 20(th) century. During the first part of the 19 th century, the southern right whale (E. australis) was heavily exploited on whaling grounds around New Zealand (NZ) and east Australia (EA). Here we build upon previous estimates of the total catch of NZ and EA right whales by improving and combining estimates from four different fisheries. Two fisheries have previously been considered: shorebased whaling in bays and ship-based whaling offshore. These were both improved by comparison with primary sources and the American offshore whaling catch record was improved by using a sample of logbooks to produce a more accurate catch record in terms of location and species composition. Two fisheries had not been previously integrated into the NZ and EA catch series: ship-based whaling in bays and whaling in the 20 th century. To investigate the previously unaddressed problem of offshore whalers operating in bays, we identified a subset of vessels likely to be operating in bays and read available extant logbooks. This allowed us to estimate the total likely catch from bay-whaling by offshore whalers from the number of vessels seasons and whales killed per season: it ranged from 2,989 to 4,652 whales. The revised total estimate of 53,000 to 58,000 southern right whales killed is a considerable increase on the previous estimate of 26,000, partly because it applies fishery-specific estimates of struck and loss rates. Over 80% of kills were taken between 1830 and 1849, indicating a brief and intensive fishery that resulted in the commercial extinction of southern right whales in NZ and EA in just two decades. This conforms to the global trend of increasingly intense and destructive southern right whale fisheries over time.</t>
  </si>
  <si>
    <t>[Carroll, Emma L.] Univ Auckland, Sch Biol Sci, Auckland 1, New Zealand; [Jackson, Jennifer A.] British Antarctic Survey, Cambridge CB3 0ET, Cambs, England; [Paton, David] Blue Planet Marine, Canberra, ACT, Australia; [Smith, Tim D.] World Whaling Hist, Redding, CA USA</t>
  </si>
  <si>
    <t>University of Auckland; UK Research &amp; Innovation (UKRI); Natural Environment Research Council (NERC); NERC British Antarctic Survey</t>
  </si>
  <si>
    <t>Carroll, EL (corresponding author), Univ St Andrews, Scottish Oceans Inst, St Andrews, Fife, Scotland.</t>
  </si>
  <si>
    <t>elc6@st-andrews.ac.uk</t>
  </si>
  <si>
    <t>Carroll, Emma/U-9133-2019; Jackson, Jennifer A/E-7997-2013</t>
  </si>
  <si>
    <t>Carroll, Emma/0000-0003-3193-7288; Jackson, Jennifer/0000-0003-4158-1924</t>
  </si>
  <si>
    <t>New Zealand Ministry of Fisheries [ZBD200505]; Atmospheric Research (NIWA); Oregon State University General Research Fund; Lenfest Ocean Program of the Pew Charitable Trust; Tertiary Education Commission; TS through the History of Marine Animal Populations (HMAP); NERC [bas0100026] Funding Source: UKRI; Natural Environment Research Council [bas0100026] Funding Source: researchfish</t>
  </si>
  <si>
    <t>New Zealand Ministry of Fisheries; Atmospheric Research (NIWA); Oregon State University General Research Fund; Lenfest Ocean Program of the Pew Charitable Trust; Tertiary Education Commission; TS through the History of Marine Animal Populations (HMAP); NERC(UK Research &amp; Innovation (UKRI)Natural Environment Research Council (NERC)); Natural Environment Research Council(UK Research &amp; Innovation (UKRI)Natural Environment Research Council (NERC))</t>
  </si>
  <si>
    <t>Funding for the review and report preparation was provided by the New Zealand Ministry of Fisheries through Project ZBD200505 to the National Institute of Water and Atmospheric Research (NIWA), Oregon State University General Research Fund to JJ and CS Baker and the Lenfest Ocean Program of the Pew Charitable Trust to SR Palumbi. EC was supported by a fellowship from the Tertiary Education Commission and TS through the History of Marine Animal Populations (HMAP) project. The funders had no role in study design, data collection and analysis, decision to publish, or preparation of the manuscript.</t>
  </si>
  <si>
    <t>1932-6203</t>
  </si>
  <si>
    <t>PLoS One</t>
  </si>
  <si>
    <t>e93789</t>
  </si>
  <si>
    <t>10.1371/journal.pone.0093789</t>
  </si>
  <si>
    <t>AE6KM</t>
  </si>
  <si>
    <t>Green Published, Green Accepted, gold</t>
  </si>
  <si>
    <t>WOS:000334101100134</t>
  </si>
  <si>
    <t>Lee, YM; Hahm, D; Jung, YJ; Park, SH; Chun, J; Hong, SG</t>
  </si>
  <si>
    <t>Lee, Yung Mi; Hahm, Doshik; Jung, You-Jung; Park, Sung Hyun; Chun, Jongsik; Hong, Soon Gyu</t>
  </si>
  <si>
    <t>Bacterial community of sediments from the Australian-Antarctic ridge</t>
  </si>
  <si>
    <t>POLAR BIOLOGY</t>
  </si>
  <si>
    <t>Bacterial community; Sediment; Pyrosequencing; Australian-Antarctic ridge</t>
  </si>
  <si>
    <t>EASTERN MEDITERRANEAN SEA; MICROBIAL COMMUNITY; PACIFIC-OCEAN; DIVERSITY; PROKARYOTES; BIOGEOGRAPHY; SEQUENCES; EZTAXON</t>
  </si>
  <si>
    <t>Benthic bacterial communities in the ocean comprise the vast majority of prokaryotes on Earth and play crucial roles in the biogeochemical cycles and remineralization of organic matter. Despite the importance of the benthic bacterial communities in the ecosystem, no previous investigations of the bacterial community of sediments from the Australian-Antarctic ridge (AAR) have been conducted to date. In this study, the composition of the bacterial community in the surface sediments from AAR was revealed by the 454 pyrosequencing method. Bacterial communities inhabiting the sediments of AAR were highly diverse, covering 39 distinct major lineages of bacteria. Among them, Gammaproteobacteria, Planctomycetes, Actinobacteria, Deltaproteobacteria, Acidobacteria, Alphaproteobacteria, Chloroflexi, Bacteroidetes, Chlorobi, and Gemmatimonadetes were dominant, accounting for 85-88 % of the bacterial community. The 16S rDNA sequences of major OTUs with 1 % or higher relative abundance showed high similarity (96.6-100 %) with uncultured environmental sequences that were primarily recovered from the sediments of various areas of the Arctic, Southern, Atlantic, Indian, and Pacific Oceans. As the first report of the bacterial community of marine sediments in the AAR region, the results presented herein suggest that members of the predominant phyla are well adapted to the environment of marine sediment and that the low variability in the bacterial communities of deep-sea sediments might reflect the similar environmental conditions among various regions of the deep sea.</t>
  </si>
  <si>
    <t>[Lee, Yung Mi; Jung, You-Jung; Hong, Soon Gyu] Korea Polar Res Inst, Div Polar Life Sci, Inchon 406840, South Korea; [Lee, Yung Mi; Chun, Jongsik] Seoul Natl Univ, Sch Biol Sci, Coll Nat Sci, Seoul 151747, South Korea; [Hahm, Doshik] Korea Polar Res Inst, Div Polar Ocean Environm, Inchon 406840, South Korea; [Park, Sung Hyun] Korea Polar Res Inst, Div Polar Earth Syst Sci, Inchon 406840, South Korea</t>
  </si>
  <si>
    <t>Korea Institute of Ocean Science &amp; Technology (KIOST); Korea Polar Research Institute (KOPRI); Seoul National University (SNU); Korea Polar Research Institute (KOPRI); Korea Institute of Ocean Science &amp; Technology (KIOST); Korea Institute of Ocean Science &amp; Technology (KIOST); Korea Polar Research Institute (KOPRI)</t>
  </si>
  <si>
    <t>Hong, SG (corresponding author), Korea Polar Res Inst, Div Polar Life Sci, 26 Songdomirae Ro, Inchon 406840, South Korea.</t>
  </si>
  <si>
    <t>polypore@kopri.re.kr</t>
  </si>
  <si>
    <t>Chun, Jongsik/R-8458-2017</t>
  </si>
  <si>
    <t>Chun, Jongsik/0000-0003-3385-5171; Park, Hyun/0000-0002-8055-2010</t>
  </si>
  <si>
    <t>Korea Polar Research Institute [PP12040]</t>
  </si>
  <si>
    <t>Korea Polar Research Institute(Korea Polar Research Institute of Marine Research Placement (KOPRI))</t>
  </si>
  <si>
    <t>We thank the crew of the R/V ARAON for their assistance during sampling and Je-Keun Rhee (Seoul National University) for help preparing the figures. This work was supported by the Korea Polar Research Institute (Grant PP12040).</t>
  </si>
  <si>
    <t>0722-4060</t>
  </si>
  <si>
    <t>1432-2056</t>
  </si>
  <si>
    <t>POLAR BIOL</t>
  </si>
  <si>
    <t>Polar Biol.</t>
  </si>
  <si>
    <t>10.1007/s00300-014-1467-0</t>
  </si>
  <si>
    <t>Biodiversity Conservation; Ecology</t>
  </si>
  <si>
    <t>AC8GF</t>
  </si>
  <si>
    <t>WOS:000332770800013</t>
  </si>
  <si>
    <t>Riffenburgh, B</t>
  </si>
  <si>
    <t>Riffenburgh, Beau</t>
  </si>
  <si>
    <t>The dogs of the Australasian Antarctic Expedition 1911-1914 Beau Riffenburgh</t>
  </si>
  <si>
    <t>Fifty dogs were ordered from Greenland for use on Douglas Mawson's Australasian Antarctic Expedition (1911-1914). Twenty-one more were later donated to the expedition by Roald Amundsen, when he reached Hobart after his successful attainment of the South Pole. Numerous pups were born during the expedition. This note gives the details of the individual dogs during the expedition, including their names (and why they were so named), descriptions (when known), and fates.</t>
  </si>
  <si>
    <t>Riffenburgh, B (corresponding author), Univ Cambridge, Scott Polar Res Inst, Lensfield Rd, Cambridge CB2 1ER, England.</t>
  </si>
  <si>
    <t>bar10@cam.ac.uk</t>
  </si>
  <si>
    <t>10.1017/S0032247412000800</t>
  </si>
  <si>
    <t>WOS:000332698600003</t>
  </si>
  <si>
    <t>Bulkeley, R</t>
  </si>
  <si>
    <t>Bulkeley, Rip</t>
  </si>
  <si>
    <t>The early history of Peter I Island Rip Bulkeley</t>
  </si>
  <si>
    <t>None of the logbooks or officers' journals of the 1819-1821 Russian Antarctic expedition, commanded by Junior Captain Faddei Faddeyevich Bellingshausen, have yet been found. The discovery of Peter I Island was recorded in two reports from the commander, on Sheet 13 of a 15-sheet track chart of the expedition which he prepared during the voyage home (Belov 1963: 32), in his subsequent book (Bellinsgauzen 1831), and in narratives penned by four other eye-witnesses.</t>
  </si>
  <si>
    <t>Bulkeley, R (corresponding author), 38 Lonsdale Rd, Oxford OX2 7EW, England.</t>
  </si>
  <si>
    <t>rip@igy50.net</t>
  </si>
  <si>
    <t>10.1017/S0032247413000387</t>
  </si>
  <si>
    <t>WOS:000332698600014</t>
  </si>
  <si>
    <t>Smith, RIL</t>
  </si>
  <si>
    <t>Smith, R. I. Lewis</t>
  </si>
  <si>
    <t>Antarctican Society centennial medallion</t>
  </si>
  <si>
    <t>The Antarctican Society, based in the United States, has produced a medallion (Fig. 1) in recognition of the centennial of the discovery of the South Pole by Roald Amundsen and Captain Robert Falcon Scott, in 1911 and 1912, respectively. This item is representative of both expeditions.</t>
  </si>
  <si>
    <t>Ctr Antarctic Plant Ecol &amp; Divers, Moffat DG10 9LB, Dumfries, Scotland</t>
  </si>
  <si>
    <t>Smith, RIL (corresponding author), Ctr Antarctic Plant Ecol &amp; Divers, Moffat DG10 9LB, Dumfries, Scotland.</t>
  </si>
  <si>
    <t>rils1@o2.co.uk</t>
  </si>
  <si>
    <t>10.1017/S0032247411000726</t>
  </si>
  <si>
    <t>WOS:000332698600017</t>
  </si>
  <si>
    <t>Splettstoesser, J</t>
  </si>
  <si>
    <t>Splettstoesser, John</t>
  </si>
  <si>
    <t>The occurrence of two basal sections of southern beech trees (Nothofagus sp.) embedded in raised cobble beaches and exposed by receding icefields at widely separated locations on islands off the western coast of the Antarctic Peninsula is reported. These are the most southerly records of naturally occurring driftwood. Both are of Fuegian or southern Patagonian origin but whether they arrived at their destinations directly from the north or by circumnavigating the Southern Ocean eastwards is uncertain. While their stranding probably occurred several centuries ago this can only be speculated.</t>
  </si>
  <si>
    <t>Splettstoesser, J (corresponding author), POB 515, Waconia, MN 55387 USA.</t>
  </si>
  <si>
    <t>spletts@embarqmail.com</t>
  </si>
  <si>
    <t>10.1017/S0032247411000192</t>
  </si>
  <si>
    <t>WOS:000332698600016</t>
  </si>
  <si>
    <t>Alvarez, M; Brea, S; Mercier, H; Alvarez-Salgado, XA</t>
  </si>
  <si>
    <t>Alvarez, M.; Brea, S.; Mercier, H.; Alvarez-Salgado, X. A.</t>
  </si>
  <si>
    <t>Mineralization of biogenic materials in the water masses of the South Atlantic Ocean. I: Assessment and results of an optimum multiparameter analysis</t>
  </si>
  <si>
    <t>PROGRESS IN OCEANOGRAPHY</t>
  </si>
  <si>
    <t>ANTARCTIC BOTTOM WATER; DEEP-WATER; EQUATORIAL ATLANTIC; WESTERN BOUNDARY; FLOW PATTERNS; CIRCULATION; OXYGEN; INTERMEDIATE; THERMOCLINE; NUTRIENTS</t>
  </si>
  <si>
    <t>This is the first of two manuscripts dealing with the circulation, mixing, ventilation and organic matter mineralization of the South Atlantic Ocean (SAO). The present work quantifies the complex mixing of water masses in the SAO using a constrained, least-squares regression, Optimum MultiParameter (OMP) analysis. The OMP based on temperature, salinity, silicate and the conservative parameter NO, was applied on two World Ocean Circulation (WOCE) lines, A17 and A14, in the western and eastern SAO, respectively. The constrained OMP sensitivity to sources of error in the end-member characteristics, measured parameters, equation weights and oxygen to nitrogen mineralization ratio (RN) was carefully assessed using perturbation tests. Perturbation of RN was the only test that changed significantly the mixing proportions although by less than 5%. The constrained OMP method allowed defining the realm and identifying the core-of-flow of each water mass to study its circulation, the evolution of its chemical composition and, eventually, to separate the contribution of physical and biogeochemical processes. Relevant specific outputs of this first manuscript are: (1) north of the South Equatorial Current, the silicate maximum is primarily composed of Antarctic Intermediate Water (AAIW) rather than Circumpolar Deep Water (CDW); (2) the two degree discontinuity (TDD) experiences a dramatic meridional change of water masses composition, being dominated by North Atlantic Deep Water (NADW) north of the Vema Channel and by CDW southwards; (3) the 50% proportion horizon of Weddell Sea Deep Water (WDSW), with a 0 of -0.3 degrees C at the entry of the SAO, defines the upper limit of the WSDW realm more properly than the classical isopycnals of 46.04 or 46.06 sigma(4), where the proportion of WSDW is around 75%. (C) 2014 Elsevier Ltd. All rights reserved.</t>
  </si>
  <si>
    <t>[Alvarez, M.] Inst Espanol Oceanog, Ctr A Coruna, La Coruna 15080, Spain; [Brea, S.; Alvarez-Salgado, X. A.] CSIC, IIM, Vigo 36208, Spain; [Mercier, H.] IFREMER, LPO, F-29280 Brest, France</t>
  </si>
  <si>
    <t>Spanish Institute of Oceanography; Consejo Superior de Investigaciones Cientificas (CSIC); CSIC - Instituto de Investigaciones Marinas (IIM); Centre National de la Recherche Scientifique (CNRS); Ifremer; Institut de Recherche pour le Developpement (IRD); Universite de Bretagne Occidentale</t>
  </si>
  <si>
    <t>Alvarez, M (corresponding author), Inst Espanol Oceanog, Ctr A Coruna, Apdo 130, La Coruna 15080, Spain.</t>
  </si>
  <si>
    <t>marta.alvarez@co.ieo.es</t>
  </si>
  <si>
    <t>Álvarez, Marta/D-4367-2009; Alvarez-Salgado, Xose Anton/A-8365-2012; MERCIER, Herle/L-4161-2015</t>
  </si>
  <si>
    <t>Álvarez, Marta/0000-0002-5075-9344; Alvarez-Salgado, X. Anton/0000-0002-2387-9201; MERCIER, Herle/0000-0002-1940-617X</t>
  </si>
  <si>
    <t>Spanish CICYT contracts [ANT93-1156-E, ANT94-1168-E]; IFREMER contract [94 1430 087]; Spanish Ministry of Science and Innovation (MALASPINA expedition) [CSD2008-00077]; ORCASEX [RYC-2006-001836]; Spanish Ministry of Science and Technology</t>
  </si>
  <si>
    <t>Spanish CICYT contracts; IFREMER contract; Spanish Ministry of Science and Innovation (MALASPINA expedition); ORCASEX; Spanish Ministry of Science and Technology(Spanish Government)</t>
  </si>
  <si>
    <t>The authors wish to thank the captain and the crew of R/V Maurice Ewing and R/V L'Atalante for their help during the cruise. We are very grateful to C.G. Castro and M.J. Pazo for their participation in nutrient measurements. Financial support from this work came from the Spanish CICYT contracts ANT93-1156-E and ANT94-1168-E and, and from the IFREMER contract No. 94 1430 087. X.A.A.S. and M.A. were supported by the Spanish Ministry of Science and Innovation (MALASPINA expedition, grant number CSD2008-00077). M.A. was funded by the grant ORCASEX (RYC-2006-001836), program Ramon y Cajal from the Spanish Ministry of Science and Technology.</t>
  </si>
  <si>
    <t>0079-6611</t>
  </si>
  <si>
    <t>1873-4472</t>
  </si>
  <si>
    <t>PROG OCEANOGR</t>
  </si>
  <si>
    <t>Prog. Oceanogr.</t>
  </si>
  <si>
    <t>10.1016/j.pocean.2013.12.007</t>
  </si>
  <si>
    <t>AH3EJ</t>
  </si>
  <si>
    <t>Green Submitted, Green Published</t>
  </si>
  <si>
    <t>WOS:000336006100001</t>
  </si>
  <si>
    <t>Woollings, T; Czuchnicki, C; Franzke, C</t>
  </si>
  <si>
    <t>Woollings, Tim; Czuchnicki, Camelia; Franzke, Christian</t>
  </si>
  <si>
    <t>Twentieth century North Atlantic jet variability</t>
  </si>
  <si>
    <t>QUARTERLY JOURNAL OF THE ROYAL METEOROLOGICAL SOCIETY</t>
  </si>
  <si>
    <t>regime behaviour; reanalysis; climate noise; NAO; jet variability</t>
  </si>
  <si>
    <t>STOCHASTIC CLIMATE MODELS; ATMOSPHERIC BLOCKING; STREAM; OSCILLATION; TRENDS; NAO; PATTERNS; INDEXES; NOISE</t>
  </si>
  <si>
    <t>Long records of the latitude and speed of the North Atlantic eddy-driven jet stream since 1871 are presented from the newly available Twentieth Century Reanalysis. These jet variations underlie the variability associated with patterns such as the North Atlantic Oscillation (NAO) and have considerable societal impact through variations in the prevailing westerly winds. While the NAO combines variations in the latitude and speed of the jet, these two characteristics are shown to have quite different seasonal cycles and interannual variability, suggesting that they may have different dynamical influences. In general, the features exhibited in shorter records are shown to be robust, for example the strong skewness of the NAO distribution. Related to this is a clear multimodality of the jet latitude distribution, which suggests the existence of preferred positions of the jet. Decadal variations in jet latitude are shown to correspond to changes in the occurrence of these preferred positions. However, it is the speed rather than the latitude of the jet that exhibits the strongest decadal variability, and in most seasons this is clearly distinct from a white-noise representation of the seasonal means. When viewed in this longer term context, the variations of recent decades do not appear unusual and recent values of jet latitude and speed are not unprecedented in the historical record.</t>
  </si>
  <si>
    <t>[Woollings, Tim; Czuchnicki, Camelia] Univ Reading, Dept Meteorol, Reading RG6 6BB, Berks, England; [Franzke, Christian] British Antarctic Survey, Cambridge CB3 0ET, England</t>
  </si>
  <si>
    <t>University of Reading; UK Research &amp; Innovation (UKRI); Natural Environment Research Council (NERC); NERC British Antarctic Survey</t>
  </si>
  <si>
    <t>Woollings, T (corresponding author), Univ Reading, Dept Meteorol, Earley Gate,POB 243, Reading RG6 6BB, Berks, England.</t>
  </si>
  <si>
    <t>t.j.woollings@reading.ac.uk</t>
  </si>
  <si>
    <t>; Franzke, Christian/A-6191-2012</t>
  </si>
  <si>
    <t>Woollings, Tim/0000-0002-5815-9079; Franzke, Christian/0000-0003-4111-1228</t>
  </si>
  <si>
    <t>0035-9009</t>
  </si>
  <si>
    <t>1477-870X</t>
  </si>
  <si>
    <t>Q J ROY METEOR SOC</t>
  </si>
  <si>
    <t>Q. J. R. Meteorol. Soc.</t>
  </si>
  <si>
    <t>10.1002/qj.2197</t>
  </si>
  <si>
    <t>Meteorology &amp; Atmospheric Sciences</t>
  </si>
  <si>
    <t>AF7WU</t>
  </si>
  <si>
    <t>WOS:000334926800005</t>
  </si>
  <si>
    <t>Hodgson, DA; Graham, AGC; Griffiths, HJ; Roberts, SJ; Cofaigh, CO; Bentley, MJ; Evans, DJA</t>
  </si>
  <si>
    <t>Hodgson, Dominic A.; Graham, Alastair G. C.; Griffiths, Huw J.; Roberts, Stephen J.; Cofaigh, Colm O.; Bentley, Michael J.; Evans, David J. A.</t>
  </si>
  <si>
    <t>Glacial history of sub-Antarctic South Georgia based on the submarine geomorphology of its fjords</t>
  </si>
  <si>
    <t>QUATERNARY SCIENCE REVIEWS</t>
  </si>
  <si>
    <t>Glacial history; Glaciation; Geomorphology; Swath bathymetry; Geochronology</t>
  </si>
  <si>
    <t>FLUCTUATIONS; DEGLACIATION; RECORD; CHRONOLOGY; EVOLUTION; SVALBARD; AMERICA; SEA</t>
  </si>
  <si>
    <t>We present multibeam swath bathymetric surveys of the major fjords surrounding the sub-Antarctic island of South Georgia to characterise the glacial geomorphology and to identify the relative timings and extent of past glacial advance and retreat. Bathymetry data revealed a range of glacial features including terminal, retreat and truncated moraines, deep (distal) outer and shallow (proximal) inner basins and cross shelf troughs. These provide evidence of glacial advance and retreat through several glacial cycles. A near consistent pattern of large scale submarine geomorphological features was observed in the different fjords suggesting a similar response of margins of the island ice cap to past climate forcing. A relative chronology based on the relationships between the submarine features with their radiocarbon and cosmogenic isotope dated terrestrial counterparts suggests that widely observed inner basin moraines date from the last major glacial advance or Last Glacial Maximum, while deep basin moraines may date from an earlier (pre-LGM) more extensive glaciation, which we speculate corresponds to MIS6. On the sides of the deep basins a series of truncated moraines show ice advance positions from preceding glacial periods. The cross shelf troughs, and mid-trough moraines are interpreted as the product of much more extensive glaciations that predate the fjord geomorphology mapped here, thus possibly older than MIS6. This hypothesis would suggest that South Georgia followed a glacial history similar to that of central Patagonia (46 degrees S) where a series of Pleistocene glaciations (of MIS 20 and younger) extended beyond LGM limits, with the most extensive glacial advance occurring at c. 1.1 Ma. (C) 2014 The Authors. Published by Elsevier Ltd. All rights reserved.</t>
  </si>
  <si>
    <t>[Hodgson, Dominic A.; Graham, Alastair G. C.; Griffiths, Huw J.; Roberts, Stephen J.] British Antarctic Survey, Cambridge CB3 0ET, England; [Hodgson, Dominic A.; Cofaigh, Colm O.; Bentley, Michael J.; Evans, David J. A.] Univ Durham, Dept Geog, Durham DH1 3LE, England</t>
  </si>
  <si>
    <t>UK Research &amp; Innovation (UKRI); Natural Environment Research Council (NERC); NERC British Antarctic Survey; Durham University</t>
  </si>
  <si>
    <t>Hodgson, DA (corresponding author), British Antarctic Survey, Madingley Rd, Cambridge CB3 0ET, England.</t>
  </si>
  <si>
    <t>daho@bas.ac.uk</t>
  </si>
  <si>
    <t>Griffiths, Huw J/D-4234-2009; Bentley, Michael J/F-7386-2011</t>
  </si>
  <si>
    <t>Griffiths, Huw J/0000-0003-1764-223X; Bentley, Michael J/0000-0002-2048-0019; Graham, Alastair/0000-0002-2880-2908; Roberts, Stephen/0000-0003-3407-9127</t>
  </si>
  <si>
    <t>Natural Environment Research Council (NERC) New Investigator Grant, [NEK0005271]; NERC [bas0100026, bas0100024, NE/K000527/2, bas0100025] Funding Source: UKRI; Natural Environment Research Council [bas0100024, bas0100025, NE/K000527/2, bas0100026] Funding Source: researchfish</t>
  </si>
  <si>
    <t>Natural Environment Research Council (NERC) New Investigator Grant,(UK Research &amp; Innovation (UKRI)Natural Environment Research Council (NERC)); NERC(UK Research &amp; Innovation (UKRI)Natural Environment Research Council (NERC)); Natural Environment Research Council(UK Research &amp; Innovation (UKRI)Natural Environment Research Council (NERC))</t>
  </si>
  <si>
    <t>The data used in this study are derived from swath bathymetric surveys carried out by HMS Endurance in 2005 and 2006, together with data from the British Antarctic Survey RRS James Clark Ross. Captain Nick Lambert of HMS Endurance, the surveyors George Tabeart and Ken Smith and the BAS staff are thanked for their enthusiasm for completing the surveys under, sometimes, challenging conditions. Tara Deen and Alex Tate (BAS) are thanked for their help with archiving and accessing the data. AGCG is supported by Natural Environment Research Council (NERC) New Investigator Grant, NEK0005271. We thanks our reviewers for their constructive comments.</t>
  </si>
  <si>
    <t>0277-3791</t>
  </si>
  <si>
    <t>1873-457X</t>
  </si>
  <si>
    <t>QUATERNARY SCI REV</t>
  </si>
  <si>
    <t>Quat. Sci. Rev.</t>
  </si>
  <si>
    <t>10.1016/j.quascirev.2013.12.005</t>
  </si>
  <si>
    <t>Geography, Physical; Geosciences, Multidisciplinary</t>
  </si>
  <si>
    <t>Physical Geography; Geology</t>
  </si>
  <si>
    <t>AG8ZE</t>
  </si>
  <si>
    <t>Green Accepted, Green Published, hybrid</t>
  </si>
  <si>
    <t>WOS:000335706600012</t>
  </si>
  <si>
    <t>Fernández, MJ</t>
  </si>
  <si>
    <t>Jara Fernandez, Mauricio</t>
  </si>
  <si>
    <t>THE FOREIGN MINISTER FEDERICO PUGA BORNE AND THE ATTEMPT TO DELIMIT THE POLAR AND ANTARCTIC REGIONS, 1907-1908</t>
  </si>
  <si>
    <t>REVISTA ESTUDIOS HEMISFERICOS Y POLARES</t>
  </si>
  <si>
    <t>Spanish</t>
  </si>
  <si>
    <t>Chilean-Argentine Antarctic; Chilean Antarctic; South American Antarctic</t>
  </si>
  <si>
    <t>This article describes and analyzes the Chilean-Argentinean diplomatic process between 1906-1908 that was intended to draw a line of demarcation in the South Shetland Islands and the Antarctic Continent, but which for reasons that were unfortunate and still poorly understood this initiative of Foreign Minister Puga and the Argentinean diplomat in Santiago Lorenzo Anadon was not successful.</t>
  </si>
  <si>
    <t>[Jara Fernandez, Mauricio] Univ Playa Ancha, Valparaiso, Chile</t>
  </si>
  <si>
    <t>Universidad de Playa Ancha</t>
  </si>
  <si>
    <t>Fernández, MJ (corresponding author), Univ Playa Ancha, Fac Humanidades, Avda Playa Ancha 850, Valparaiso, Chile.</t>
  </si>
  <si>
    <t>mjara@upla.cl</t>
  </si>
  <si>
    <t>CENTRO ESTUDIOS HEMISFERICOS &amp; POLARES</t>
  </si>
  <si>
    <t>VINA DEL MAR</t>
  </si>
  <si>
    <t>CALLE ROMA, 116, CALETA ABARCA, VINA DEL MAR, 2580060, CHILE</t>
  </si>
  <si>
    <t>0718-9230</t>
  </si>
  <si>
    <t>REV ESTUD HEMISFERIC</t>
  </si>
  <si>
    <t>Rev. Estud. Hemisfericos Polares</t>
  </si>
  <si>
    <t>Area Studies</t>
  </si>
  <si>
    <t>V36HW</t>
  </si>
  <si>
    <t>WOS:000215960300001</t>
  </si>
  <si>
    <t>Stewart, MAHI</t>
  </si>
  <si>
    <t>Stewart, M. A. Hamish I.</t>
  </si>
  <si>
    <t>NEW ANTECEDENTS ON THE DISCOVERY OF THE SOUTH SHETLAND ISLANDS: THE JOURNAL OF MIDSHIPMAN CHARLES W. POYNTER, 1819-1820</t>
  </si>
  <si>
    <t>South Shetland Islands; Antarctic; Charles W. Poynter; Captain William Smith</t>
  </si>
  <si>
    <t>In 1819, on a voyage between Buenos Aires and Valparaiso, the British captain William Smith, sailing far to the south of Cape Horn with the intention of finding better winds, saw land at 62 degrees S. Although his first report of this discovery was not believed, on a subsequent one Smith managed to confirm his discovery. As a result of this, the senior British naval officer in Valparaiso hired Smith and his ship, the Williams, to carry out a reconnaissance of the islands, today known as the South Shetlands. The analysis of the recently discovered journal of Charles Poynter, one of the midshipmen who accompanied Smith, together with the pre-existing documentation, allows us to both confirm certain facts and opinions, and to refute other asseverations published in later documents, thus amplifying our knowledge about the British contribution to the discovery of the areas related to the Antarctic at the beginning of the XIX Century.</t>
  </si>
  <si>
    <t>[Stewart, M. A. Hamish I.] Univ Playa Ancha, Valparaiso, Chile</t>
  </si>
  <si>
    <t>Stewart, MAHI (corresponding author), Univ Playa Ancha, Fac Humanidades, Avda Playa Ancha 850, Valparaiso, Chile.</t>
  </si>
  <si>
    <t>hstewart@vtr.net</t>
  </si>
  <si>
    <t>WOS:000215960300002</t>
  </si>
  <si>
    <t>Gallagher, SJ; Exon, N; Seton, M; Ikehara, M; Hollis, CJ; Arculus, R; D'Hondt, S; Foster, C; Gurnis, M; Kennett, JP; Mckay, R; Malakoff, A; Mori, J; Takai, K; Wallace, L</t>
  </si>
  <si>
    <t>Gallagher, S.; Exon, N.; Seton, M.; Ikehara, M.; Hollis, C.; Arculus, R.; D'Hondt, S.; Foster, C.; Gurnis, M.; Kennett, J.; Mckay, R.; Malakoff, A.; Mori, J.; Takai, K.; Wallace, L.</t>
  </si>
  <si>
    <t>Exploring new drilling prospects in the southwest Pacific</t>
  </si>
  <si>
    <t>SCIENTIFIC DRILLING</t>
  </si>
  <si>
    <t>A major International Ocean Discovery Program (IODP) workshop covering scientific ocean drilling in the southwest Pacific Ocean was held in Sydney, Australia, in late 2012. The workshop covered all fields of geoscience, and drilling targets in the area from the Equator to Antarctica. High-quality contributions and a positive and cooperative atmosphere ensured its success. The four science themes of the new IODP science plan were addressed. An additional resource-oriented theme considered possible co-investment opportunities involving IODP vessels. As a result of the workshop, existing proposals were revised and new ones written for the April 2013 deadline. Many of the proposals are broad and multidisciplinary in nature, hence broadening the scientific knowledge that can be produced by using the IODP infrastructure. This report briefly outlines the workshop and the related drilling plans.</t>
  </si>
  <si>
    <t>[Gallagher, S.] Univ Melbourne, Sch Earth Sci, Melbourne, Vic 3010, Australia; [Exon, N.; Arculus, R.] Australian Natl Univ, Res Sch Earth Sci, Canberra, ACT 0200, Australia; [Seton, M.] Univ Sydney, Earthbyte Grp, Sch Geosci, Sydney, NSW 2006, Australia; [Ikehara, M.] Kochi Univ, Ctr Adv Marine Core Res, Nankoku, Kochi 7838502, Japan; [Hollis, C.; Malakoff, A.] GNS Sci, Lower Hutt 5040, New Zealand; [D'Hondt, S.] Univ Rhode Isl, Grad Sch Oceanog, Narragansett, RI 02882 USA; [Foster, C.] Geosci Australia, Canberra, ACT 2601, Australia; [Gurnis, M.] CALTECH, Pasadena, CA 91125 USA; [Kennett, J.] Univ Calif Santa Barbara, Dept Earth Sci, Santa Barbara, CA 93106 USA; [Mckay, R.] Victoria Univ Wellington, Antarctic Res Ctr, Wellington 6140, New Zealand; [Mori, J.] Kyoto Univ, Earthquake Hazards Div, Kyoto 6110011, Japan; [Takai, K.] Japan Agcy Marine Earth Sci &amp; Technol JAMSTEC, Subsurface Geobiol Adv Res SUGAR Project, Yokosuka, Kanagawa 2370061, Japan; [Wallace, L.] Univ Texas Austin, Jackson Sch Geosci, Austin, TX 78713 USA</t>
  </si>
  <si>
    <t>University of Melbourne; Melbourne Bioinformatics; Australian National University; University of Sydney; Kochi University; GNS Science - New Zealand; University of Rhode Island; Geoscience Australia; California Institute of Technology; University of California System; University of California Santa Barbara; Victoria University Wellington; Kyoto University; Japan Agency for Marine-Earth Science &amp; Technology (JAMSTEC); University of Texas System; University of Texas Austin</t>
  </si>
  <si>
    <t>Gallagher, SJ (corresponding author), Univ Melbourne, Sch Earth Sci, Melbourne, Vic 3010, Australia.</t>
  </si>
  <si>
    <t>sjgall@unimelb.edu.au</t>
  </si>
  <si>
    <t>DHondt, Steven Lawrence/JVO-1823-2024; McKay, Robert/N-2449-2015; Wallace, Laura/AAR-1862-2021; Gallagher, Stephen/AFL-9448-2022; Seton, Maria/H-8272-2013</t>
  </si>
  <si>
    <t>DHondt, Steven Lawrence/0000-0001-9915-1148; McKay, Robert/0000-0002-5602-6985; Gallagher, Stephen/0000-0002-5593-2740; Seton, Maria/0000-0001-8541-1367; Ikehara, Minoru/0000-0002-2695-4713; Foster, Clinton/0000-0001-6054-6601; Wallace, Laura/0000-0003-2070-0891; Arculus, Richard/0000-0002-3432-392X; Hollis, Christopher John/0000-0001-8840-9852; Exon, Neville/0000-0003-4169-4144</t>
  </si>
  <si>
    <t>IODP-MI; USSSP; J-DESC; ANZIC; University of Sydney</t>
  </si>
  <si>
    <t>IODP-MI; USSSP; J-DESC; ANZIC; University of Sydney(University of Sydney)</t>
  </si>
  <si>
    <t>Thanks are given to IODP-MI, USSSP, J-DESC, ANZIC and the University of Sydney for their generous support of this Workshop.</t>
  </si>
  <si>
    <t>COPERNICUS GESELLSCHAFT MBH</t>
  </si>
  <si>
    <t>GOTTINGEN</t>
  </si>
  <si>
    <t>BAHNHOFSALLEE 1E, GOTTINGEN, 37081, GERMANY</t>
  </si>
  <si>
    <t>1816-8957</t>
  </si>
  <si>
    <t>1816-3459</t>
  </si>
  <si>
    <t>SCI DRILL</t>
  </si>
  <si>
    <t>Sci. Drill.</t>
  </si>
  <si>
    <t>10.5194/sd-17-45-2014</t>
  </si>
  <si>
    <t>V53GN</t>
  </si>
  <si>
    <t>Green Submitted, Green Accepted, gold</t>
  </si>
  <si>
    <t>WOS:000210346000007</t>
  </si>
  <si>
    <t>Black, M; Carbonneau, P; Church, M; Warburton, J</t>
  </si>
  <si>
    <t>Black, Martin; Carbonneau, Patrice; Church, Michael; Warburton, Jeff</t>
  </si>
  <si>
    <t>Mapping sub-pixel fluvial grain sizes with hyperspatial imagery</t>
  </si>
  <si>
    <t>SEDIMENTOLOGY</t>
  </si>
  <si>
    <t>sub-pixel features; digital image processing; image texture; hyperspatial imagery; fluvial grain size; Airborne remote sensing; grey-level co-occurrence matrix</t>
  </si>
  <si>
    <t>DIGITAL IMAGES; RESOLUTION; SURFACES; RIVERS</t>
  </si>
  <si>
    <t>This study presents an investigation of image texture approaches for mapping sub-pixel fluvial grain-size features from airborne imagery, allowing for the rapid acquisition of surface sand and coarse fraction (&gt;1 center dot 41mm) grain-size information. Imagery at 30mm resolution was acquired over four gravel bars from the Fraser River (British Columbia, Canada). Combined first-order and second-order image texture approaches (windowed standard deviation filter and the grey level co-occurrence matrix) were used. First-order image texture, through the application of a standard deviation filter and subsequent thresholding was used to detect the presence of surface sand, with optimal accuracy achieved at 91 +/- 1 center dot 9%. A wide-ranging parameter space investigation was used to derive optimum parameters for the grey-level co-occurrence matrix. Subsequently first-order and second-order image textures were used in multiple linear regression to achieve good calibrations with several sub-pixel grain-size percentiles; relative error at 1 center dot 44%, 3 center dot 18%, 6 center dot 80% and 10 center dot 6% for D-5, D-16, D-35 and D-50, respectively. The larger percentiles of D-84 and D-95 had relative errors of 24 center dot 7% and 29 center dot 7%, respectively. The breakdown of calibration precision for larger percentiles is attributed to a 'pixel averaging effect'. It is concluded that multispectral imagery is not required, because sufficient image texture information can be derived from standard colour imagery. Recommendations are suggested for the application of this method to other localities and data sets, thus reducing exhaustive parameter searches in future studies.</t>
  </si>
  <si>
    <t>[Black, Martin; Carbonneau, Patrice; Warburton, Jeff] Univ Durham, Dept Geog, Durham DH1 3LE, England; [Black, Martin] British Antarctic Survey, Cambridge CB3 0ET, England; [Church, Michael] Univ British Columbia, Dept Geog, Fac Arts, Vancouver, BC V6T 1Z2, Canada</t>
  </si>
  <si>
    <t>Durham University; UK Research &amp; Innovation (UKRI); Natural Environment Research Council (NERC); NERC British Antarctic Survey; University of British Columbia</t>
  </si>
  <si>
    <t>Black, M (corresponding author), Univ Durham, Dept Geog, Lower Mountjoy South Rd, Durham DH1 3LE, England.</t>
  </si>
  <si>
    <t>marack97@bas.ac.uk</t>
  </si>
  <si>
    <t>Black, Martin/0000-0003-2424-5726</t>
  </si>
  <si>
    <t>Durham University Research Bursary; Natural Sciences and Engineering Research Council of Canada; Canadian Department of Fisheries and Oceans; Natural Environment Research Council [bas0100026, bas010011] Funding Source: researchfish; NERC [bas010011, bas0100026] Funding Source: UKRI</t>
  </si>
  <si>
    <t>Durham University Research Bursary; Natural Sciences and Engineering Research Council of Canada(Natural Sciences and Engineering Research Council of Canada (NSERC)CGIAR); Canadian Department of Fisheries and Oceans; Natural Environment Research Council(UK Research &amp; Innovation (UKRI)Natural Environment Research Council (NERC)); NERC(UK Research &amp; Innovation (UKRI)Natural Environment Research Council (NERC))</t>
  </si>
  <si>
    <t>MB was supported by a Durham University Research Bursary. Acquisition of the hyperspatial imagery and field operations on Fraser River were supported by a Discovery Grant from the Natural Sciences and Engineering Research Council of Canada and a contract from the Canadian Department of Fisheries and Oceans (awarded to MC). The cooperation of members of DTM Mapping Corporation is gratefully acknowledged. Dave Reid and Matt Chernos are gratefully thanked for their support in the field. Reviewers are thanked for their detailed comments on earlier versions of this manuscript.</t>
  </si>
  <si>
    <t>0037-0746</t>
  </si>
  <si>
    <t>1365-3091</t>
  </si>
  <si>
    <t>Sedimentology</t>
  </si>
  <si>
    <t>10.1111/sed.12072</t>
  </si>
  <si>
    <t>AC8IS</t>
  </si>
  <si>
    <t>WOS:000332777300004</t>
  </si>
  <si>
    <t>Brazzelli, N</t>
  </si>
  <si>
    <t>Brazzelli, Nicoletta</t>
  </si>
  <si>
    <t>Postcolonial Antarctica and the Memory of the Empire of Ice</t>
  </si>
  <si>
    <t>SIMPLEGADI</t>
  </si>
  <si>
    <t>In 2012 the anniversary of Robert Falcon Scott's arrival at the South Pole and of his death in the ice on his return journey has prompted new research on Scott and the Antarctic continent. The renaissance of Antarctic interests shows that Antarctica continues to be a source of fascination for the Western world as a place for the expression of individual bravery and endurance. However, the role of Antarctica as an imperial space in the British cultural imagination is now superseded by its status of postcolonial territory 'owned' both by the former imperial nations and by postcolonial countries such as India or New Zealand. The 1959 Antarctic Treaty recognized to Great Britain an influential role in the international agreements that established international cooperation promoting scientific activity. At the same time, many other countries are directly involved in the project of making the 'white continent' a natural reserve entirely devoted to science.</t>
  </si>
  <si>
    <t>[Brazzelli, Nicoletta] Univ Milan, English Literature, Milan, Italy</t>
  </si>
  <si>
    <t>University of Milan</t>
  </si>
  <si>
    <t>Brazzelli, N (corresponding author), Univ Milan, English Literature, Milan, Italy.</t>
  </si>
  <si>
    <t>nicoletta.brazzelli@unimi.it</t>
  </si>
  <si>
    <t>UNIV STUDI UDINE</t>
  </si>
  <si>
    <t>UDINE</t>
  </si>
  <si>
    <t>VIA PALLADIO 8, PALAZZO FLORIO, UDINE, 33100, ITALY</t>
  </si>
  <si>
    <t>1824-5226</t>
  </si>
  <si>
    <t>Simplegadi</t>
  </si>
  <si>
    <t>Literature</t>
  </si>
  <si>
    <t>VA3UA</t>
  </si>
  <si>
    <t>WOS:000409838300009</t>
  </si>
  <si>
    <t>Varotsos, CA; Franzke, CLE; Efstathiou, MN; Degermendzhi, AG</t>
  </si>
  <si>
    <t>Varotsos, Costas A.; Franzke, Christian L. E.; Efstathiou, Maria N.; Degermendzhi, Andrei G.</t>
  </si>
  <si>
    <t>Evidence for two abrupt warming events of SST in the last century</t>
  </si>
  <si>
    <t>THEORETICAL AND APPLIED CLIMATOLOGY</t>
  </si>
  <si>
    <t>DETRENDED FLUCTUATION ANALYSIS; SCALING BEHAVIOR; OZONE DEPLETION; AIR-POLLUTION; LONG-MEMORY; CLIMATE; TEMPERATURE; VARIABILITY; OSCILLATION; TRENDS</t>
  </si>
  <si>
    <t>We have recently suggested that the warming in the sea surface temperature (SST) since 1900, did not occur smoothly and slowly, but with two rapid shifts in 1925/1926 and 1987/1988, which are more obvious over the tropics and the northern midlatitudes. Apart from these shifts, most of the remaining SST variability can be explained by the El Nio Southern Oscillation and the Pacific Decadal Oscillation (PDO). Here, we provide evidence that the timing of these two SST shifts (around 60 years) corresponds well to the quasi-periodicity of many natural cycles, like that of the PDO, the global and Northern Hemisphere annual mean temperature, the Atlantic Multi-decadal Oscillation, the Inter-Tropical Convergence Zone, the Southwest US Drought data, the length of day, the air surface temperature, the Atlantic meridional overturning circulation and the change in the location of the centre of mass of the solar system. In addition, we show that there exists a strong seasonal link between SST and ENSO over the tropics and the NH midlatitudes, which becomes stronger in autumn of the Northern Hemisphere. Finally, we found that before and after each SST shift, the intrinsic properties of the SST time series obey stochastic dynamics, which is unaffected by the modulation of these two shifts. In particular, the SST fluctuations for the time period between the two SST shifts exhibit 1/f-type long-range correlations, which are frequently encountered in a large variety of natural systems. Our results have potential implications for future climate shifts and crossing tipping points due to an interaction of intrinsic climate cycles and anthropogenic greenhouse gas emissions.</t>
  </si>
  <si>
    <t>[Varotsos, Costas A.; Efstathiou, Maria N.] Univ Athens, Climate Res Grp, Div Environm Phys &amp; Meteorol, Fac Phys, Athens 15784, Greece; [Franzke, Christian L. E.] British Antarctic Survey, Nat Environm Res Council, Cambridge CB3 0ET, England; [Degermendzhi, Andrei G.] Russian Acad Sci, Inst Biophys, SB RAS, Krasnoyarsk, Russia</t>
  </si>
  <si>
    <t>National &amp; Kapodistrian University of Athens; UK Research &amp; Innovation (UKRI); Natural Environment Research Council (NERC); NERC British Antarctic Survey; Russian Academy of Sciences; Krasnoyarsk Science Center of the Siberian Branch of the Russian Academy of Sciences; Biophysics Institute, Siberian Branch, Russian Academy of Sciences</t>
  </si>
  <si>
    <t>Varotsos, CA (corresponding author), Univ Athens, Climate Res Grp, Div Environm Phys &amp; Meteorol, Fac Phys, Univ Campus Bldg Phys 5, Athens 15784, Greece.</t>
  </si>
  <si>
    <t>covar@phys.uoa.gr</t>
  </si>
  <si>
    <t>Andrei, Degermendzhi G/P-8042-2015; Varotsos, Costas/H-6257-2013; Efstathiou, Maria/JVD-8203-2023; Franzke, Christian/A-6191-2012</t>
  </si>
  <si>
    <t>Varotsos, Costas/0000-0001-7215-3610; Franzke, Christian/0000-0003-4111-1228; Andrei, Degermendzhi/0000-0001-8649-5419</t>
  </si>
  <si>
    <t>SPRINGER WIEN</t>
  </si>
  <si>
    <t>WIEN</t>
  </si>
  <si>
    <t>SACHSENPLATZ 4-6, PO BOX 89, A-1201 WIEN, AUSTRIA</t>
  </si>
  <si>
    <t>0177-798X</t>
  </si>
  <si>
    <t>1434-4483</t>
  </si>
  <si>
    <t>THEOR APPL CLIMATOL</t>
  </si>
  <si>
    <t>Theor. Appl. Climatol.</t>
  </si>
  <si>
    <t>1-2</t>
  </si>
  <si>
    <t>10.1007/s00704-013-0935-8</t>
  </si>
  <si>
    <t>AD3ET</t>
  </si>
  <si>
    <t>WOS:000333121800005</t>
  </si>
  <si>
    <t>Ben Ameur, S; Gîjiu, CL; Belleville, MP; Sanchez, J; Paolucci-Jeanjean, D</t>
  </si>
  <si>
    <t>Ben Ameur, Sawsen; Gijiu, Cristiana Luminita; Belleville, Marie-Pierre; Sanchez, Jose; Paolucci-Jeanjean, Delphine</t>
  </si>
  <si>
    <t>Development of a multichannel monolith large-scale enzymatic membrane and application in an immobilized enzymatic membrane reactor</t>
  </si>
  <si>
    <t>JOURNAL OF MEMBRANE SCIENCE</t>
  </si>
  <si>
    <t>Large-scale enzymatic membrane; Candida antarctic-a lipase B; Enzymatic membrane reactor; Modeling</t>
  </si>
  <si>
    <t>STABILITY</t>
  </si>
  <si>
    <t>The development of large scale enzymatic membranes was investigated. The immobilization protocol previously developed with small mono-channel ceramic membranes (length: 0.13 m, area: 2.86 10-3 m2) was adapted to prepare larger scale enzymatic membranes: 7 channel (length: 0.13 m, area: 6.5 x 10(-3) m(2)) and 39 channel (length: 1.2 m, area: 0.5 m(2)) membranes. The performance of enzymatic membranes was experienced through the hydrolysis of butyl acetate as model reaction. The EMR, where the differently prepared enzymatic membranes were located, exhibited similar hydrolytic productivities (around 1.2 x 10(-4) mol s(-1) m(-2)) demonstrating a successful scale up. A model was developed coupling hydrodynamics and transport equations with a reaction rate measured experimentally; the model matched well with the overall conversion in steady state conditions and allowed to simulate the concentration profiles in the mono channel and 7 channel membranes. (C) 2014 Elsevier B.V. All rights reserved</t>
  </si>
  <si>
    <t>[Ben Ameur, Sawsen; Gijiu, Cristiana Luminita; Belleville, Marie-Pierre; Sanchez, Jose; Paolucci-Jeanjean, Delphine] Univ Montpellier 2, CNRS, Inst Europeen Membranes, ENSCM,UM2, F-34095 Montpellier, France; [Gijiu, Cristiana Luminita] Univ Politehn Bucuresti, Dept Chem Engn, RO-011061 Bucharest, Romania</t>
  </si>
  <si>
    <t>Universite de Montpellier; Ecole nationale superieure de chimie de Montpellier; Centre National de la Recherche Scientifique (CNRS); National University of Science &amp; Technology POLITEHNICA Bucharest</t>
  </si>
  <si>
    <t>Paolucci-Jeanjean, D (corresponding author), Univ Montpellier 2, CNRS, Inst Europeen Membranes, ENSCM,UM2, CC 047,Pl Eugene Bataillon, F-34095 Montpellier, France.</t>
  </si>
  <si>
    <t>delphine.paolucci@enscm.fr</t>
  </si>
  <si>
    <t>Marcano, Jose G Sanchez/JAC-4149-2023; Marcano, Jose G Sanchez/E-1445-2012; Belleville, Marie-Pierre/C-6192-2016</t>
  </si>
  <si>
    <t>Marcano, Jose G Sanchez/0000-0003-1783-2092; Belleville, Marie-Pierre/0000-0001-9157-9713</t>
  </si>
  <si>
    <t>French ANR (Agence Nationale de la Recherche) [ANR-08-CP2D-08]</t>
  </si>
  <si>
    <t>French ANR (Agence Nationale de la Recherche)(Agence Nationale de la Recherche (ANR))</t>
  </si>
  <si>
    <t>The authors acknowledge the French ANR (Agence Nationale de la Recherche) for the financial support (Project ANR-08-CP2D-08).</t>
  </si>
  <si>
    <t>0376-7388</t>
  </si>
  <si>
    <t>1873-3123</t>
  </si>
  <si>
    <t>J MEMBRANE SCI</t>
  </si>
  <si>
    <t>J. Membr. Sci.</t>
  </si>
  <si>
    <t>10.1016/j.memsci.2013.12.026</t>
  </si>
  <si>
    <t>Engineering, Chemical; Polymer Science</t>
  </si>
  <si>
    <t>Engineering; Polymer Science</t>
  </si>
  <si>
    <t>AA2VS</t>
  </si>
  <si>
    <t>WOS:000330952900034</t>
  </si>
  <si>
    <t>Koh, DY; Kang, H; Park, Y; Lee, H</t>
  </si>
  <si>
    <t>Koh, Dong-Yeun; Kang, Hyery; Park, Youngjune; Lee, Huen</t>
  </si>
  <si>
    <t>Effect of thermal history on lattice expansion and guest distribution of tetrahydrofuran clathrate hydrate with air molecules</t>
  </si>
  <si>
    <t>CHEMICAL PHYSICS LETTERS</t>
  </si>
  <si>
    <t>ANTARCTIC ICE; NEUTRON-DIFFRACTION; CORE; NUCLEATION; NITROGEN; CRYSTAL</t>
  </si>
  <si>
    <t>Air hydrates can form under the high-pressure and low-temperature conditions found in deep ice sheets of the Arctic and Antarctic regions. These hydrates can play a major role in the analysis of data gathered in these regions. Through this Letter, we investigate on thermal expansivity and guest-molecule dynamics of THF + air clathrate hydrate provided by a neutron scattering experiment and address two noteworthy features. First is the effect of thermal history on host water-lattice expansion and related gas-inclusion effect on thermal expansion coefficients. Second is the changes in guest-molecule distribution during the degassing process caused by thermal stimulation. (C) 2014 Elsevier B.V. All rights reserved.</t>
  </si>
  <si>
    <t>[Koh, Dong-Yeun; Kang, Hyery; Park, Youngjune; Lee, Huen] Korea Adv Inst Sci &amp; Technol, Dept Chem &amp; Biomol Engn, Taejon 305701, South Korea; [Lee, Huen] Korea Adv Inst Sci &amp; Technol, Grad Sch EEWS, Taejon 305701, South Korea</t>
  </si>
  <si>
    <t>Korea Advanced Institute of Science &amp; Technology (KAIST); Korea Advanced Institute of Science &amp; Technology (KAIST)</t>
  </si>
  <si>
    <t>Lee, H (corresponding author), Korea Adv Inst Sci &amp; Technol, Dept Chem &amp; Biomol Engn, Taejon 305701, South Korea.</t>
  </si>
  <si>
    <t>hlee@kaist.ac.kr</t>
  </si>
  <si>
    <t>Lee, Huen/C-1922-2011; PARK, YOUNGJUNE/Q-8795-2016; Koh, Dong-Yeun/N-7408-2017</t>
  </si>
  <si>
    <t>PARK, YOUNGJUNE/0000-0001-5626-0563; Koh, Dong-Yeun/0000-0002-6049-9371</t>
  </si>
  <si>
    <t>Ministry of Knowledge Economy through the Recovery/Production of Natural Gas Hydrate using Swapping Technique project [KIGAM-Gas Hydrate RD Organization]; National Research Foundation Korea (NRF); Korean government (MEST) [2010-0029176]</t>
  </si>
  <si>
    <t>Ministry of Knowledge Economy through the Recovery/Production of Natural Gas Hydrate using Swapping Technique project [KIGAM-Gas Hydrate RD Organization](Ministry of Trade, Industry &amp; Energy (MOTIE), Republic of Korea); National Research Foundation Korea (NRF)(National Research Foundation of Korea); Korean government (MEST)(Ministry of Education, Science &amp; Technology (MEST), Republic of KoreaKorean Government)</t>
  </si>
  <si>
    <t>This research was funded by the Ministry of Knowledge Economy through the Recovery/Production of Natural Gas Hydrate using Swapping Technique project [KIGAM-Gas Hydrate R&amp;D Organization]. It was also supported by a Grant from the National Research Foundation Korea (NRF) funded by the Korean government (MEST) (No. 2010-0029176).</t>
  </si>
  <si>
    <t>0009-2614</t>
  </si>
  <si>
    <t>1873-4448</t>
  </si>
  <si>
    <t>CHEM PHYS LETT</t>
  </si>
  <si>
    <t>Chem. Phys. Lett.</t>
  </si>
  <si>
    <t>MAR 28</t>
  </si>
  <si>
    <t>10.1016/j.cplett.2014.02.011</t>
  </si>
  <si>
    <t>Chemistry, Physical; Physics, Atomic, Molecular &amp; Chemical</t>
  </si>
  <si>
    <t>Chemistry; Physics</t>
  </si>
  <si>
    <t>AD7QN</t>
  </si>
  <si>
    <t>WOS:000333459700003</t>
  </si>
  <si>
    <t>Christoffersen, P; Bougamont, M; Carter, SP; Fricker, HA; Tulaczyk, S</t>
  </si>
  <si>
    <t>Christoffersen, Poul; Bougamont, Marion; Carter, Sasha P.; Fricker, Helen A.; Tulaczyk, Slawek</t>
  </si>
  <si>
    <t>Significant groundwater contribution to Antarctic ice streams hydrologic budget</t>
  </si>
  <si>
    <t>GEOPHYSICAL RESEARCH LETTERS</t>
  </si>
  <si>
    <t>Ice stream; Ice sheet; subglacial processes; groundwater; hydrology</t>
  </si>
  <si>
    <t>WEST ANTARCTICA; BASAL MECHANICS; SEA-LEVEL; SHEET; TILL; BENEATH; MODEL; BED; VARIABILITY; DYNAMICS</t>
  </si>
  <si>
    <t>Satellite observations have revealed active hydrologic systems beneath Antarctic ice streams, but sources and sinks of water within these systems are uncertain. Here we use numerical simulations of ice streams to estimate the generation, flux, and budget of water beneath five ice streams on the Siple Coast. We estimate that 47% of the total hydrologic input (0.98km(3)yr(-1)) to Whillans (WIS), Mercer (MIS), and Kamb (KIS) ice streams comes from the ice sheet interior and that only 8% forms by local basal melting. The remaining 45% comes from a groundwater reservoir, an overlooked source in which depletion significantly exceeds recharge. Of the total input to Bindschadler (BIS) and MacAyeal (MacIS) ice streams (0.56km(3)yr(-1)), 72% comes from the interior, 19% from groundwater, and 9% from local melting. This contrasting hydrologic setting modulates the ice streams flow and has important implications for the search for life in subglacial lakes.</t>
  </si>
  <si>
    <t>[Christoffersen, Poul; Bougamont, Marion] Univ Cambridge, Scott Polar Res Inst, Cambridge CB2 1ER, England; [Carter, Sasha P.; Fricker, Helen A.] Univ Calif San Diego, Scripps Inst Oceanog, Inst Geophys &amp; Planetary Phys, San Diego, CA 92103 USA; [Tulaczyk, Slawek] Univ Calif Santa Cruz, Dept Earth &amp; Planetary Sci, Santa Cruz, CA 95064 USA</t>
  </si>
  <si>
    <t>University of Cambridge; University of California System; University of California San Diego; Scripps Institution of Oceanography; University of California System; University of California Santa Cruz</t>
  </si>
  <si>
    <t>Christoffersen, P (corresponding author), Univ Cambridge, Scott Polar Res Inst, Cambridge CB2 1ER, England.</t>
  </si>
  <si>
    <t>pc350@cam.ac.uk</t>
  </si>
  <si>
    <t>Christoffersen, Poul/W-3708-2019; Tulaczyk, Slawek/O-7375-2018</t>
  </si>
  <si>
    <t>Christoffersen, Poul/0000-0003-2643-8724; Tulaczyk, Slawek/0000-0002-9711-4332; Fricker, Helen Amanda/0000-0002-0921-1432; Bougamont, Marion Heidi/0000-0001-7196-4171</t>
  </si>
  <si>
    <t>Isaac Newton Trust; Cecil H. and Ida M. Green Foundation; Natural Environment Research Council [NE/E005950/1, NE/J005800/1]; NERC [NE/E005950/1, NE/J005800/1, NE/J005754/1] Funding Source: UKRI; Natural Environment Research Council [NE/E005950/1, NE/J005754/1, NE/J005800/1] Funding Source: researchfish; Directorate For Geosciences; Office of Polar Programs (OPP) [1346251] Funding Source: National Science Foundation; Office of Polar Programs (OPP); Directorate For Geosciences [0838885] Funding Source: National Science Foundation</t>
  </si>
  <si>
    <t>Isaac Newton Trust; Cecil H. and Ida M. Green Foundation;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</si>
  <si>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This work was carried out with support from the Isaac Newton Trust, Cecil H. and Ida M. Green Foundation and Natural Environment Research Council (grant NE/E005950/1 and NE/J005800/1).</t>
  </si>
  <si>
    <t>0094-8276</t>
  </si>
  <si>
    <t>1944-8007</t>
  </si>
  <si>
    <t>GEOPHYS RES LETT</t>
  </si>
  <si>
    <t>Geophys. Res. Lett.</t>
  </si>
  <si>
    <t>10.1002/2014GL059250</t>
  </si>
  <si>
    <t>AE8PX</t>
  </si>
  <si>
    <t>Bronze, Green Published</t>
  </si>
  <si>
    <t>WOS:000334264900026</t>
  </si>
  <si>
    <t>Howell, FW; Haywood, AM; Dolan, AM; Dowsett, HJ; Francis, JE; Hill, DJ; Pickering, SJ; Pope, JO; Salzmann, U; Wade, BS</t>
  </si>
  <si>
    <t>Howell, Fergus W.; Haywood, Alan M.; Dolan, Aisling M.; Dowsett, Harry J.; Francis, Jane E.; Hill, Daniel J.; Pickering, Steven J.; Pope, James O.; Salzmann, Ulrich; Wade, Bridget S.</t>
  </si>
  <si>
    <t>Can uncertainties in sea ice albedo reconcile patterns of data-model discord for the Pliocene and 20th/21st centuries?</t>
  </si>
  <si>
    <t>albedo; paleoclimate; modeling; Pliocene; sea ice</t>
  </si>
  <si>
    <t>SURFACE TEMPERATURES; CLIMATE</t>
  </si>
  <si>
    <t>General Circulation Model simulations of the mid-Pliocene warm period (mPWP, 3.264 to 3.025 Myr ago) currently underestimate the level of warming that proxy data suggest existed at high latitudes, with discrepancies of up to 11 degrees C for sea surface temperature estimates and 17 degrees C for surface air temperature estimates. Sea ice has a strong influence on high-latitude climates, partly due to the albedo feedback. We present results demonstrating the effects of reductions in minimum sea ice albedo limits in general circulation model simulations of the mPWP. While mean annual surface air temperature increases of up to 6 degrees C are observed in the Arctic, the maximum decrease in model-data discrepancies is just 0.81 degrees C. Mean annual sea surface temperatures increase by up to 2 degrees C, with a maximum model-data discrepancy improvement of 1.31 degrees C. It is also suggested that the simulation of observed 21st century sea ice decline could be influenced by the adjustment of the sea ice albedo parameterization.</t>
  </si>
  <si>
    <t>[Howell, Fergus W.; Haywood, Alan M.; Dolan, Aisling M.; Francis, Jane E.; Hill, Daniel J.; Pickering, Steven J.; Pope, James O.] Univ Leeds, Sch Earth &amp; Environm, Leeds, W Yorkshire, England; [Dowsett, Harry J.] US Geol Survey, Reston, VA 22092 USA; [Francis, Jane E.] British Antarctic Survey, Cambridge CB3 0ET, England; [Hill, Daniel J.] British Geol Survey, Climate Change Programme, Nottingham NG12 5GG, England; [Salzmann, Ulrich] Northumbria Univ, Fac Engn &amp; Environm, Dept Geog, Newcastle Upon Tyne NE1 8ST, Tyne &amp; Wear, England; [Wade, Bridget S.] UCL, Dept Earth Sci, London, England</t>
  </si>
  <si>
    <t>University of Leeds; United States Department of the Interior; United States Geological Survey; UK Research &amp; Innovation (UKRI); Natural Environment Research Council (NERC); NERC British Antarctic Survey; UK Research &amp; Innovation (UKRI); Natural Environment Research Council (NERC); NERC British Geological Survey; Northumbria University; University of London; University College London</t>
  </si>
  <si>
    <t>Howell, FW (corresponding author), Univ Leeds, Sch Earth &amp; Environm, Leeds, W Yorkshire, England.</t>
  </si>
  <si>
    <t>eefwh@leeds.ac.uk</t>
  </si>
  <si>
    <t>Wade, Bridget S/F-4987-2014; Salzmann, Ulrich/H-9929-2017; Dolan, Aisling M/D-2625-2012; Pope, James/E-9473-2017</t>
  </si>
  <si>
    <t>Wade, Bridget S/0000-0002-7245-8614; Salzmann, Ulrich/0000-0001-5598-5327; Hill, Daniel/0000-0001-5492-3925; Dolan, Aisling/0000-0002-9585-9648; Howell, Fergus/0000-0001-7291-7959; Pope, James/0000-0001-8945-4209; Dowsett, Harry/0000-0003-1983-7524</t>
  </si>
  <si>
    <t>NERC; European Research Council [278636]; Leverhulme Early Career Fellowship [ECF-2011-205]; British Geological Survey; National Centre for Atmospheric Science; Natural Environment Research Council, NERC [NE/I016287/1]; Natural Environment Research Council [bgs05002, NE/I016287/1, bas0100026, NE/G014817/2, 1052257, ncas10009] Funding Source: researchfish; European Research Council (ERC) [278636] Funding Source: European Research Council (ERC); NERC [NE/I016287/1, bgs05002, bas0100026, NE/G014817/2] Funding Source: UKRI</t>
  </si>
  <si>
    <t>NERC(UK Research &amp; Innovation (UKRI)Natural Environment Research Council (NERC)); European Research Council(European Research Council (ERC)); Leverhulme Early Career Fellowship(Leverhulme Trust); British Geological Survey; National Centre for Atmospheric Science; Natural Environment Research Council, NERC(UK Research &amp; Innovation (UKRI)Natural Environment Research Council (NERC)); Natural Environment Research Council(UK Research &amp; Innovation (UKRI)Natural Environment Research Council (NERC)); European Research Council (ERC)(European Research Council (ERC)Spanish Government); NERC(UK Research &amp; Innovation (UKRI)Natural Environment Research Council (NERC))</t>
  </si>
  <si>
    <t>F.W.H. and J.O.P. acknowledge NERC for the provision of doctoral training grants. A.M.H., A.M.D., and S.J.P. acknowledge that funding for this research was partly provided by a European Research Council starting grant under agreement 278636. D.J.H. is funded by a Leverhulme Early Career Fellowship (ECF-2011-205) and cofinancially supported by the British Geological Survey and National Centre for Atmospheric Science. H.J.D. acknowledges the continued support of the U.S. Geological Survey Climate and Land Use Change Research and Development Program. U.S. acknowledges financial support from the Natural Environment Research Council, NERC (NE/I016287/1). This research used samples and/or data provided by the Integrated Ocean Drilling Program. We thank the reviewers for their comments, which helped to improve the manuscript.</t>
  </si>
  <si>
    <t>10.1002/2013GL058872</t>
  </si>
  <si>
    <t>WOS:000334264900027</t>
  </si>
  <si>
    <t>Arnold, T; Ivy, DJ; Harth, CM; Vollmer, MK; Mühle, J; Salameh, PK; Steele, LP; Krummel, PB; Wang, RHJ; Young, D; Lunder, CR; Hermansen, O; Rhee, TS; Kim, J; Reimann, S; O'Doherty, S; Fraser, PJ; Simmonds, PG; Prinn, RG; Weiss, RF</t>
  </si>
  <si>
    <t>Arnold, Tim; Ivy, Diane J.; Harth, Christina M.; Vollmer, Martin K.; Muehle, Jens; Salameh, Peter K.; Steele, L. Paul; Krummel, Paul B.; Wang, Ray H. J.; Young, Dickon; Lunder, Chris R.; Hermansen, Ove; Rhee, Tae Siek; Kim, Jooil; Reimann, Stefan; O'Doherty, Simon; Fraser, Paul J.; Simmonds, Peter G.; Prinn, Ronald G.; Weiss, Ray F.</t>
  </si>
  <si>
    <t>HFC-43-10mee atmospheric abundances and global emission estimates</t>
  </si>
  <si>
    <t>HFC-43-10mee; atmospheric abundance; radiative forcing; emissions; mass spectrometry</t>
  </si>
  <si>
    <t>IN-SITU MEASUREMENTS; CLIMATE; LIFETIMES; RADICALS; GASES; OH</t>
  </si>
  <si>
    <t>We report in situ atmospheric measurements of hydrofluorocarbon HFC-43-10mee (C5H2F10; 1,1,1,2,2,3,4,5,5,5-decafluoropentane) from seven observatories at various latitudes, together with measurements of archived air samples and recent Antarctic flask air samples. The global mean tropospheric abundance was 0.210.05ppt (parts per trillion, dry air mole fraction) in 2012, rising from 0.040.03ppt in 2000. We combine the measurements with a model and an inverse method to estimate rising global emissionsfrom 0.430.34Ggyr(-1) in 2000 to 1.130.31Ggyr(-1) in 2012 (similar to 1.9TgCO(2)-eqyr(-1) based on a 100year global warming potential of 1660). HFC-43-10meea cleaning solvent used in the electronics industryis currently a minor contributor to global radiative forcing relative to total HFCs; however, our calculated emissions highlight a significant difference from the available reported figures and projected estimates.</t>
  </si>
  <si>
    <t>[Arnold, Tim; Harth, Christina M.; Muehle, Jens; Salameh, Peter K.; Kim, Jooil; Weiss, Ray F.] Univ Calif San Diego, Scripps Inst Oceanog, La Jolla, CA 92093 USA; [Ivy, Diane J.] MIT, Cambridge, MA 02139 USA; [Vollmer, Martin K.; Reimann, Stefan] Empa, Swiss Fed Labs Mat Sci &amp; Technol, Lab Air Pollut &amp; Environm Technol, Dubendorf, Switzerland; [Steele, L. Paul; Krummel, Paul B.; Fraser, Paul J.] CSIRO Marine &amp; Atmospher Res, Ctr Australian Weather &amp; Climate Res, Aspendale, Vic, Australia; [Wang, Ray H. J.] Georgia Inst Technol, Sch Earth &amp; Atmospher Sci, Atlanta, GA 30332 USA; [Young, Dickon; O'Doherty, Simon; Simmonds, Peter G.] Univ Bristol, Sch Chem, Atmospher Chem Res Grp, Bristol, Avon, England; [Lunder, Chris R.; Hermansen, Ove] Norwegian Inst Air Res, Kjeller, Norway; [Rhee, Tae Siek] Korea Polar Res Inst, Inchon, South Korea; [Prinn, Ronald G.] MIT, Ctr Global Change Sci, Cambridge, MA 02139 USA</t>
  </si>
  <si>
    <t>University of California System; University of California San Diego; Scripps Institution of Oceanography; Massachusetts Institute of Technology (MIT); Swiss Federal Institutes of Technology Domain; Swiss Federal Laboratories for Materials Science &amp; Technology (EMPA); Commonwealth Scientific &amp; Industrial Research Organisation (CSIRO); University System of Georgia; Georgia Institute of Technology; University of Bristol; NILU; Korea Polar Research Institute (KOPRI); Korea Institute of Ocean Science &amp; Technology (KIOST); Massachusetts Institute of Technology (MIT)</t>
  </si>
  <si>
    <t>Arnold, T (corresponding author), Univ Calif San Diego, Scripps Inst Oceanog, La Jolla, CA 92093 USA.</t>
  </si>
  <si>
    <t>tarnold@ucsd.edu</t>
  </si>
  <si>
    <t>Fraser, Paul J. B./D-1755-2012; Muhle, Jens/GPX-3244-2022; Young, Dickon/AFO-7065-2022; Steele, Paul/B-3185-2009; Krummel, Paul B/A-4293-2013; Reimann, Stefan/A-2327-2009</t>
  </si>
  <si>
    <t>Muhle, Jens/0000-0001-9776-3642; Young, Dickon/0000-0002-6723-3138; Krummel, Paul B/0000-0002-4884-3678; Reimann, Stefan/0000-0002-9885-7138; Arnold, Tim/0000-0001-9097-8907; Hermansen, Ove/0000-0001-7353-057X; Kim, Jooil/0000-0002-2610-4882</t>
  </si>
  <si>
    <t>NASA Upper Atmospheric Research Program in the U. S. [NNX11AF17G, NNX11AF15G, NNX11AF16G]; UK Department for Energy and Climate Change (DECC); CSIRO; Australian Government Bureau of Meteorology in Australia; Swiss National Program HALCLIM (Swiss Federal Office for the Environment); Climate and Pollution Agency; research council of Norway for Troll; strategic Korean-Swiss cooperative program in science and technology [PN13060]; Korean Polar Research Program [PE13410]; Basic Science Research Program through the National Research Foundation of Korea (NRF); Ministry of Education, Science and Technology [357-2011-1-C00155]; NASA [NNX11AF16G, 146891, NNX11AF15G, 147009] Funding Source: Federal RePORTER</t>
  </si>
  <si>
    <t>NASA Upper Atmospheric Research Program in the U. S.; UK Department for Energy and Climate Change (DECC); CSIRO(Commonwealth Scientific &amp; Industrial Research Organisation (CSIRO)); Australian Government Bureau of Meteorology in Australia(Australian Government); Swiss National Program HALCLIM (Swiss Federal Office for the Environment); Climate and Pollution Agency; research council of Norway for Troll; strategic Korean-Swiss cooperative program in science and technology; Korean Polar Research Program; Basic Science Research Program through the National Research Foundation of Korea (NRF)(National Research Foundation of Korea); Ministry of Education, Science and Technology(Ministry of Education, Science &amp; Technology (MEST), Republic of Korea); NASA(National Aeronautics &amp; Space Administration (NASA))</t>
  </si>
  <si>
    <t>We are very thankful to the staff at the AGAGE and NOAA sites for their continuing dedication to the production of high-quality measurements of atmospheric trace gases. We also acknowledge the many providers of flask samples composing the archived air sample data set of the Northern Hemisphere and the CSIRO/Bureau of Meteorology staff for the collection and maintenance of the Cape Grim Air Archive. We thank Matt Rigby and Anita Ganesan (University of Bristol) for their discussions of modeling and inverse methods and Stephanie Mumma for filling standard tanks and for the maintenance of laboratory instruments at SIO. The AGAGE research program is supported by the NASA Upper Atmospheric Research Program in the U. S. with current grants NNX11AF17G to MIT and NNX11AF15G and NNX11AF16G to SIO, the UK Department for Energy and Climate Change (DECC), and by CSIRO and the Australian Government Bureau of Meteorology in Australia. Support of the Jungfraujoch station is provided by the International Foundation High Altitude Research Stations Jungfraujoch and Gornergrat. The financial support for the measurements is provided for Jungfraujoch by the Swiss National Program HALCLIM (Swiss Federal Office for the Environment) and for Zeppelin by the Climate and Pollution Agency (klif). The Antarctic flask sampling programs are supported by the research council of Norway for Troll, and the strategic Korean-Swiss cooperative program in science and technology (PN13060) and the Korean Polar Research Program (PE13410) for King Sejong. Jooil Kim was supported by Basic Science Research Program through the National Research Foundation of Korea (NRF) funded by the Ministry of Education, Science and Technology (357-2011-1-C00155).</t>
  </si>
  <si>
    <t>10.1002/2013GL059143</t>
  </si>
  <si>
    <t>WOS:000334264900056</t>
  </si>
  <si>
    <t>Fong, WC; Lu, X; Chu, XZ; Fuller-Rowell, TJ; Yu, ZB; Roberts, BR; Chen, C; Gardner, CS; McDonald, AJ</t>
  </si>
  <si>
    <t>Fong, Weichun; Lu, Xian; Chu, Xinzhao; Fuller-Rowell, Tim J.; Yu, Zhibin; Roberts, Brendan R.; Chen, Cao; Gardner, Chester S.; McDonald, Adrian J.</t>
  </si>
  <si>
    <t>Winter temperature tides from 30 to 110 km at McMurdo (77.8°S, 166.7°E), Antarctica: Lidar observations and comparisons with WAM</t>
  </si>
  <si>
    <t>JOURNAL OF GEOPHYSICAL RESEARCH-ATMOSPHERES</t>
  </si>
  <si>
    <t>GENERAL-CIRCULATION MODEL; WAVE MOMENTUM FLUX; LOWER THERMOSPHERE; SEMIDIURNAL TIDE; SOUTH-POLE; GEOMAGNETIC-ACTIVITY; 12-HOUR OSCILLATION; MESOPAUSE REGION; UPPER-ATMOSPHERE; PLANETARY-WAVES</t>
  </si>
  <si>
    <t>We provide the first characterization of diurnal and semidiurnal thermal tides in temperature from 30 to 110 km in the winter season (May through August) at McMurdo (77.8 degrees S, 166.7 degrees E), Antarctica. The observations were made with an Fe Boltzmann temperature lidar in 2011 and 2012. Over 330 h of winter data are compiled into a composite day of temperature perturbations that significantly reduce the incoherent wave effects while preserving the coherent tidal signatures. Both diurnal and semidiurnal tides have small amplitudes (less than 3 K) below 100 km with vertical wavelengths of similar to 29 and similar to 23 km, respectively. A new finding of this study is the fast growth of diurnal and semidiurnal tidal amplitudes above 100 km to at least 15 K near 110 km, exceeding that of the freely propagating tides originating from the lower atmosphere. Such fast growth exists for all Kp index cases and diurnal amplitude increases to 15-30 K at 110 km with larger Kp indices corresponding to larger tidal amplitudes and faster growth rates. The slopes of diurnal tidal phases become steeper above 100 km, and the tidal phases barely change with altitude from 100 to 106 km. The tidal growth behavior is reproduced in the Whole Atmosphere Model (WAM) with phases comparable to the observations but magnitudes significantly underestimated. WAM compares reasonably well with the observations below 100 km. The observed significant amplitude increases and phase structure changes suggest additional tidal sources near or above 100 km, which deserve future investigation.</t>
  </si>
  <si>
    <t>[Fong, Weichun; Lu, Xian; Chu, Xinzhao; Fuller-Rowell, Tim J.; Yu, Zhibin; Roberts, Brendan R.; Chen, Cao] Univ Colorado Boulder, Cooperat Inst Res Environm Sci, Boulder, CO 80309 USA; [Fong, Weichun; Chu, Xinzhao; Yu, Zhibin; Roberts, Brendan R.; Chen, Cao] Univ Colorado Boulder, Dept Aerosp Engn Sci, Boulder, CO USA; [Fuller-Rowell, Tim J.] NOAA, Space Weather Predict Ctr, Boulder, CO USA; [Gardner, Chester S.] Univ Illinois, Dept Elect &amp; Comp Engn, Urbana, IL USA; [McDonald, Adrian J.] Univ Canterbury, Dept Phys &amp; Astron, Christchurch 1, New Zealand</t>
  </si>
  <si>
    <t>University of Colorado System; University of Colorado Boulder; University of Colorado System; University of Colorado Boulder; National Oceanic Atmospheric Admin (NOAA) - USA; University of Illinois System; University of Illinois Urbana-Champaign; University of Canterbury</t>
  </si>
  <si>
    <t>Chu, XZ (corresponding author), Univ Colorado Boulder, Cooperat Inst Res Environm Sci, Boulder, CO 80309 USA.</t>
  </si>
  <si>
    <t>Weichun.Fong@colorado.edu; Xinzhao.Chu@colorado.edu</t>
  </si>
  <si>
    <t>Yu, Zhibin/GZA-3374-2022; Lu, Xian/AAZ-3385-2021; Lu, Xian/A-2980-2015; Chen, Cao/D-9851-2016; CHU, XINZHAO/I-5670-2015</t>
  </si>
  <si>
    <t>Yu, Zhibin/0000-0001-5128-809X; Lu, Xian/0000-0002-2535-8151; Chen, Cao/0000-0002-7780-2787; McDonald, Adrian/0000-0002-1456-6254; CHU, XINZHAO/0000-0001-6147-1963</t>
  </si>
  <si>
    <t>NSF [ANT-0839091, PLR-1246405]; CIRES; Div Atmospheric &amp; Geospace Sciences; Directorate For Geosciences [1343106] Funding Source: National Science Foundation</t>
  </si>
  <si>
    <t>NSF(National Science Foundation (NSF)); CIRES; Div Atmospheric &amp; Geospace Sciences; Directorate For Geosciences(National Science Foundation (NSF)NSF - Directorate for Geosciences (GEO))</t>
  </si>
  <si>
    <t>We sincerely acknowledge Wentao Huang, John A. Smith, and Zhangjun Wang for their contributions to the McMurdo lidar campaign. We are indebted to Jeffery M. Forbes for his invaluable advice. We are grateful to Wenbin Wang and Elsayed Talaat for their inspirational suggestions. We also appreciate Fei Wu and Rashid A. Akmaev for running and preparing WAM data. We thank the staff of the United States Antarctic Program, McMurdo Station, Antarctica New Zealand, and Scott Base for their support. We offer special thanks to Vladimir Papitashvili for his encouragement and help in this research. The lidar project was supported by NSF grants ANT-0839091 and PLR-1246405. X. L. sincerely acknowledges the generous support of the CIRES Visiting Fellows Program (http://cires.colorado.edu/collaboration/fellowships/). MERRA data used in this study were provided by the Global Modeling and Assimilation Office (GMAO) at NASA Goddard Space Flight Center through the NASA GES DISC online archive.</t>
  </si>
  <si>
    <t>2169-897X</t>
  </si>
  <si>
    <t>2169-8996</t>
  </si>
  <si>
    <t>J GEOPHYS RES-ATMOS</t>
  </si>
  <si>
    <t>J. Geophys. Res.-Atmos.</t>
  </si>
  <si>
    <t>MAR 27</t>
  </si>
  <si>
    <t>10.1002/2013JD020784</t>
  </si>
  <si>
    <t>AH3SV</t>
  </si>
  <si>
    <t>WOS:000336046600010</t>
  </si>
  <si>
    <t>Lu, H; Bracegirdle, TJ; Phillips, T; Bushell, A; Gray, L</t>
  </si>
  <si>
    <t>Lu, Hua; Bracegirdle, Thomas J.; Phillips, Tony; Bushell, Andrew; Gray, Lesley</t>
  </si>
  <si>
    <t>Mechanisms for the Holton-Tan relationship and its decadal variation</t>
  </si>
  <si>
    <t>QUASI-BIENNIAL OSCILLATION; WINTER STRATOSPHERIC CIRCULATION; EQUATORIAL UPPER-STRATOSPHERE; NORTHERN-HEMISPHERE WINTER; 11-YEAR SOLAR-CYCLE; INTERANNUAL VARIABILITY; MIDDLE ATMOSPHERE; SUDDEN WARMINGS; POLAR VORTEX; QBO</t>
  </si>
  <si>
    <t>This study provides a mechanistic explanation of why the Holton-Tan (HT) effect, a phenomenon in which the strength of northern stratospheric winter polar vortex synchronizes with the equatorial quasi-biennial oscillation (QBO), was disrupted in the middle to late winters of 1978-1997. In line with recent reassessments of the HT effect, we find that an easterly QBO in the lower stratosphere leads to the formation of a midlatitude wave guide that enhances both the upward propagating planetary waves from the troposphere into the lower stratosphere (similar to 35-50 degrees N, 30-200 hPa) and the northward wave propagation in the upper to middle stratosphere (similar to 35-60 degrees N, 20-5 hPa). This enhanced poleward refraction of planetary waves results in a more disturbed polar vortex, causing the HT effect. The weakening of the HT effect in 1978-1997 was associated with a broader and strengthened polar vortex in November to January. The divergence of wave activity generated by eddies growing within the vortex provided the momentum source and allowed wave activity to propagate meridionally away from the vortex; this interfered with the QBO modulation of planetary wave propagation and led to a weakening of the HT effect during this period. The stronger than average polar vortex in 1978-1997 was associated with a vertically coherent cooling signature over northeastern Asia in the stratosphere. We suggest that a change of stratospheric circulation and/or a change of the stratosphere-troposphere coupling were the main causes for the disrupted HT effect in 1978-1997.</t>
  </si>
  <si>
    <t>[Lu, Hua; Bracegirdle, Thomas J.; Phillips, Tony] British Antarctic Survey, Cambridge CB3 0ET, England; [Bushell, Andrew] Met Off, Exeter, Devon, England; [Gray, Lesley] Univ Oxford, Dept Phys, Oxford, England</t>
  </si>
  <si>
    <t>UK Research &amp; Innovation (UKRI); Natural Environment Research Council (NERC); NERC British Antarctic Survey; Met Office - UK; University of Oxford</t>
  </si>
  <si>
    <t>Lu, H (corresponding author), British Antarctic Survey, Cambridge CB3 0ET, England.</t>
  </si>
  <si>
    <t>hlu@bas.ac.uk</t>
  </si>
  <si>
    <t>Gray, Lesley J/D-3610-2009; Lu, Hua/GXA-0276-2022; Bracegirdle, Tom/AAD-6060-2020</t>
  </si>
  <si>
    <t>Lu, Hua/0000-0001-9485-5082; Gray, Lesley/0000-0002-7803-9277; Bracegirdle, Thomas/0000-0002-8868-4739</t>
  </si>
  <si>
    <t>UK Natural Environment Research Council (NERC); NERC, through the National Centre for Atmospheric Science (NCAS); Natural Environment Research Council [bas0100023, NE/D003652/1, ncas10009, NE/D002753/1, NE/H024409/1, NE/M005828/1] Funding Source: researchfish; NERC [NE/D002753/1, NE/H024409/1, bas0100023, NE/D003652/1, NE/M005828/1] Funding Source: UKRI</t>
  </si>
  <si>
    <t>UK Natural Environment Research Council (NERC)(UK Research &amp; Innovation (UKRI)Natural Environment Research Council (NERC)); NERC, through the National Centre for Atmospheric Science (NCAS); Natural Environment Research Council(UK Research &amp; Innovation (UKRI)Natural Environment Research Council (NERC)); NERC(UK Research &amp; Innovation (UKRI)Natural Environment Research Council (NERC))</t>
  </si>
  <si>
    <t>H.L., T.J.B., and T. P. were supported by the UK Natural Environment Research Council (NERC). This study is part of the British Antarctic Survey Polar Science for Planet Earth Programme. We acknowledge use of ECMWF reanalysis data sets. L.J.G. is also supported by NERC, through the National Centre for Atmospheric Science (NCAS). We thank the three anonymous reviewers for their constructive comments.</t>
  </si>
  <si>
    <t>10.1002/2013JD021352</t>
  </si>
  <si>
    <t>WOS:000336046600008</t>
  </si>
  <si>
    <t>Titchner, HA; Rayner, NA</t>
  </si>
  <si>
    <t>Titchner, Holly A.; Rayner, Nick A.</t>
  </si>
  <si>
    <t>The Met Office Hadley Centre sea ice and sea surface temperature data set, version 2: 1. Sea ice concentrations</t>
  </si>
  <si>
    <t>20TH-CENTURY; PREDICTION</t>
  </si>
  <si>
    <t>We present a new version of the sea ice concentration component of the Met Office Hadley Centre sea ice and sea surface temperature data set, HadISST.2.1.0.0. Passive microwave data are combined with historical sources, such as sea ice charts, to create global analyses on a 1 degrees grid from 1850 to 2007. Climatology was used when no information about the sea ice was available. Our main aim was to create a homogenous data set by calculating and applying bias adjustments using periods of overlaps between the different data sources used. National Ice Center charts from 1995 to 2007 have been used as a reference to achieve this. In particular, large bias adjustments have been applied to the passive microwave data in both the Antarctic and Arctic summers. Overall, HadISST.2.1.0.0 contains more ice than HadISST1.1, with higher concentrations, shorter marginal ice zones, and larger extents and areas in some regions and periods. A new method for estimating the concentrations within the ice pack using the distance from the ice edge has been developed and evaluated. This was used when only the extents were known or the original concentration fields were heterogeneous. A number of discontinuities in the HadISST1.1 record are no longer found in HadISST.2.1.0.0.</t>
  </si>
  <si>
    <t>[Titchner, Holly A.; Rayner, Nick A.] Met Off Hadley Ctr, Exeter, Devon, England</t>
  </si>
  <si>
    <t>Met Office - UK; Hadley Centre</t>
  </si>
  <si>
    <t>Titchner, HA (corresponding author), Met Off Hadley Ctr, Exeter, Devon, England.</t>
  </si>
  <si>
    <t>holly.titchner@metoffice.gov.uk</t>
  </si>
  <si>
    <t>DECC/Defra Met Office Hadley Centre Climate Programme [GA01101]; EU FP7 ERA-CLIM project</t>
  </si>
  <si>
    <t>DECC/Defra Met Office Hadley Centre Climate Programme; EU FP7 ERA-CLIM project(European Union (EU))</t>
  </si>
  <si>
    <t>This work was supported by the Joint DECC/Defra Met Office Hadley Centre Climate Programme (GA01101) and by the EU FP7 ERA-CLIM project. We would like to thank Lynsey McColl for her help with developing the bias adjustment method and Esben Nielsen for converting the Antarctic NIC chart shapefiles to a 25 km EASE grid. We would also like to thank Glyn Hughes for scanning the Southern Ocean Ice Reports and Gail Kelly for digitizing the Southern Ocean Ice Reports. This paper was improved following constructive suggestions from three reviewers.</t>
  </si>
  <si>
    <t>10.1002/2013JD020316</t>
  </si>
  <si>
    <t>WOS:000336046600011</t>
  </si>
  <si>
    <t>Kaiser, S</t>
  </si>
  <si>
    <t>Kaiser, Stefanie</t>
  </si>
  <si>
    <t>New species of Hebefustis Siebenaller &amp; Hessler 1977 (Isopoda, Asellota, Nannoniscidae) from the Clarion Clipperton Fracture Zone (equatorial NE Pacific)</t>
  </si>
  <si>
    <t>ZOOTAXA</t>
  </si>
  <si>
    <t>Janiroidea; Hebefustis; new species; macrobenthos; distribution; abyssal; polymetallic nodules</t>
  </si>
  <si>
    <t>SOUTHERN-OCEAN; DEEP-SEA</t>
  </si>
  <si>
    <t>Macrofaunal collections obtained during the French-German BIONOD expedition to the Clarion Clipperton Fracture Zone (CCFZ), equatorial NE Pacific, in spring 2012 yielded two new nannoniscid species, Hebefustis juansenii sp. n. and H. vecino sp. n., which are described in the current paper. The number and position of posterolateral spines of the pleotelson distinguishes the two new species from all other species in the genus. Both species are similar to each other differ, though, in the length of maxilliped epipodite, the presence of a robust spine on pereonite 2 (in H. juansenii sp. n.) as well as the shape of pereonite 4 anterior margin. They also resemble H. primitivus Menzies, 1962 but can be differentiated from the latter by the shape of lateral margins of pereonites 1-4 and the setation and shape of male pleopod 1. A distribution map and a taxonomic key to all known species in the genus are provided, as well as a checklist of known nannoniscid species from the Pacific is presented.</t>
  </si>
  <si>
    <t>[Kaiser, Stefanie] Univ Southampton, Natl Oceanog Ctr, Southampton SO14 3ZH, Hants, England</t>
  </si>
  <si>
    <t>University of Southampton; NERC National Oceanography Centre</t>
  </si>
  <si>
    <t>Kaiser, S (corresponding author), German Ctr Marine Biodivers Res, DZMB, Sudstrand 44, D-26382 Wilhelmshaven, Germany.</t>
  </si>
  <si>
    <t>Stefanie.Kaiser@senckenberg.de</t>
  </si>
  <si>
    <t>Kaiser, Stefanie/0000-0003-2026-4663</t>
  </si>
  <si>
    <t>BGR; Ifremer; NERC [noc010009] Funding Source: UKRI; Natural Environment Research Council [noc010009] Funding Source: researchfish</t>
  </si>
  <si>
    <t>BGR; Ifremer; NERC(UK Research &amp; Innovation (UKRI)Natural Environment Research Council (NERC)); Natural Environment Research Council(UK Research &amp; Innovation (UKRI)Natural Environment Research Council (NERC))</t>
  </si>
  <si>
    <t>I am grateful to the master and crew of RV L'Atalante as well as the chief scientists, Carsten Ruhlemann (Bundesanstalt fur Geowissenschaften und Rohstoffe, BGR, Hannover, Germany) and Lenaick Menot (Institut francais de recherche pour l'exploitation de la mer, Ifremer, Brest, France), for their help on board. Many thanks to Annika Janssen, Inga Mohrbeck, Lena Albers, Dmitri Miljutin (DZMB), Kim Larsen (CIIMAR, Porto, Portugal), Lenka Neal (The Natural History Museum, London, UK) and Antonina Rogacheva (P. P. Shirshov Institute of Oceanology, Moscow, Russia) for many hours of trawling, sieving and sorting and to Pedro Martinez Arbizu (DZMB) for the participation in this voyage. Huw J. Griffiths (British Antarctic Survey) is thanked for producing the distribution map. Thanks to George (Buz) D. F. Wilson and an anonymous referee for their constructive comments on an earlier version of the manuscript. The BIONOD expedition was funded in equal shares by the BGR and Ifremer. This publication contributes to work conducted in the course of the EU FP7 MIDAS (Managing Impacts of Deep Sea Resource Exploitation) project.</t>
  </si>
  <si>
    <t>MAGNOLIA PRESS</t>
  </si>
  <si>
    <t>AUCKLAND</t>
  </si>
  <si>
    <t>PO BOX 41383, AUCKLAND, ST LUKES 1030, NEW ZEALAND</t>
  </si>
  <si>
    <t>1175-5326</t>
  </si>
  <si>
    <t>1175-5334</t>
  </si>
  <si>
    <t>Zootaxa</t>
  </si>
  <si>
    <t>10.11646/zootaxa.3784.2.1</t>
  </si>
  <si>
    <t>AD7CN</t>
  </si>
  <si>
    <t>WOS:000333419100001</t>
  </si>
  <si>
    <t>Paredes, R; Orben, RA; Suryan, RM; Irons, DB; Roby, DD; Harding, AMA; Young, RC; Benoit-Bird, K; Ladd, C; Renner, H; Heppell, S; Phillips, RA; Kitaysky, A</t>
  </si>
  <si>
    <t>Paredes, Rosana; Orben, Rachael A.; Suryan, Robert M.; Irons, David B.; Roby, Daniel D.; Harding, Ann M. A.; Young, Rebecca C.; Benoit-Bird, Kelly; Ladd, Carol; Renner, Heather; Heppell, Scott; Phillips, Richard A.; Kitaysky, Alexander</t>
  </si>
  <si>
    <t>Foraging Responses of Black-Legged Kittiwakes to Prolonged Food-Shortages around Colonies on the Bering Sea Shelf</t>
  </si>
  <si>
    <t>POLLOCK THERAGRA-CHALCOGRAMMA; DIEL VERTICAL MIGRATION; PRIBILOF ISLANDS; PISCIVOROUS SEABIRDS; POPULATION PROCESSES; MYCTOPHID FISHES; EL-NINO; PREY; AVAILABILITY; STRESS</t>
  </si>
  <si>
    <t>We hypothesized that changes in southeastern Bering Sea foraging conditions for black-legged kittiwakes (Rissa tridactyla) have caused shifts in habitat use with direct implications for population trends. To test this, we compared at-sea distribution, breeding performance, and nutritional stress of kittiwakes in three years (2008-2010) at two sites in the Pribilof Islands, where the population has either declined (St. Paul) or remained stable (St. George). Foraging conditions were assessed from changes in (1) bird diets, (2) the biomass and distribution of juvenile pollock (Theragra chalcogramma) in 2008 and 2009, and (3) eddy kinetic energy (EKE; considered to be a proxy for oceanic prey availability). In years when biomass of juvenile pollock was low and patchily distributed in shelf regions, kittiwake diets included little or no neritic prey and a much higher occurrence of oceanic prey (e.g. myctophids). Birds from both islands foraged on the nearby shelves, or made substantially longer-distance trips overnight to the basin. Here, feeding was more nocturnal and crepuscular than on the shelf, and often occurred near anticyclonic, or inside cyclonic eddies. As expected from colony location, birds from St. Paul used neritic waters more frequently, whereas birds from St. George typically foraged in oceanic waters. Despite these distinctive foraging patterns, there were no significant differences between colonies in chick feeding rates or fledging success. High EKE in 2010 coincided with a 63% increase in use of the basin by birds from St. Paul compared with 2008 when EKE was low. Nonetheless, adult nutritional stress, which was relatively high across years at both colonies, peaked in birds from St. Paul in 2010. Diminishing food resources in nearby shelf habitats may have contributed to kittiwake population declines at St Paul, possibly driven by increased adult mortality or breeding desertion due to high foraging effort and nutritional stress.</t>
  </si>
  <si>
    <t>[Paredes, Rosana; Heppell, Scott] Oregon State Univ, Dept Fisheries &amp; Wildlife, Corvallis, OR 97331 USA; [Orben, Rachael A.] Univ Calif Santa Cruz, Ocean Sci Dept, Santa Cruz, CA 95064 USA; [Suryan, Robert M.] Oregon State Univ, Hatfield Marine Sci Ctr, Dept Fisheries &amp; Wildlife, Newport, OR 97365 USA; [Irons, David B.] US Fish &amp; Wildlife Serv, Anchorage, AK USA; [Roby, Daniel D.] Oregon State Univ, US Geol Survey, Oregon Cooperat Fish &amp; Wildlife Res Unit, Corvallis, OR 97331 USA; [Harding, Ann M. A.] Alaska Pacific Univ, Dept Environm Sci, Anchorage, AK USA; [Young, Rebecca C.; Kitaysky, Alexander] Univ Alaska Fairbanks, Inst Arctic Biol, Fairbanks, AK USA; [Benoit-Bird, Kelly] Oregon State Univ, Coll Earth Ocean &amp; Atmospher Sci, Corvallis, OR 97331 USA; [Ladd, Carol] NOAA, Pacific Marine Environm Lab, Seattle, WA 98115 USA; [Renner, Heather] US Fish &amp; Wildlife Serv, Alaska Maritime Natl Wildlife Refuge, Homer, AK USA; [Phillips, Richard A.] British Antarctic Survey, Nat Environm Res Council, Cambridge CB3 0ET, England</t>
  </si>
  <si>
    <t>Oregon State University; University of California System; University of California Santa Cruz; Oregon State University; United States Department of the Interior; US Fish &amp; Wildlife Service; Oregon State University; United States Department of the Interior; United States Geological Survey; University of Alaska System; University of Alaska Fairbanks; Oregon State University; National Oceanic Atmospheric Admin (NOAA) - USA; United States Department of the Interior; US Fish &amp; Wildlife Service; UK Research &amp; Innovation (UKRI); Natural Environment Research Council (NERC); NERC British Antarctic Survey</t>
  </si>
  <si>
    <t>Paredes, R (corresponding author), Oregon State Univ, Dept Fisheries &amp; Wildlife, Corvallis, OR 97331 USA.</t>
  </si>
  <si>
    <t>rparedes.insley@gmail.com</t>
  </si>
  <si>
    <t>Orben, Rachael A./H-9460-2019; Ladd, Carol/M-6159-2014</t>
  </si>
  <si>
    <t>Orben, Rachael A./0000-0002-0802-407X; Suryan, Robert/0000-0003-0755-8317; Ladd, Carol/0000-0003-1065-430X; Benoit-Bird, Kelly J./0000-0002-5868-0390</t>
  </si>
  <si>
    <t>North Pacific Research Board as part of the Bering Sea Project; Oregon State University; NERC [bas0100025] Funding Source: UKRI; Natural Environment Research Council [bas0100025] Funding Source: researchfish</t>
  </si>
  <si>
    <t>North Pacific Research Board as part of the Bering Sea Project; Oregon State University; NERC(UK Research &amp; Innovation (UKRI)Natural Environment Research Council (NERC)); Natural Environment Research Council(UK Research &amp; Innovation (UKRI)Natural Environment Research Council (NERC))</t>
  </si>
  <si>
    <t>Funding was provided by the North Pacific Research Board as part of the Bering Sea Project [http://bsierp.nprb.org/1, Fish and Wildlife Service (http:// alaska;fws.gov/) and Oregon State University (http://fw.oregonstate.edu/). BSIERP projects were granted to David Irons and Daniel Roby (B63 and B77), Heather Renner (B77), Alexander Kitaysky (B77), and to Scott Heppell and Kelly Benoit-Bird (B67 and B77). The funders facilitated indersciplinary partnerships as part of the program but had no role in the specifics of the study design, data collection and analysis, decision to publish, or preparation of the manuscript.</t>
  </si>
  <si>
    <t>MAR 26</t>
  </si>
  <si>
    <t>c92520</t>
  </si>
  <si>
    <t>10.1371/journal.pone.0092520</t>
  </si>
  <si>
    <t>AE0SR</t>
  </si>
  <si>
    <t>gold, Green Published, Green Accepted, Green Submitted</t>
  </si>
  <si>
    <t>WOS:000333677000050</t>
  </si>
  <si>
    <t>Tiwari, RK; Gupta, RP; Arora, MK</t>
  </si>
  <si>
    <t>Tiwari, R. K.; Gupta, R. P.; Arora, M. K.</t>
  </si>
  <si>
    <t>Estimation of surface ice velocity of Chhota-Shigri glacier using sub-pixel ASTER image correlation</t>
  </si>
  <si>
    <t>CURRENT SCIENCE</t>
  </si>
  <si>
    <t>Glaciers; optical image correlation; remote sensing; sub-pixel images; surface ice velocity</t>
  </si>
  <si>
    <t>MASS-BALANCE; ANTARCTIC PENINSULA; SATELLITE; DEFORMATION; PHOTOGRAPHS; AIRBORNE; BEHAVIOR; HIMALAYA; TERRAIN; SHELF</t>
  </si>
  <si>
    <t>This article presents results on surface ice velocity of the Chhota-Shigri glacier, Himachal Himalaya, deduced by applying sub-pixel image correlation technique (COSI-Corr software) on the ASTER time series data (2003-2009). The remote sensing-derived measurements are found to match quite well with the field measurements. In general, the surface ice velocity varies from similar to 20 m/yr to similar to 40 m/yr. Velocity variations occur in different parts of the glacier and also from year to year. In all the years considered for this glacier, the mid-ablation zone and the accumulation zone exhibit higher velocities and zones near the snout and equilibrium line altitude have relatively lower velocities. Further, the velocities are found to be relatively higher in the years 2005-2006 and 2007-2008 and lower in the years 2006-2007 and 2008-2009. These spatial and temporal variations in velocity, which could be related to the glacier morphology and hydro-metrological factors, need to be further studied.</t>
  </si>
  <si>
    <t>[Tiwari, R. K.; Gupta, R. P.] Indian Inst Technol, Dept Earth Sci, Roorkee 247667, Uttar Pradesh, India; [Arora, M. K.] Indian Inst Technol, Dept Civil Engn, Roorkee 247667, Uttar Pradesh, India</t>
  </si>
  <si>
    <t>Indian Institute of Technology System (IIT System); Indian Institute of Technology (IIT) - Roorkee; Indian Institute of Technology System (IIT System); Indian Institute of Technology (IIT) - Roorkee</t>
  </si>
  <si>
    <t>Gupta, RP (corresponding author), Indian Inst Technol, Dept Earth Sci, Roorkee 247667, Uttar Pradesh, India.</t>
  </si>
  <si>
    <t>rpgupta.iitr@gmail.com</t>
  </si>
  <si>
    <t>Tiwari, Reet/AAE-5832-2019</t>
  </si>
  <si>
    <t>Tiwari, Reet/0000-0002-3867-6036</t>
  </si>
  <si>
    <t>Department of Science and Technology, New Delhi [SR/DGH/GL-20/2009]</t>
  </si>
  <si>
    <t>Department of Science and Technology, New Delhi(Department of Science &amp; Technology (India))</t>
  </si>
  <si>
    <t>This study has been supported by the Department of Science and Technology, New Delhi, through a research grant (No. SR/DGH/GL-20/2009). COSI-Corr (http://www.tectonics.caltech.edu/slip_history/spot_coseis/index.html) has been developed by S. Leprince, S. Barbot, F. Ayoub and J. P. Avouac. We thank Dirk Scherler and Sebastien Leprince for help with the COSI-Corr software and many useful discussions. The ASTER L1B data product was obtained free of cost with student affiliation through NASA LP DAAC, USGS/EROS Center Sioux Falls, South Dakota.</t>
  </si>
  <si>
    <t>INDIAN ACAD SCIENCES</t>
  </si>
  <si>
    <t>BANGALORE</t>
  </si>
  <si>
    <t>C V RAMAN AVENUE, SADASHIVANAGAR, P B #8005, BANGALORE 560 080, INDIA</t>
  </si>
  <si>
    <t>0011-3891</t>
  </si>
  <si>
    <t>CURR SCI INDIA</t>
  </si>
  <si>
    <t>Curr. Sci.</t>
  </si>
  <si>
    <t>MAR 25</t>
  </si>
  <si>
    <t>AE3DF</t>
  </si>
  <si>
    <t>WOS:000333856500017</t>
  </si>
  <si>
    <t>Wang, XW; Cheng, X; Gong, P; Shum, CK; Holland, DM; Li, XW</t>
  </si>
  <si>
    <t>Wang, Xianwei; Cheng, Xiao; Gong, Peng; Shum, C. K.; Holland, David M.; Li, Xiaowen</t>
  </si>
  <si>
    <t>Freeboard and mass extraction of the disintegrated Mertz Ice Tongue with remote sensing and altimetry data</t>
  </si>
  <si>
    <t>REMOTE SENSING OF ENVIRONMENT</t>
  </si>
  <si>
    <t>Freeboard; Ice thickness; ICESat; Remote sensing; Mertz Ice Tongue</t>
  </si>
  <si>
    <t>PINE ISLAND GLACIER; SEA-ICE; ICEBERG; ANTARCTICA; THICKNESS; SHELVES; SHEET; VARIABILITY; ACCURACY; POLYNYA</t>
  </si>
  <si>
    <t>In February 2010, the Mertz Ice Tongue (MIT) collapsed and generated a giant iceberg. However, parameters about this iceberg have not been calculated and published in detail. In this study, the freeboard map of this iceberg was generated for the first time using a time-series ICESat/GLAS data. Methods for producing the freeboard map of this iceberg are suggested. Field data for ice velocity were used to relocate the footprints collected by different campaigns. Cross-validation was conducted with freeboards extracted from crossovers observed within 30 days of each other. The precision of the freeboard extraction is approximately +/- 0.50 m, when taking one standard deviation as the precision. The freeboard varied from 23 m to 59 m with the mean of 41 m. With assumption of hydrostatic equilibrium (assuming a snow layer, depth of 1 m, a snow density of 360 kg/m(3), an ice density of 915 kg/m(3) and a sea water density of 1024 kg/m(3)), the minimum, maximum and average ice thickness were calculated as 210 m, 550 m and 383 m respectively. The total ice loss is approximately 8.96 x 10(11) tons over an area, 34 km in width and 75 km in length, or approximately 2560 +/- km(2). These parameters extracted from remote sensing and altimetry data will provide additional information for studies of the evolution of iceberg, especially in iceberg tracking system. (C) 2014 Elsevier Inc. All rights reserved.</t>
  </si>
  <si>
    <t>[Wang, Xianwei; Cheng, Xiao; Shum, C. K.; Li, Xiaowen] Beijing Normal Univ, State Key Lab Remote Sensing Sci, Beijing 100875, Peoples R China; [Wang, Xianwei; Cheng, Xiao; Shum, C. K.; Li, Xiaowen] Beijing Normal Univ, Coll Global Change &amp; Earth Syst Sci, Beijing 100875, Peoples R China; [Wang, Xianwei; Holland, David M.] New York Univ Abu Dhabi, Ctr Global Sea Level Change, Abu Dhabi, U Arab Emirates; [Wang, Xianwei; Shum, C. K.] Ohio State Univ, Div Geodet Sci, Sch Earth Sci, Columbus, OH 43210 USA; [Gong, Peng] Tsinghua Univ, Minist Educ Lab, Key Lab Earth Syst Modeling, Beijing 100084, Peoples R China; [Gong, Peng] Tsinghua Univ, Ctr Earth Syst Sci, Beijing 100084, Peoples R China; [Gong, Peng] Univ Calif Berkeley, Dept Environm Sci Policy &amp; Management, Berkeley, CA 94720 USA</t>
  </si>
  <si>
    <t>Beijing Normal University; Beijing Normal University; New York University Abu Dhabi; University System of Ohio; Ohio State University; Tsinghua University; Tsinghua University; University of California System; University of California Berkeley</t>
  </si>
  <si>
    <t>Wang, XW (corresponding author), Beijing Normal Univ, State Key Lab Remote Sensing Sci, Beijing 100875, Peoples R China.</t>
  </si>
  <si>
    <t>wangxianwei0304@163.com</t>
  </si>
  <si>
    <t>Gong, Peng/AAM-1516-2021</t>
  </si>
  <si>
    <t>Gong, Peng/0000-0003-1513-3765; wang, xianwei/0000-0002-2119-0267; Shum, C K/0000-0001-9378-4067</t>
  </si>
  <si>
    <t>China Postdoctoral Science Foundation [2012M520185, 2013T60077]; National Natural Science Foundation of China [41176163]; National High Technology Program of China [2009AA12200101]; Fundamental Research Fund for the Central University; Center for Sea Level Change (CSLC) of NYU Abu Dhabi [G1204]; Ohio State University (OSU) under NASA's ICESat-2 Science Definition Team [NNX12A122G]; NASA's Geodetic Imaging Program [NNX12AQ07G]; Chinese Academy of Sciences/SAFEA International Partnership Program for Creative Research Teams [KZZD-EW-TZ-05]; NASA [NNX12AQ07G, 14165] Funding Source: Federal RePORTER</t>
  </si>
  <si>
    <t>China Postdoctoral Science Foundation(China Postdoctoral Science Foundation); National Natural Science Foundation of China(National Natural Science Foundation of China (NSFC)); National High Technology Program of China(National High Technology Research and Development Program of China); Fundamental Research Fund for the Central University; Center for Sea Level Change (CSLC) of NYU Abu Dhabi; Ohio State University (OSU) under NASA's ICESat-2 Science Definition Team; NASA's Geodetic Imaging Program; Chinese Academy of Sciences/SAFEA International Partnership Program for Creative Research Teams(Chinese Academy of Sciences); NASA(National Aeronautics &amp; Space Administration (NASA))</t>
  </si>
  <si>
    <t>We are grateful to the Chinese Arctic and Antarctic Administration for its support, the National Snow and Ice Data Center for the free download of the ICESat/GLAS data and USGS for the free use of the Landsat data. This research was partly supported by the China Postdoctoral Science Foundation (Grant nos: 2012M520185, 2013T60077), National Natural Science Foundation of China (Grant no: 41176163), National High Technology Program of China (Grant no: 2009AA12200101), Fundamental Research Fund for the Central University and Center for Sea Level Change (CSLC) of NYU Abu Dhabi (Grant no: G1204). The Ohio State University (OSU) component of the research was partially supported by grants under the NASA's ICESat-2 Science Definition Team grant (No. NNX12A122G), NASA's Geodetic Imaging Program (No. NNX12AQ07G), and by the Chinese Academy of Sciences/SAFEA International Partnership Program for Creative Research Teams (Grant No. KZZD-EW-TZ-05).</t>
  </si>
  <si>
    <t>ELSEVIER SCIENCE INC</t>
  </si>
  <si>
    <t>STE 800, 230 PARK AVE, NEW YORK, NY 10169 USA</t>
  </si>
  <si>
    <t>0034-4257</t>
  </si>
  <si>
    <t>1879-0704</t>
  </si>
  <si>
    <t>REMOTE SENS ENVIRON</t>
  </si>
  <si>
    <t>Remote Sens. Environ.</t>
  </si>
  <si>
    <t>10.1016/j.rse.2014.01.002</t>
  </si>
  <si>
    <t>Environmental Sciences; Remote Sensing; Imaging Science &amp; Photographic Technology</t>
  </si>
  <si>
    <t>Environmental Sciences &amp; Ecology; Remote Sensing; Imaging Science &amp; Photographic Technology</t>
  </si>
  <si>
    <t>AD8BD</t>
  </si>
  <si>
    <t>WOS:000333490600001</t>
  </si>
  <si>
    <t>Karanovic, T; Kim, K</t>
  </si>
  <si>
    <t>Karanovic, Tomislav; Kim, Kichoon</t>
  </si>
  <si>
    <t>New insights into polyphyly of the harpacticoid genus Delavalia (Crustacea, Copepoda) through morphological and molecular study of an unprecedented diversity of sympatric species in a small South Korean bay</t>
  </si>
  <si>
    <t>Harpacticoida; Miraciidae; marine; systematics; phyogeny; barcoding; new species</t>
  </si>
  <si>
    <t>INTEGUMENTAL PORE SIGNATURE; THERMOCYCLOPS-EMINI MRAZEK; SIZE DIFFERENTIATION; STENHELIA COPEPODA; CRYPTIC SPECIATION; COMPLEX COPEPODA; 1ST RECORD; CYCLOPOIDA; PATTERNS; REDESCRIPTION</t>
  </si>
  <si>
    <t>Polyphyly of the genus Delavalia Brady, 1869 has been postulated previously based on intuitive methods, but no phylogenetic study was ever conducted. A chance discovery of seven sympatric species of this genus in the highly industrialized Gwangyang Bay in South Korea, in addition to one species each from the closely related genera Stenhelia Boeck, 1865 and Onychostenhelia Ito, 1979, prompted a renewed interest in the phylogenetic relationships within the subfamily Stenheliinae Brady, 1880. Additional surveys along the Korean coast failed to produce Delavalia species, but comparative material was sourced from Posyet Bay in the Russian Far East. Aims of this study were to reconstruct phylogenetic relationships of the newly collected stenheliins using molecular methods, test the hypothesized polyphyly of Delavalia, formally describe any resulting monophyletic units, perform a comparative study of traditional morphological and novel micro-morphological characters, and describe all new Delavalia species. A fragment of the mtCOI gene was successfully PCR-amplified from 23 stenheliin specimens and an additional 300 specimens were studied for morphological characters. All phylogenetic analyses supported the presence of at least eight genetically divergent lineages, most with very high bootstrap values, and the polyphyletic nature of Delavalia is demonstrated. Three new genera, each supported by molecular data and a number of morphological synapomorphies, were erected to accommodate the newly discovered species and some previously described members of Delavalia: Wellstenhelia gen. nov., Itostenhelia gen. nov., and Willenstenhelia gen. nov. The Chinese Wellstenhelia qingdaoensis (Ma &amp; Li, 2011) comb. nov. is recorded for the first time in Korea, and six new species are described from Gwangyang Bay: Wellstenhelia calliope sp. nov., Wellstenhelia clio sp. nov., Wellstenhelia erato sp. nov., Wellstenhelia euterpe sp. nov., Itostenhelia polyhymnia sp. nov., and Willenstenhelia thalia sp. nov. Additonally, Itostenhelia golikovi (Chisleno, 1978) comb. nov. is redescribed from newly collected material from the type locality in Russia and its male described for the first time, while Wellstenhelia melpomene sp. nov., Willenstenhelia urania sp. nov., and Willenstenhelia terpsichore sp. nov. are established as new names for previously reported populations of two presumably widely distributed Delavalia species.</t>
  </si>
  <si>
    <t>[Karanovic, Tomislav; Kim, Kichoon] Hanyang Univ, Dept Life Sci, Seoul 133791, South Korea; [Karanovic, Tomislav] Univ Tasmania, Inst Marine &amp; Antarctic Studies, Hobart, Tas 7001, Australia</t>
  </si>
  <si>
    <t>Hanyang University; University of Tasmania</t>
  </si>
  <si>
    <t>Karanovic, T (corresponding author), Hanyang Univ, Dept Life Sci, Seoul 133791, South Korea.</t>
  </si>
  <si>
    <t>Tomislav.Karanovic@utas.edu.au</t>
  </si>
  <si>
    <t>National Institute of Biological Resources (NIBR); Ministry of Environment of the Republic of Korea (NIBR) [2013-02-001]; Basic Science Research Programme of the National Research Foundation of Korea (NRF); Ministry of Education, Science and Technology of the Republic of Korea [2012R1A1A2005312]</t>
  </si>
  <si>
    <t>National Institute of Biological Resources (NIBR); Ministry of Environment of the Republic of Korea (NIBR)(Ministry of Environment (ME), Republic of Korea); Basic Science Research Programme of the National Research Foundation of Korea (NRF)(National Research Foundation of Korea); Ministry of Education, Science and Technology of the Republic of Korea(Ministry of Education, Science &amp; Technology (MEST), Republic of Korea)</t>
  </si>
  <si>
    <t>This work was supported by a grant from the National Institute of Biological Resources (NIBR), funded by the Ministry of Environment of the Republic of Korea (NIBR No. 2013-02-001), as well as a grant from the Basic Science Research Programme of the National Research Foundation of Korea (NRF) funded by the Ministry of Education, Science and Technology of the Republic of Korea (2012R1A1A2005312). Scanning electron microscope was made available through Prof. Jin Hyun Jun (Eulji University, Seoul), and we also want to thank Mr. Junho Kim (Eulji University, Seoul) for the technical help provided. We are very grateful to Dr. Julia Trebukhova (Institute of Marine Biology, Vladivostok) for collecting the samples of Stenhelia pubescensChislenko, 1978 and Itostenhelia golikovi (Chislenko, 1978) comb. nov., as well as to Dr. Marina Malyutina (Institute of Marine Biology, Vladivostok) and Prof. Angelika Brandt (Zoological Museum, Hamburg) for their assistance in transporting these specimens. We also thank Dr. Kanghyun Lee and Ms. Eunkyoung Park for their help in the field and in the molecular lab respectively.</t>
  </si>
  <si>
    <t>250F Marua Road Mt Wellington, AUCKLAND, ST LUKES 1023, NEW ZEALAND</t>
  </si>
  <si>
    <t>AD4UJ</t>
  </si>
  <si>
    <t>WOS:000333246100001</t>
  </si>
  <si>
    <t>Linse, K; Jackson, JA; Malyutina, MV; Brandt, A</t>
  </si>
  <si>
    <t>Linse, Katrin; Jackson, Jennifer A.; Malyutina, Marina V.; Brandt, Angelika</t>
  </si>
  <si>
    <t>Shallow-Water Northern Hemisphere Jaera (Crustacea, Isopoda, Janiridae) Found on Whale Bones in the Southern Ocean Deep Sea: Ecology and Description of Jaera tyleri sp nov.</t>
  </si>
  <si>
    <t>ALBIFRONS GROUP; REPRODUCTIVE-BIOLOGY; INTERTIDAL ISOPOD; FALL; ASELLOTA; SIZE; RNA; ECOSYSTEMS; DIVERSITY; EVOLUTION</t>
  </si>
  <si>
    <t>The skeleton of a natural whale fall discovered in the Southern Ocean at 1,445 m was densely covered by one small, janirid isopod. Jaera tyleri sp. nov. is the first of its genus found in the southern hemisphere and in the deep sea and is described herein. Morphological and molecular investigations revealed the systematic position of this species new to science. Phylogenetic analysis of the 18S locus confirms that this species falls in a strongly supported monophyletic clade of Jaera species. The whale bone habitat of J. tyleri sp. nov. is quite different from those of other species of the genus Jaera. The analysis of bathymetric and distribution patterns of the Janiridae in general and Jaera specifically confirm the unusualness of the habitat for this isopod species. The abundance of J. tyleri sp. nov. on the whale bones and its absence from other nearby habitats suggests it to be a whale-fall specialist. The analysis of the size-frequency distributions of J. tyleri sp. nov. suggests multimodal population structure with continuous breeding activity throughout the year. The fecundity of the species is low but in line with reduced fecundity observed in polar and small-sized isopods.</t>
  </si>
  <si>
    <t>[Linse, Katrin; Jackson, Jennifer A.] British Antarctic Survey, Cambridge CB3 0ET, England; [Malyutina, Marina V.] Russian Acad Sci, Far Eastern Branch, AV Zhirmunsky Inst Marine Biol, Vladivostok 690022, Russia; [Brandt, Angelika] Univ Hamburg, Bioctr Grindel, Hamburg, Germany; [Brandt, Angelika] Univ Hamburg, Zool Museum, Hamburg, Germany</t>
  </si>
  <si>
    <t>UK Research &amp; Innovation (UKRI); Natural Environment Research Council (NERC); NERC British Antarctic Survey; Russian Academy of Sciences; National Scientific Center of Marine Biology, Far East Branch of the Russian Academy of Sciences; University of Hamburg; University of Hamburg</t>
  </si>
  <si>
    <t>Linse, K (corresponding author), British Antarctic Survey, Cambridge CB3 0ET, England.</t>
  </si>
  <si>
    <t>kl@bas.ac.uk</t>
  </si>
  <si>
    <t>Malyutina, Marina/A-6839-2014; Jackson, Jennifer A/E-7997-2013; Malyutina, Marina/JAC-6506-2023; Brandt, Angelika/C-1630-2018</t>
  </si>
  <si>
    <t>Jackson, Jennifer/0000-0003-4158-1924; Malyutina, Marina/0000-0003-2161-3917; Linse, Katrin/0000-0003-3477-3047</t>
  </si>
  <si>
    <t>German Science Foundation [DFG Br 1121/38-1, 1121/43-1]; Russian Foundation of Basis Research [11-04-98586]; Ministry of Education and Science of Russian Federation [11.G34.31.0010]; British Antarctic Survey Polar Science; Natural Environment Research Council (NERC); ChEsSO research programme; NERC Consortium Grant [NE/DO1249X/1]; NERC [NE/D013852/1, NE/D010470/2, NE/D01249X/1, bas0100026] Funding Source: UKRI; Natural Environment Research Council [NE/D013852/1, NE/D01249X/1, bas0100026, NE/D010470/2] Funding Source: researchfish</t>
  </si>
  <si>
    <t>German Science Foundation(German Research Foundation (DFG)); Russian Foundation of Basis Research; Ministry of Education and Science of Russian Federation(Ministry of Education and Science, Russian Federation); British Antarctic Survey Polar Science; Natural Environment Research Council (NERC)(UK Research &amp; Innovation (UKRI)Natural Environment Research Council (NERC)); ChEsSO research programme; NERC Consortium Grant; NERC(UK Research &amp; Innovation (UKRI)Natural Environment Research Council (NERC)); Natural Environment Research Council(UK Research &amp; Innovation (UKRI)Natural Environment Research Council (NERC))</t>
  </si>
  <si>
    <t>AB and MM were supported by the German Science Foundation for financial support (DFG Br 1121/38-1, 1121/43-1), the Russian Foundation of Basis Research (project 11-04-98586) and Ministry of Education and Science of Russian Federation (grant 11.G34.31.0010). KL was supported by the British Antarctic Survey Polar Science for Planet Earth Programme funded by The Natural Environment Research Council (NERC), as well as part of the ChEsSO research programme was funded by NERC Consortium Grant (NE/DO1249X/1). The funders had no role in study design, data collection and analysis, decision to publish, or preparation of the manuscript.</t>
  </si>
  <si>
    <t>MAR 24</t>
  </si>
  <si>
    <t>e93018</t>
  </si>
  <si>
    <t>10.1371/journal.pone.0093018</t>
  </si>
  <si>
    <t>AD7QO</t>
  </si>
  <si>
    <t>Green Published, gold, Green Submitted, Green Accepted</t>
  </si>
  <si>
    <t>WOS:000333459900144</t>
  </si>
  <si>
    <t>de Bruyn, M; Pinsky, ML; Hall, B; Koch, P; Baroni, C; Hoelzel, AR</t>
  </si>
  <si>
    <t>de Bruyn, Mark; Pinsky, Malin L.; Hall, Brenda; Koch, Paul; Baroni, Carlo; Hoelzel, A. Rus</t>
  </si>
  <si>
    <t>Rapid increase in southern elephant seal genetic diversity after a founder event</t>
  </si>
  <si>
    <t>PROCEEDINGS OF THE ROYAL SOCIETY B-BIOLOGICAL SCIENCES</t>
  </si>
  <si>
    <t>ancient DNA; approximate Bayesian computation; extinction; founder event; genetic diversity; population growth</t>
  </si>
  <si>
    <t>APPROXIMATE BAYESIAN COMPUTATION; POPULATION-GENETICS; FINITE POPULATION; TIME DEPENDENCY; RATES; EXTINCTION; DIVERGENCE; FRAMEWORK; INFERENCE; FIXATION</t>
  </si>
  <si>
    <t>Genetic diversity provides the raw material for populations to respond to changing environmental conditions. The evolution of diversity within populations is based on the accumulation of mutations and their retention or loss through selection and genetic drift, while migration can also introduce new variation. However, the extent to which population growth and sustained large population size can lead to rapid and significant increases in diversity has not been widely investigated. Here, we assess this empirically by applying approximate Bayesian computation to a novel ancient DNA dataset that spans the life of a southern elephant seal (Mirounga leonina) population, from initial founding approximately 7000 years ago to eventual extinction within the past millennium. We find that rapid population growth and sustained large population size can explain substantial increases in population genetic diversity over a period of several hundred generations, subsequently lost when the population went to extinction. Results suggest that the impact of diversity introduced through migration was relatively minor. We thus demonstrate, by examining genetic diversity across the life of a population, that environmental change could generate the raw material for adaptive evolution over a very short evolutionary time scale through rapid establishment of a large, stable population.</t>
  </si>
  <si>
    <t>[de Bruyn, Mark] Bangor Univ, Sch Biol Sci, Mol Ecol &amp; Fisheries Genet Lab, Bangor, Gwynedd, Wales; [Pinsky, Malin L.] Rutgers State Univ, Dept Ecol Evolut &amp; Nat Resources, New Brunswick, NJ 08903 USA; [Hall, Brenda] Univ Maine, Climate Change Inst, Orono, ME USA; [Hall, Brenda] Univ Maine, Sch Earth &amp; Climate Sci, Orono, ME USA; [Koch, Paul] Univ Calif Santa Cruz, Dept Earth &amp; Planetary Sci, Santa Cruz, CA 95064 USA; [Baroni, Carlo] Univ Pisa, Dipartimento Sci Terra, Pisa, Italy; [Hoelzel, A. Rus] Univ Durham, Sch Biol &amp; Biomed Sci, Durham, England</t>
  </si>
  <si>
    <t>Bangor University; Rutgers University System; Rutgers University New Brunswick; University of Maine System; University of Maine Orono; University of Maine System; University of Maine Orono; University of California System; University of California Santa Cruz; University of Pisa; Durham University</t>
  </si>
  <si>
    <t>de Bruyn, M (corresponding author), Bangor Univ, Sch Biol Sci, Mol Ecol &amp; Fisheries Genet Lab, Deiniol Rd, Bangor, Gwynedd, Wales.</t>
  </si>
  <si>
    <t>markus.debruyn@gmail.com; a.r.hoelzel@durham.ac.uk</t>
  </si>
  <si>
    <t>Pinsky, Malin L./K-2884-2015; Baroni, Carlo/D-8184-2012; de Bruyn, Mark/C-5568-2008</t>
  </si>
  <si>
    <t>Pinsky, Malin L./0000-0002-8523-8952; Baroni, Carlo/0000-0001-5905-4650; de Bruyn, Mark/0000-0003-1528-9604</t>
  </si>
  <si>
    <t>National Science Foundation [PLR-0807292]; Italian Antarctic Programme (PNRA); Office of Polar Programs (OPP); Directorate For Geosciences [1141849] Funding Source: National Science Foundation</t>
  </si>
  <si>
    <t>National Science Foundation(National Science Foundation (NSF)); Italian Antarctic Programme (PNRA); Office of Polar Programs (OPP); Directorate For Geosciences(National Science Foundation (NSF)NSF - Directorate for Geosciences (GEO))</t>
  </si>
  <si>
    <t>M.L.P. was supported by National Science Foundation Graduate Research and David H. Smith Conservation Research fellowships. Research funding was provided by National Science Foundation grant no. PLR-0807292 and support from the Italian Antarctic Programme (PNRA).</t>
  </si>
  <si>
    <t>ROYAL SOC</t>
  </si>
  <si>
    <t>6-9 CARLTON HOUSE TERRACE, LONDON SW1Y 5AG, ENGLAND</t>
  </si>
  <si>
    <t>0962-8452</t>
  </si>
  <si>
    <t>1471-2954</t>
  </si>
  <si>
    <t>P ROY SOC B-BIOL SCI</t>
  </si>
  <si>
    <t>Proc. R. Soc. B-Biol. Sci.</t>
  </si>
  <si>
    <t>MAR 22</t>
  </si>
  <si>
    <t>10.1098/rspb.2013.3078</t>
  </si>
  <si>
    <t>Biology; Ecology; Evolutionary Biology</t>
  </si>
  <si>
    <t>Life Sciences &amp; Biomedicine - Other Topics; Environmental Sciences &amp; Ecology; Evolutionary Biology</t>
  </si>
  <si>
    <t>AC2YR</t>
  </si>
  <si>
    <t>Green Published, Green Accepted, Bronze</t>
  </si>
  <si>
    <t>WOS:000332382700027</t>
  </si>
  <si>
    <t>Watanabe, YY; Ito, M; Takahashi, A</t>
  </si>
  <si>
    <t>Watanabe, Yuuki Y.; Ito, Motohiro; Takahashi, Akinori</t>
  </si>
  <si>
    <t>Testing optimal foraging theory in a penguin-krill system</t>
  </si>
  <si>
    <t>biologging; marine predator; Adelie penguin; Antarctic krill</t>
  </si>
  <si>
    <t>PATCH USE; PREDATORS; DECISIONS; BEHAVIOR</t>
  </si>
  <si>
    <t>Food is heterogeneously distributed in nature, and understanding how animals search for and exploit food patches is a fundamental challenge in ecology. The classic marginal value theorem (MVT) formulates optimal patch residence time in response to patch quality. The MVT was generally proved in controlled animal experiments; however, owing to the technical difficulties in recording foraging behaviour in the wild, it has been inadequately examined in natural predator-prey systems, especially those in the three-dimensional marine environment. Using animal-borne accelerometers and video cameras, we collected a rare dataset in which the behaviour of a marine predator (penguin) was recorded simultaneously with the capture timings of mobile, patchily distributed prey (krill). We provide qualitative support for the MVT by showing that (i) krill capture rate diminished with time in each dive, as assumed in the MVT, and (ii) dive duration (or patch residence time, controlled for dive depth) increased with short-term, dive-scale krill capture rate, but decreased with long-term, bout-scale krill capture rate, as predicted from the MVT. Our results demonstrate that a single environmental factor (i.e. patch quality) can have opposite effects on animal behaviour depending on the time scale, emphasizing the importance of multi-scale approaches in understanding complex foraging strategies.</t>
  </si>
  <si>
    <t>[Watanabe, Yuuki Y.; Ito, Motohiro; Takahashi, Akinori] Natl Inst Polar Res, Tachikawa, Tokyo 1908518, Japan</t>
  </si>
  <si>
    <t>Research Organization of Information &amp; Systems (ROIS); National Institute of Polar Research (NIPR) - Japan</t>
  </si>
  <si>
    <t>Watanabe, YY (corresponding author), Natl Inst Polar Res, Tachikawa, Tokyo 1908518, Japan.</t>
  </si>
  <si>
    <t>watanabe.yuuki@nipr.ac.jp</t>
  </si>
  <si>
    <t>Watanabe, Yuuki/D-5079-2012</t>
  </si>
  <si>
    <t>Takahashi, Akinori/0000-0002-9868-0408; Watanabe, Yuuki/0000-0001-9731-1769</t>
  </si>
  <si>
    <t>JARE; Japan Society for the Promotion of Science [21681002, 25850138, 20310016]; NIPR; Grants-in-Aid for Scientific Research [21681002, 25850138, 20310016, 13J06234, 23255001] Funding Source: KAKEN</t>
  </si>
  <si>
    <t>JARE; Japan Society for the Promotion of Science(Ministry of Education, Culture, Sports, Science and Technology, Japan (MEXT)Japan Society for the Promotion of Science); NIPR(National Institute of Polar Research (NIPR) - Japan); Grants-in-Aid for Scientific Research(Ministry of Education, Culture, Sports, Science and Technology, Japan (MEXT)Japan Society for the Promotion of ScienceGrants-in-Aid for Scientific Research (KAKENHI))</t>
  </si>
  <si>
    <t>This work was funded by JARE and Grants-in-Aids for Scientific Research from the Japan Society for the Promotion of Science (21681002 and 25850138 to Y.Y.W. and 20310016 to A. T.). The production of this paper was supported by an NIPR publication subsidy.</t>
  </si>
  <si>
    <t>10.1098/rspb.2013.2376</t>
  </si>
  <si>
    <t>Green Published, Bronze, Green Submitted</t>
  </si>
  <si>
    <t>WOS:000332382700007</t>
  </si>
  <si>
    <t>McMahon, CR; Howe, H; van den Hoff, J; Alderman, R; Brolsma, H; Hindell, MA</t>
  </si>
  <si>
    <t>McMahon, Clive R.; Howe, Hamish; van den Hoff, John; Alderman, Rachael; Brolsma, Henk; Hindell, Mark A.</t>
  </si>
  <si>
    <t>Satellites, the All-Seeing Eyes in the Sky: Counting Elephant Seals from Space</t>
  </si>
  <si>
    <t>BIODIVERSITY LOSS; MIROUNGA-LEONINA; SOUTHERN; TRENDS; TIME</t>
  </si>
  <si>
    <t>Regular censuses are fundamental for the management of animal populations but, are logistically challenging for species living in remote regions. The advent of readily accessible, high resolution satellite images of earth mean that it is possible to resolve relatively small (0.6 m) objects, sufficient to discern large animals. To illustrate how these advances can be used to count animals in remote regions, individual elephant seals (Mirounga leonina) were counted using satellite imagery. We used an image taken on 10/10/2011 to count elephant seals (n = 1790 +/- 306 (95%CL)) on the isthmus of Macquarie Island, an estimate which overlapped with concurrent ground counts (n = 1991). The number of individuals per harem estimated using the two approaches were highly correlated, with a slope close to one and the estimated intercept also encompassing zero. This proof of concept opens the way for satellites to be used as a standard censusing technique for inaccessible and cryptically coloured species. Quantifying the population trends of higher order predators provides an especially informative and tractable indicator of ecosystem health.</t>
  </si>
  <si>
    <t>[McMahon, Clive R.; Howe, Hamish; Hindell, Mark A.] Univ Tasmania, Inst Marine &amp; Antarctic Studies, Hobart, Tas, Australia; [van den Hoff, John; Brolsma, Henk] Australian Antarctic Div, Kingston, Tas, Australia; [Alderman, Rachael] Dept Primary Ind Water &amp; Environm, Threatened Species &amp; Marine Sect, Hobart, Tas, Australia</t>
  </si>
  <si>
    <t>University of Tasmania; Australian Antarctic Division</t>
  </si>
  <si>
    <t>McMahon, CR (corresponding author), Univ Tasmania, Inst Marine &amp; Antarctic Studies, Hobart, Tas, Australia.</t>
  </si>
  <si>
    <t>clive.mcmahon@utas.edu.au</t>
  </si>
  <si>
    <t>Hindell, Mark A/K-1131-2013; McMahon, Clive R/D-5713-2013</t>
  </si>
  <si>
    <t>McMahon, Clive R/0000-0001-5241-8917; Hindell, Mark/0000-0002-7823-7185</t>
  </si>
  <si>
    <t>MAR 20</t>
  </si>
  <si>
    <t>e92613</t>
  </si>
  <si>
    <t>10.1371/journal.pone.0092613</t>
  </si>
  <si>
    <t>AD6FV</t>
  </si>
  <si>
    <t>Green Submitted, Green Published, gold</t>
  </si>
  <si>
    <t>WOS:000333352800133</t>
  </si>
  <si>
    <t>Shadwick, EH; Thomas, H</t>
  </si>
  <si>
    <t>Shadwick, Elizabeth H.; Thomas, Helmuth</t>
  </si>
  <si>
    <t>Seasonal and spatial variability in the CO2 system on the Scotian Shelf (Northwest Atlantic)</t>
  </si>
  <si>
    <t>MARINE CHEMISTRY</t>
  </si>
  <si>
    <t>Net community production; Scotian shelf; Carbon uptake; Nitrate drawdown; Ocean Acidification</t>
  </si>
  <si>
    <t>CARBONIC-ACID; FLUXES; OCEAN; DISSOCIATION; CIRCULATION; ECOSYSTEMS; METABOLISM; TRANSPORT; CONSTANTS; DYNAMICS</t>
  </si>
  <si>
    <t>As part of the Atlantic Zone Monitoring Program, dissolved inorganic carbon (DIC), total alkalinity, and nitrate measurements were made throughout the Scotian Shelf in 2007. A shelf-wide assessment of the spatio-temporal variability of the inorganic carbon system was made relying on observations in spring (April) and autumn (October). Over the 6-month period, a combination of biological production, surface dilution, and air-sea CO2 exchange resulted in seasonal decreases in surface DIC of up to 70 mu mol kg(-1) and subsurface (between 50 and 100 m) increases of DIC on the order of 50 mu mol kg(-1) on the inner shelf. The regional mean surface water pH was roughly 7.8 in spring and increased to greater than 8.0 in autumn; subsurface pH was approximately 7.6 throughout the region and a seasonal decrease, attributed in part to the respiration of organic matter at depth, was observed. The surface aragonite saturation state increased from less than 2.0 to a maximum of 3.2 between spring and autumn; the region as a whole exhibited relatively low saturation states, however values approaching 1.0 were only observed in the Cabot Strait at depths below 100 m. Winter-to-spring and winter-to-autumn deficits in surface inorganic carbon and nitrate were used to estimate net community production (NCP) throughout the region. The nitrate-based estimates of NCP using the autumn observations were significantly lower (0.1 to 03 mol C m(-2) month(-1)) than the carbon-based estimates (0.1 to 0.8 mol C m(-2) month(-1)) at most stations. The cumulative autumn NCP based on nitrate (0.4 to 1.9 mol C m(-2) over 6 months) was up to 50% lower than the cumulative NCP based on inorganic carbon deficits (0.5 to 4.7 mol C m(-2) over 6 months), suggesting that continued biological production through the summer season occurs in nitrate-depleted waters. (C) 2014 Elsevier B.V. All rights reserved.</t>
  </si>
  <si>
    <t>[Shadwick, Elizabeth H.] Univ Tasmania, Antarct Climate &amp; Ecosyst Cooperat Res Ctr, Hobart, Tas, Australia; [Thomas, Helmuth] Dalhousie Univ, Dept Oceanog, Halifax, NS, Canada</t>
  </si>
  <si>
    <t>University of Tasmania; Dalhousie University</t>
  </si>
  <si>
    <t>Shadwick, EH (corresponding author), Univ Tasmania, Antarct Climate &amp; Ecosyst Cooperat Res Ctr, Hobart, Tas, Australia.</t>
  </si>
  <si>
    <t>elizabeth.shadwick@utas.edu.au</t>
  </si>
  <si>
    <t>Shadwick, Elizabeth/0000-0003-4008-3333</t>
  </si>
  <si>
    <t>Canadian Natural Sciences and Engineering Research Council (NSERC); MetOcean Data Systems; Australian Governments Cooperative Research Centres Program, through the Antarctic Climate and Ecosystems Cooperative Research Centre (ACE CRC)</t>
  </si>
  <si>
    <t>Canadian Natural Sciences and Engineering Research Council (NSERC)(Natural Sciences and Engineering Research Council of Canada (NSERC)); MetOcean Data Systems; Australian Governments Cooperative Research Centres Program, through the Antarctic Climate and Ecosystems Cooperative Research Centre (ACE CRC)(Australian GovernmentDepartment of Industry, Innovation and ScienceCooperative Research Centres (CRC) Programme)</t>
  </si>
  <si>
    <t>We are grateful to the captains, officers and crew of the CCGS Hudson and to E. Head, E. Home, J. Spry, and F. Prowe, for their co-operation in the collection of field data. We thank the Bedford Institute of Oceanography, (Fisheries and Oceans Canada), for making the nutrient and hydrographic data available. This project was funded by the Canadian Natural Sciences and Engineering Research Council (NSERC), MetOcean Data Systems, and by the Australian Governments Cooperative Research Centres Program, through the Antarctic Climate and Ecosystems Cooperative Research Centre (ACE CRC). This work contributes to IGBP/LOICZ.</t>
  </si>
  <si>
    <t>0304-4203</t>
  </si>
  <si>
    <t>1872-7581</t>
  </si>
  <si>
    <t>MAR CHEM</t>
  </si>
  <si>
    <t>Mar. Chem.</t>
  </si>
  <si>
    <t>10.1016/j.marchem.2014.01.009</t>
  </si>
  <si>
    <t>Chemistry, Multidisciplinary; Oceanography</t>
  </si>
  <si>
    <t>Chemistry; Oceanography</t>
  </si>
  <si>
    <t>AE1GS</t>
  </si>
  <si>
    <t>WOS:000333718400005</t>
  </si>
  <si>
    <t>Lee, J; Kang, Y; Shin, SC; Park, H; Lee, H</t>
  </si>
  <si>
    <t>Lee, Jungeun; Kang, Yoonjee; Shin, Seung Chul; Park, Hyun; Lee, Hyoungseok</t>
  </si>
  <si>
    <t>Combined Analysis of the Chloroplast Genome and Transcriptome of the Antarctic Vascular Plant Deschampsia antarctica Desv</t>
  </si>
  <si>
    <t>POACEAE; SEQUENCE; PHYLOGENY; ALIGNMENT; GENE; MITOCHONDRIA; EVOLUTION</t>
  </si>
  <si>
    <t>Background: Antarctic hairgrass (Deschampsia antarctica Desv.) is the only natural grass species in the maritime Antarctic. It has been researched as an important ecological marker and as an extremophile plant for studies on stress tolerance. Despite its importance, little genomic information is available for D. antarctica. Here, we report the complete chloroplast genome, transcriptome profiles of the coding/noncoding genes, and the posttranscriptional processing by RNA editing in the chloroplast system. Results: The complete chloroplast genome of D. antarctica is 135,362 bp in length with a typical quadripartite structure, including the large (LSC: 79,881 bp) and small (SSC: 12,519 bp) single-copy regions, separated by a pair of identical inverted repeats (IR: 21,481 bp). It contains 114 unique genes, including 81 unique protein-coding genes, 29 tRNA genes, and 4 rRNA genes. Sequence divergence analysis with other plastomes from the BEP clade of the grass family suggests a sister relationship between D. antarctica, Festuca arundinacea and Lolium perenne of the Poeae tribe, based on the whole plastome. In addition, we conducted high-resolution mapping of the chloroplast-derived transcripts. Thus, we created an expression profile for 81 protein-coding genes and identified ndhC, psbJ, rps19, psaJ, and psbA as the most highly expressed chloroplast genes. Small RNA-seq analysis identified 27 small noncoding RNAs of chloroplast origin that were preferentially located near the 5'- or 3'-ends of genes. We also found &gt;30 RNA-editing sites in the D. antarctica chloroplast genome, with a dominance of C-to-U conversions. Conclusions: We assembled and characterized the complete chloroplast genome sequence of D. antarctica and investigated the features of the plastid transcriptome. These data may contribute to a better understanding of the evolution of D. antarctica within the Poaceae family for use in molecular phylogenetic studies and may also help researchers understand the characteristics of the chloroplast transcriptome.</t>
  </si>
  <si>
    <t>[Lee, Jungeun; Kang, Yoonjee; Shin, Seung Chul; Park, Hyun; Lee, Hyoungseok] Korea Polar Res Inst, Div Life Sci, Inchon, South Korea</t>
  </si>
  <si>
    <t>Korea Institute of Ocean Science &amp; Technology (KIOST); Korea Polar Research Institute (KOPRI)</t>
  </si>
  <si>
    <t>Park, H (corresponding author), Korea Polar Res Inst, Div Life Sci, Inchon, South Korea.</t>
  </si>
  <si>
    <t>soulaid@kopri.re.kr; hpark@kopri.re.kr</t>
  </si>
  <si>
    <t>Lee, Hyoungseok/0000-0002-5831-6345; Park, Hyun/0000-0002-8055-2010</t>
  </si>
  <si>
    <t>Functional Genomics on Polar Organisms grant [PE13020]; Basic Research Program [PE13120]; Korea Polar Research Institute (KOPRI)</t>
  </si>
  <si>
    <t>Functional Genomics on Polar Organisms grant; Basic Research Program; Korea Polar Research Institute (KOPRI)</t>
  </si>
  <si>
    <t>This work was supported by Functional Genomics on Polar Organisms grant (PE13020) and the Basic Research Program (PE13120) funded by Korea Polar Research Institute (KOPRI). The funders had no role in study design, data collection and analysis, decision to publish, or preparation of the manuscript.</t>
  </si>
  <si>
    <t>MAR 19</t>
  </si>
  <si>
    <t>e92501</t>
  </si>
  <si>
    <t>10.1371/journal.pone.0092501</t>
  </si>
  <si>
    <t>AD6ER</t>
  </si>
  <si>
    <t>Green Submitted, gold, Green Published</t>
  </si>
  <si>
    <t>WOS:000333348500138</t>
  </si>
  <si>
    <t>Roads, E; Longton, RE; Convey, P</t>
  </si>
  <si>
    <t>Roads, Esme; Longton, Royce E.; Convey, Peter</t>
  </si>
  <si>
    <t>Millennial timescale regeneration in a moss from Antarctica</t>
  </si>
  <si>
    <t>CURRENT BIOLOGY</t>
  </si>
  <si>
    <t>PEAT ACCUMULATION</t>
  </si>
  <si>
    <t>[Roads, Esme; Longton, Royce E.] Univ Reading, Sch Biol Sci, Plant Sci Labs, Reading RG6 6AS, Berks, England; [Convey, Peter] British Antarctic Survey, Nat Environm Res Council, Cambridge CB3 0ET, England; [Convey, Peter] Univ Canterbury, Gateway Antarctica, Christchurch 8140, New Zealand</t>
  </si>
  <si>
    <t>University of Reading; UK Research &amp; Innovation (UKRI); Natural Environment Research Council (NERC); NERC British Antarctic Survey; University of Canterbury</t>
  </si>
  <si>
    <t>Roads, E (corresponding author), Univ Reading, Sch Biol Sci, Plant Sci Labs, POB 221, Reading RG6 6AS, Berks, England.</t>
  </si>
  <si>
    <t>pcon@bas.ac.uk</t>
  </si>
  <si>
    <t>Convey, Peter/AAV-5728-2020</t>
  </si>
  <si>
    <t>Convey, Peter/0000-0001-8497-9903</t>
  </si>
  <si>
    <t>NERC [bas0100025, bas0100026] Funding Source: UKRI; Natural Environment Research Council [bas0100026, bas0100025] Funding Source: researchfish</t>
  </si>
  <si>
    <t>CELL PRESS</t>
  </si>
  <si>
    <t>CAMBRIDGE</t>
  </si>
  <si>
    <t>600 TECHNOLOGY SQUARE, 5TH FLOOR, CAMBRIDGE, MA 02139 USA</t>
  </si>
  <si>
    <t>0960-9822</t>
  </si>
  <si>
    <t>1879-0445</t>
  </si>
  <si>
    <t>CURR BIOL</t>
  </si>
  <si>
    <t>Curr. Biol.</t>
  </si>
  <si>
    <t>MAR 17</t>
  </si>
  <si>
    <t>R222</t>
  </si>
  <si>
    <t>R223</t>
  </si>
  <si>
    <t>10.1016/j.cub.2014.01.053</t>
  </si>
  <si>
    <t>Biochemistry &amp; Molecular Biology; Biology; Cell Biology</t>
  </si>
  <si>
    <t>Biochemistry &amp; Molecular Biology; Life Sciences &amp; Biomedicine - Other Topics; Cell Biology</t>
  </si>
  <si>
    <t>AD4PP</t>
  </si>
  <si>
    <t>hybrid, Green Accepted</t>
  </si>
  <si>
    <t>WOS:000333233300006</t>
  </si>
  <si>
    <t>Malherbe, J; Engelbrecht, FA; Landman, WA</t>
  </si>
  <si>
    <t>Malherbe, Johan; Engelbrecht, F. A.; Landman, W. A.</t>
  </si>
  <si>
    <t>Response of the Southern Annular Mode to tidal forcing and the bidecadal rainfall cycle over subtropical southern Africa</t>
  </si>
  <si>
    <t>Southern Annular Mode; lunar tide; bidecadal; southern Africa; rainfall cycle; climate variability</t>
  </si>
  <si>
    <t>LUNISOLAR ATMOSPHERIC TIDES; SEA-SURFACE TEMPERATURE; CLIMATE VARIABILITY; LUNAR-PHASE; ANTARCTIC OSCILLATION; DECADAL VARIABILITY; 18.6-YEAR CYCLE; AIR-TEMPERATURE; UNITED-STATES; NORTH-AMERICA</t>
  </si>
  <si>
    <t>Synoptic weather data and rainfall records are used to support previous suggestions that the decadal-scale cycle in certain climate records may be attributed to the modulation in tidal forcing related to the 18.6year lunar nodal cycle. The Southern Annular Mode (SAM) is shown to be sensitive to tidal forcing on a daily time scale. It is subsequently shown that the late-summer SAM can be predicted by consideration of tidal potential. The seasonal response in the SAM is also reflected in sea surface temperatures. Observed behavior of the atmosphere suggests that changing tidal potential over the lower versus higher latitudinal regions plays a role. The atmospheric response as reflected in the changing SAM affects the daily rainfall variation in certain subtropical parts of southern Africa where rainfall correlates positively with the SAM. The daily rainfall response subsequently accumulates in a bidecadal rainfall cycle, known over southern Africa as the Dyer-Tyson cycle. Key Points The SAM is observed to react to changing lunar tidal potential Responses occur from daily through decadal scale during Austral summer Rainfall over parts of subtropical southern Africa shows a related response</t>
  </si>
  <si>
    <t>[Malherbe, Johan] Agr Res Council, Pretoria, South Africa; [Malherbe, Johan; Landman, W. A.] Univ Pretoria, Dept Geog Geoinformat &amp; Meteorol, ZA-0002 Pretoria, South Africa; [Engelbrecht, F. A.; Landman, W. A.] CSIR Nat Resources &amp; Environm Climate Studies Mod, Pretoria, South Africa; [Engelbrecht, F. A.] Univ Witwatersrand, Dept Geog Archaeol &amp; Environm Sci, Johannesburg, South Africa</t>
  </si>
  <si>
    <t>Agricultural Research Council of South Africa; University of Pretoria; University of Witwatersrand</t>
  </si>
  <si>
    <t>Malherbe, J (corresponding author), Agr Res Council, Pretoria, South Africa.</t>
  </si>
  <si>
    <t>Johan@arc.agric.za</t>
  </si>
  <si>
    <t>Landman, Willem Adolf/JVN-5114-2024</t>
  </si>
  <si>
    <t>Landman, Willem/0000-0002-9475-6655</t>
  </si>
  <si>
    <t>Water Research Commission (WRC) in South Africa [K5/1847]; Agricultural Research Council [GW 50/053]; ACCESS (Applied Centre for Climate and Earth System Science)</t>
  </si>
  <si>
    <t>Water Research Commission (WRC) in South Africa; Agricultural Research Council; ACCESS (Applied Centre for Climate and Earth System Science)</t>
  </si>
  <si>
    <t>The authors would like to acknowledge the Water Research Commission (WRC project no. K5/1847) in South Africa, the Agricultural Research Council (project no. GW 50/053), and ACCESS (Applied Centre for Climate and Earth System Science) for supporting this research. ACCESS is a South African Centre of Excellence of the Department of Science and Technology. The contributions of two anonymous reviewers are also gratefully acknowledged.</t>
  </si>
  <si>
    <t>MAR 16</t>
  </si>
  <si>
    <t>10.1002/2013JD021138</t>
  </si>
  <si>
    <t>AE3OL</t>
  </si>
  <si>
    <t>WOS:000333885700003</t>
  </si>
  <si>
    <t>Sime, LC; Karlsson, NB; Paden, JD; Gogineni, SP</t>
  </si>
  <si>
    <t>Sime, Louise C.; Karlsson, Nanna B.; Paden, John D.; Gogineni, S. Prasad</t>
  </si>
  <si>
    <t>Isochronous information in a Greenland ice sheet radio echo sounding data set</t>
  </si>
  <si>
    <t>radar; glaciology; Greenland; isochrone; radioglaciology</t>
  </si>
  <si>
    <t>TRACER TRANSPORT; RADAR; SURFACE; LAYERS; ANTARCTICA; INFERENCE; DEPTH; MODEL</t>
  </si>
  <si>
    <t>The evaluation of ice sheet models is one of the pressing problems in the study of ice sheet dynamics. Here we examine the question of how much isochronous information is contained within the publicly available Center for Remote Sensing of Ice Sheets (CReSIS) Greenland airborne radio echo soundings data set. We identify regions containing isochronous reflectors using automatic radio echo sounding processing (ARESP) algorithms. We find that isochronous reflectors are present within 36% of the CReSIS radio echo sounding englacial data by location and 41% by total number of data. Between 1000 and 3000 m in depth, isochronous reflectors are present along more than 50% of the data set flight path. Lower volumes of cold glacial period ice also correspond with more isochronous reflectors. We find good agreement between ARESP and continuity index results, providing confidence in these findings. Ice structure data sets, based on data identified here, will be of use in evaluating ice sheet simulations and the assessment of past rates of snow accumulation. Key Points New algorithms are used to identify regions containing isochronous reflectors The data set contains 36% isochronous reflector across similar to 200,000 km of flight line Isochronous data are more common inland and where less cold glacial ice occurs</t>
  </si>
  <si>
    <t>[Sime, Louise C.] British Antarctic Survey, Cambridge CB3 0ET, England; [Karlsson, Nanna B.] Univ Copenhagen, Niels Bohr Inst, Ctr Ice &amp; Climate, DK-2100 Copenhagen, Denmark; [Paden, John D.; Gogineni, S. Prasad] Ctr Remote Sensing Ice Sheets, Lawrence, KS USA</t>
  </si>
  <si>
    <t>UK Research &amp; Innovation (UKRI); Natural Environment Research Council (NERC); NERC British Antarctic Survey; University of Copenhagen; Niels Bohr Institute</t>
  </si>
  <si>
    <t>Sime, LC (corresponding author), British Antarctic Survey, Cambridge CB3 0ET, England.</t>
  </si>
  <si>
    <t>lsim@bas.ac.uk</t>
  </si>
  <si>
    <t>Sime, Louise/F-8058-2012; Sime, Louise/AAX-7730-2021; Karlsson, Nanna Bjørnholt/G-4621-2018; Karlsson, Nanna B./M-4519-2014</t>
  </si>
  <si>
    <t>Sime, Louise/0000-0002-9093-7926; Sime, Louise/0000-0002-9093-7926; Karlsson, Nanna B./0000-0003-0423-8705</t>
  </si>
  <si>
    <t>NERC [NE/J004804/1]; NSF [ANT-0424589]; NASA Operation IceBridge [NNX10AT68G]; British Antarctic Survey Polar Science for Planet Earth Programme; NASA [NNX10AT68G, 122239] Funding Source: Federal RePORTER; NERC [bas0100024, NE/J004804/1] Funding Source: UKRI; Natural Environment Research Council [bas0100024, NE/J004804/1] Funding Source: researchfish</t>
  </si>
  <si>
    <t>NERC(UK Research &amp; Innovation (UKRI)Natural Environment Research Council (NERC)); NSF(National Science Foundation (NSF)); NASA Operation IceBridge; British Antarctic Survey Polar Science for Planet Earth Programme; NASA(National Aeronautics &amp; Space Administration (NASA)); NERC(UK Research &amp; Innovation (UKRI)Natural Environment Research Council (NERC)); Natural Environment Research Council(UK Research &amp; Innovation (UKRI)Natural Environment Research Council (NERC))</t>
  </si>
  <si>
    <t>The work was funded by NERC grant NE/J004804/1 and also forms part of the British Antarctic Survey Polar Science for Planet Earth Programme. Computations were undertaken on the BAS SciHub computing cluster, for which we thank NERC national capability funding. We acknowledge the use of data products from CReSIS generated with support from NSF grant ANT-0424589 and NASA Operation IceBridge grant NNX10AT68G. Code used to perform the calculations can be obtained from the first author. Data are publicly available at https://data.cresis.ku.edu/data/rds/. The authors gratefully acknowledge valuable input from two anonymous referees.</t>
  </si>
  <si>
    <t>10.1002/2013GL057928</t>
  </si>
  <si>
    <t>AD9IO</t>
  </si>
  <si>
    <t>WOS:000333578800034</t>
  </si>
  <si>
    <t>Smith, WO; Dinniman, MS; Hofmann, EE; Klinck, JM</t>
  </si>
  <si>
    <t>Smith, Walker O., Jr.; Dinniman, Michael S.; Hofmann, Eileen E.; Klinck, John M.</t>
  </si>
  <si>
    <t>The effects of changing winds and temperatures on the oceanography of the Ross Sea in the 21st century</t>
  </si>
  <si>
    <t>Ross Sea; climate change; sea ice; ecosystem; mixed layer</t>
  </si>
  <si>
    <t>SOUTHERN-OCEAN; ANTARCTIC PENINSULA; CLIMATE-CHANGE; VARIABILITY; CIRCULATION; SENSITIVITY; MODELS; SHELF</t>
  </si>
  <si>
    <t>The Ross Sea is critically important in regulating Antarctic sea ice and is biologically productive, which makes changes in the region's physical environment of global concern. We examined the effects of projected changes in atmospheric temperatures and winds on aspects of the ocean circulation likely important to primary production using a high-resolution sea ice-ocean-ice shelf model of the Ross Sea. The modeled summer sea-ice concentrations decreased by 56% by 2050 and 78% by 2100. The duration of shallow mixed layers over the continental shelf increased by 8.5 and 19.2days in 2050 and 2100, and the mean summer mixed layer depths decreased by 12 and 44%. These results suggest that the annual phytoplankton production in the future will increase and become more diatomaceous. Other components of the Ross Sea food web will likely be severely disrupted, creating significant but unpredictable impacts on the ocean's most pristine ecosystem. Key Points Ross Sea will be modified in ice-free duration and summer ice concentrations Modeled summer mixed layers decreased by 26 and 46% in 50 and 100 years The food web will undergo severe disruptions in the coming century</t>
  </si>
  <si>
    <t>[Smith, Walker O., Jr.] Virginia Inst Marine Sci, Coll William &amp; Mary, Gloucester Point, VA 23062 USA; [Dinniman, Michael S.; Hofmann, Eileen E.; Klinck, John M.] Old Dominion Univ, Ctr Coastal Phys Oceanog, Norfolk, VA USA</t>
  </si>
  <si>
    <t>William &amp; Mary; Virginia Institute of Marine Science; Old Dominion University</t>
  </si>
  <si>
    <t>Smith, WO (corresponding author), Virginia Inst Marine Sci, Coll William &amp; Mary, Gloucester Point, VA 23062 USA.</t>
  </si>
  <si>
    <t>wos@vims.edu</t>
  </si>
  <si>
    <t>Klinck, John/0000-0003-4312-5201; Dinniman, Michael/0000-0001-7519-9278</t>
  </si>
  <si>
    <t>National Science Foundation [ANT-0944254, ANT-0838948, OCE-0927797]; Directorate For Geosciences; Division Of Ocean Sciences [0927797] Funding Source: National Science Foundation; Directorate For Geosciences; Office of Polar Programs (OPP) [0944254] Funding Source: National Science Foundation; Office of Polar Programs (OPP); Directorate For Geosciences [0944174] Funding Source: National Science Foundation</t>
  </si>
  <si>
    <t>National Science Foundation(National Science Foundation (NSF)); Directorate For Geosciences; Division Of Ocean Sciences(National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</si>
  <si>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The authors were supported by the National Science Foundation grants ANT-0944254, ANT-0838948, and OCE-0927797. This is VIMS contribution number 3355.</t>
  </si>
  <si>
    <t>10.1002/2014GL059311</t>
  </si>
  <si>
    <t>WOS:000333578800038</t>
  </si>
  <si>
    <t>van Wijk, EM; Rintoul, SR</t>
  </si>
  <si>
    <t>van Wijk, Esmee M.; Rintoul, Stephen R.</t>
  </si>
  <si>
    <t>Freshening drives contraction of Antarctic Bottom Water in the Australian Antarctic Basin</t>
  </si>
  <si>
    <t>Antarctic Bottom Water; Australian Antarctic Basin; freshening; water mass change; oxygen; density changes</t>
  </si>
  <si>
    <t>SEA-LEVEL RISE; SOUTHERN-OCEAN; INDIAN-OCEAN; GLOBAL HEAT; ROSS SEA; ABYSSAL; DEEP; CIRCULATION; PACIFIC; BUDGETS</t>
  </si>
  <si>
    <t>Antarctic Bottom Water (AABW) in the Australian Antarctic Basin has become fresher and lighter since the late 1960s, with largest changes observed near the sources of AABW. The volume of AABW with neutral density ((n))&gt;28.30kgm(-3) decreased by 50% between 1969-1971 and 2008-2012, thinning at a rate of &gt;100m per decade. Contraction of dense AABW was balanced primarily by expansion of water lighter than (n)=28.15kgm(-3) prior to 1995 and by inflation of less dense classes of AABW after 1995. Oxygen concentrations remained unchanged in the densest AABW and increased on neutral surfaces for AABW with (n)&gt;28.31kgm(-3), between 1995 and 2011-2012, consistent with continued ventilation over this time period. The observed changes in potential temperature, salinity, density, volume, and oxygen of AABW can be accounted for by freshening of the source waters but cannot be explained by changes in formation rate alone. Key Points Freshening drives contraction of Antarctic Bottom Water (AABW) AABW has contracted by about 50% and thinned more than 100 m per decade since 1970 Small increase in oxygen on isopycnals suggests continued ventilation of AABW</t>
  </si>
  <si>
    <t>[van Wijk, Esmee M.] CSIRO Marine &amp; Atmospher Res, Hobart, Tas, Australia; [Rintoul, Stephen R.] CSIRO Wealth Oceans Natl Res Flagship, Hobart, Tas, Australia; [Rintoul, Stephen R.] Ctr Australian Weather &amp; Climate Res, Hobart, Tas, Australia; [Rintoul, Stephen R.] Univ Tasmania, Antarctic Climate &amp; Ecosyst Cooperat Res Ctr, Hobart, Tas, Australia</t>
  </si>
  <si>
    <t>Commonwealth Scientific &amp; Industrial Research Organisation (CSIRO); Commonwealth Scientific &amp; Industrial Research Organisation (CSIRO); Commonwealth Scientific &amp; Industrial Research Organisation (CSIRO); Antarctic Climate &amp; Ecosystems Cooperative Research Centre (ACE CRC); University of Tasmania</t>
  </si>
  <si>
    <t>van Wijk, EM (corresponding author), CSIRO Marine &amp; Atmospher Res, Hobart, Tas, Australia.</t>
  </si>
  <si>
    <t>Esmee.vanwijk@csiro.au</t>
  </si>
  <si>
    <t>van Wijk, Esmee/AAB-2451-2020; Rintoul, Stephen R/A-1471-2012</t>
  </si>
  <si>
    <t>van Wijk, Esmee/0000-0002-9375-4383; Rintoul, Stephen R/0000-0002-7055-9876</t>
  </si>
  <si>
    <t>Australian Government's Cooperative Research Centres Program through the Antarctic Climate and Ecosystems Cooperative Research Centre; Department of Climate Change and Energy Efficiency through the Australian Climate Change Science Program</t>
  </si>
  <si>
    <t>Australian Government's Cooperative Research Centres Program through the Antarctic Climate and Ecosystems Cooperative Research Centre(Australian GovernmentDepartment of Industry, Innovation and ScienceCooperative Research Centres (CRC) Programme); Department of Climate Change and Energy Efficiency through the Australian Climate Change Science Program</t>
  </si>
  <si>
    <t>This work was supported by the Australian Government's Cooperative Research Centres Program through the Antarctic Climate and Ecosystems Cooperative Research Centre and by the Department of Climate Change and Energy Efficiency through the Australian Climate Change Science Program. We thank the scientists and crew of the research voyages for collecting the data used in this study, Louise Bell for assistance with figures, and the reviewers whose helpful comments improved this paper.</t>
  </si>
  <si>
    <t>10.1002/2013GL058921</t>
  </si>
  <si>
    <t>WOS:000333578800043</t>
  </si>
  <si>
    <t>Crook, JA; Forster, PM</t>
  </si>
  <si>
    <t>Crook, J. A.; Forster, P. M.</t>
  </si>
  <si>
    <t>Comparison of surface albedo feedback in climate models and observations</t>
  </si>
  <si>
    <t>surface albedo feedback; climate change</t>
  </si>
  <si>
    <t>GREENHOUSE-PLUS FEEDBACK; POLAR PATHFINDER DATASET; ARCTIC CLIMATE; PART II; AMPLIFICATION; CLOUD; CONFIGURATION; ERA</t>
  </si>
  <si>
    <t>Snow and ice albedo feedback plays an important role in the greater warming of the Arctic compared to the tropics. Previous work has estimated the observed Northern Hemisphere cryosphere feedback, but there have been no estimates of surface albedo feedback from observations globally. Here we compare the zonal mean surface albedo feedback from satellite data sets with that from eleven ocean-atmosphere coupled climate models for both climate change and the seasonal cycle. Differences between observed data sets make it difficult to constrain models. Nevertheless, we find that climate change Northern Hemisphere extratropical feedback is considerably higher for observations (potentially 3.11.3Wm(-2)K(-1)) than models (0.4-1.2Wm(-2)K(-1)), whereas the seasonal cycle feedback is similar in observations and models, casting doubt on the ability of the seasonal cycle to accurately predict the climate change feedback. Observed Antarctic sea ice feedback is strongly positive in the seasonal cycle and similar to models.</t>
  </si>
  <si>
    <t>[Crook, J. A.; Forster, P. M.] Univ Leeds, Sch Earth &amp; Environm, Leeds, W Yorkshire, England</t>
  </si>
  <si>
    <t>University of Leeds</t>
  </si>
  <si>
    <t>Crook, JA (corresponding author), Univ Leeds, Sch Earth &amp; Environm, Leeds, W Yorkshire, England.</t>
  </si>
  <si>
    <t>J.A.Crook@leeds.ac.uk</t>
  </si>
  <si>
    <t>Crook, Julia/AFY-7727-2022; Forster, Piers/F-9829-2010</t>
  </si>
  <si>
    <t>Forster, Piers/0000-0002-6078-0171; Crook, Julia/0000-0003-1724-1479</t>
  </si>
  <si>
    <t>NERC [NE/E016189/1]; Royal Society; [EP/I014721/1: IAGP]; Engineering and Physical Sciences Research Council [EP/I014721/1] Funding Source: researchfish; Natural Environment Research Council [NE/E016189/1] Funding Source: researchfish; EPSRC [EP/I014721/1] Funding Source: UKRI; NERC [NE/E016189/1] Funding Source: UKRI</t>
  </si>
  <si>
    <t>NERC(UK Research &amp; Innovation (UKRI)Natural Environment Research Council (NERC)); Royal Society(Royal Society); ; 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</si>
  <si>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We thank Mark Flanner (Department of Atmospheric, Oceanic, and Space Sciences, University of Michigan, USA) for his re-gridded MODIS albedo data. We acknowledge the modeling groups, the Program for Climate Model Diagnosis and Intercomparison (PCMDI), and the WCRP's Working Group on Coupled Modeling (WGCM) for their roles in making available the WCRP CMIP3 multi-model data set. Support of this data set is provided by the Office of Science, U.S. Department of Energy. We also acknowledge the following centers for provision of their data sets: CRU, University of East Anglia for the HadCRUT3 and Absolute data sets, the European Centre for Medium-Range Weather Forecasts (ECMWF) for the ERA-40 and Interim temperature reanalyses which have been obtained from the ECMWF Data Server, the International Satellite Cloud Climatology Program for the ISCCP albedo data held by NASA Goddard Institute for Space Studies, NASA for the MODIS albedo data products, and the Space Science and Engineering Centre, University of Wisconsin for the use of the APP-x albedo data. This work was funded by NERC grant NE/E016189/1, An Observationally-Based Quantification of Climate Feedbacks. JAC was latterly funded by grant EP/I014721/1: IAGP, and PMF was supported by a Royal Society Wolfson merit award.</t>
  </si>
  <si>
    <t>10.1002/2014GL059280</t>
  </si>
  <si>
    <t>WOS:000333578800051</t>
  </si>
  <si>
    <t>Weihaupt, JG; Chambers, FB; van der Hoeven, FG; Lorius, C</t>
  </si>
  <si>
    <t>Weihaupt, John G.; Chambers, Frederick B.; van der Hoeven, Frans G.; Lorius, Claude</t>
  </si>
  <si>
    <t>Impact crater morphology: The origin of the Mertz and Ninnis Glaciers, Antarctica</t>
  </si>
  <si>
    <t>GEOMORPHOLOGY</t>
  </si>
  <si>
    <t>Glaciers; Ice sheets; Wilkes Land Anomaly; Topographic steering; Impact crater</t>
  </si>
  <si>
    <t>ICE-SHEET; CONTINENTAL-MARGIN; WILKES LAND; BENEATH; ANOMALIES; HISTORY; SURFACE; FLOW</t>
  </si>
  <si>
    <t>East Antarctica, like West Antarctica, poses several questions about its geologic, geomorphic, and glaciologic history. Among these are questions regarding the origins of the Wilkes Subglacial Basin, the Gamburtsev Mountains, the Wilkes Land Anomaly, subglacial lakes, subglacial topography, and the enigmatic Mertz and Ninnis Glaciers. Located immediately inland of George V Coast at the northern extremity of the Wilkes Subglacial Basin, the Mertz and Ninnis Glaciers display characteristics that have posed questions of their sizes, their accompanying subglacial topography, their existence in tandem within the continental ice sheet and their extensions as glacier tongues offshore in the Southern Ocean. The present study examines in particular the underlying craterform morphology as the potential explanation for these several features based upon surveys of the subglacial topography, which include ground-based geophysical survey, airborne radiosound survey, airborne geophysical survey, and satellite remote sensing of the geomorphology beneath the continental ice sheet. On the basis of these investigations, we propose that the Mertz and Ninnis Glaciers are the result of parallel channelizing subglacial valleys and that the entire Mertz and Ninnis Glacier complex is a function of meteorite crater morphology beneath the East Antarctic continental ice sheet. (C) 2014 Elsevier B.V. All rights reserved.</t>
  </si>
  <si>
    <t>[Weihaupt, John G.] Univ Colorado, Dept Geol, Denver, CO 80217 USA; [Chambers, Frederick B.] Univ Colorado, Dept Geog &amp; Environm Sci, Denver, CO 80217 USA; [van der Hoeven, Frans G.] Delft Univ Technol, Dept Geophys, Delft, Netherlands; [Lorius, Claude] Lab Glaciol &amp; Geophys Environm, F-38402 St Martin Dheres, France</t>
  </si>
  <si>
    <t>University of Colorado System; University of Colorado Denver; University of Colorado System; University of Colorado Denver; Delft University of Technology</t>
  </si>
  <si>
    <t>Weihaupt, JG (corresponding author), Univ Colorado, Dept Geol, Denver, CO 80217 USA.</t>
  </si>
  <si>
    <t>john.weihaupt@ucdenver.edu</t>
  </si>
  <si>
    <t>Chambers, Frederick/AAD-2301-2021</t>
  </si>
  <si>
    <t>U.S. National Science Foundation; Arctic Institute of North America; University of Colorado; Delft Technical University; Laboratoire de Glaciologie et Geophysique de Environment; University of Wisconsin</t>
  </si>
  <si>
    <t>U.S. National Science Foundation(National Science Foundation (NSF)); Arctic Institute of North America; University of Colorado; Delft Technical University; Laboratoire de Glaciologie et Geophysique de Environment; University of Wisconsin</t>
  </si>
  <si>
    <t>The authors wish to express their appreciation first to other colleagues of the U.S. Victoria Land Traverse who assisted in the field, viz., A.W. Stuart, W.M. Smith, AJ. Heine, L Roberts, A. Taylor, T. Baldwin, and W. Jackman. We wish to thank also colleagues who read the paper and provided valuable and very helpful suggestions, including R. Marston. We wish to thank the U.S. National Science Foundation, the Arctic Institute of North America, the University of Colorado, Delft Technical University, Laboratoire de Glaciologie et Geophysique de Environment, and the University of Wisconsin for administrative and financial support.</t>
  </si>
  <si>
    <t>0169-555X</t>
  </si>
  <si>
    <t>1872-695X</t>
  </si>
  <si>
    <t>Geomorphology</t>
  </si>
  <si>
    <t>MAR 15</t>
  </si>
  <si>
    <t>10.1016/j.geomorph.2013.11.031</t>
  </si>
  <si>
    <t>AC1OD</t>
  </si>
  <si>
    <t>WOS:000332265000010</t>
  </si>
  <si>
    <t>Mendes, MCD; Cavalcanti, IFA</t>
  </si>
  <si>
    <t>Damiao Mendes, Monica Cristina; Albuquerque Cavalcanti, Iracema Fonseca</t>
  </si>
  <si>
    <t>The relationship between the Antarctic oscillation and blocking events over the South Pacific and Atlantic Oceans</t>
  </si>
  <si>
    <t>INTERNATIONAL JOURNAL OF CLIMATOLOGY</t>
  </si>
  <si>
    <t>blocking events; Antarctic Oscillation; Southern Hemisphere</t>
  </si>
  <si>
    <t>HEMISPHERE BLOCKING; OBSERVATIONAL DATA; AUSTRAL SUMMER; VARIABILITY; CIRCULATION; ANOMALIES; ANTICYCLONES; TEMPERATURE; CLIMATOLOGY; FREQUENCY</t>
  </si>
  <si>
    <t>It is known that blocking events have impacts on the behaviour of transient systems and affect the weather in southern continental regions of the Southern Hemisphere. Since the main mode of variability in Southern Hemisphere, the annular mode, or Antarctic Oscillation (AAO), changes the extratropical atmospheric circulation, the blocking characteristics over Pacific and Atlantic Oceans are analysed in this study, in terms of the two opposing phases of the AAO. The characteristics of atmospheric flow patterns and blocking events are analysed as a function of season during the period 1979-2000. The relative frequency of blocked days is different for each AAO phase. Maximum duration and number of events over the Southwestern Pacific and South Atlantic regions occur in the positive phase, while the blocking activity over the Southeastern Pacific region is similar in the two phases but the persistence is higher in the negative phase. The atmospheric anomalous centres associated with middle latitude and polar AAO signals, as well as the behaviour of subtropical and polar jets are discussed in relation to the blocking characteristics. Convection over South America is analysed for blocking periods in each AAO phase and is discussed based on anomalous circulation in each phase. Wavetrain patterns over the South Pacific and variations in intensity of jet streams induce anomalous circulation over South America, which are associated with the track and persistence of transient systems over Southeastern South America and with convection over the continent.</t>
  </si>
  <si>
    <t>[Damiao Mendes, Monica Cristina; Albuquerque Cavalcanti, Iracema Fonseca] Natl Inst Space Res CPTEC INPE, Ctr Weather Forecasting &amp; Climate Studies, Sao Paulo, Brazil</t>
  </si>
  <si>
    <t>Instituto Nacional de Pesquisas Espaciais (INPE)</t>
  </si>
  <si>
    <t>Mendes, MCD (corresponding author), Inst Nacl Pesquisas Espaciais, Ctr Previsao Tempo &amp; Estudos Climat, Rodovia Presidente Dutra,SN Km 40, BR-12630000 Sao Paulo, Brazil.</t>
  </si>
  <si>
    <t>monica.damiao@gmail.com.br; iracema@cptec.inpe.br</t>
  </si>
  <si>
    <t>de albuquerque cavalcanti, iracema fonseca/AAB-1259-2021</t>
  </si>
  <si>
    <t>FAPESP [08/53662-2]; CNPq; CLARIS-LPB</t>
  </si>
  <si>
    <t>FAPESP(Fundacao de Amparo a Pesquisa do Estado de Sao Paulo (FAPESP)); CNPq(Conselho Nacional de Desenvolvimento Cientifico e Tecnologico (CNPQ)); CLARIS-LPB</t>
  </si>
  <si>
    <t>This work was supported by FAPESP through the project Influence of Antarctica Oscillation on atmospheric blockings and projections for future scenarios (08/53662-2). We thank NCEP/NOAA (National Centers for Environmental Prediction) for OLR data and AAO and ENSO information. Thanks also to ECMWF (European Centre for Medium Range Weather Forecasts) for providing the reanalysis data. IFAC acknowledges CNPq and CLARIS-LPB for research support. We are grateful to the reviewers for their comments, which contributed to the improvement of the manuscript.</t>
  </si>
  <si>
    <t>0899-8418</t>
  </si>
  <si>
    <t>1097-0088</t>
  </si>
  <si>
    <t>INT J CLIMATOL</t>
  </si>
  <si>
    <t>Int. J. Climatol.</t>
  </si>
  <si>
    <t>10.1002/joc.3729</t>
  </si>
  <si>
    <t>AB9EK</t>
  </si>
  <si>
    <t>WOS:000332092900001</t>
  </si>
  <si>
    <t>Keeley, NB; Macleod, CK; Hopkins, GA; Forrest, BM</t>
  </si>
  <si>
    <t>Keeley, Nigel B.; Macleod, Catriona K.; Hopkins, Grant A.; Forrest, Barrie M.</t>
  </si>
  <si>
    <t>Spatial and temporal dynamics in macrobenthos during recovery from salmon farm induced organic enrichment: When is recovery complete?</t>
  </si>
  <si>
    <t>MARINE POLLUTION BULLETIN</t>
  </si>
  <si>
    <t>Benthic ecology; Fallowing; Aquaculture; Remediation; Parallelism; BACI</t>
  </si>
  <si>
    <t>SOFT-BOTTOM BENTHOS; LONG-TERM RECOVERY; ENVIRONMENTAL IMPACTS; BRITISH-COLUMBIA; FISH; COMMUNITY; SUCCESSION; ESTUARINE; BACI; REMEDIATION</t>
  </si>
  <si>
    <t>This study documents eight years of benthic recovery at a highly impacted salmon farm. Substantial recovery occurred in the first 2 years, and was assessed to be complete after similar to 5 years. However, minor differences were still evident, along with some on-going benthic instability, attributable to medium-scale spatial movements and successional patterns of macrobenthos. Quantifying the endpoint of 'recovery' proved challenging due to: lack of a widely accepted definition, inherent variability in recovering sedi-ments, differing trajectories of impact and reference sites, and statistical challenges. More complex biotic indices and metrics incorporating multiple variables were the most robust indicators. Statistical tests for 'parallelism' in the trajectories of Cage and Reference sites proved useful, but results were contingent upon how the method was applied, and should therefore be used in conjunction with data-visualisation methods. The study highlights the importance of a predetermined recovery endpoint, and using multiple indicators and a weight-of-evidence assessment approach. (C) 2013 Elsevier Ltd. All rights reserved.</t>
  </si>
  <si>
    <t>[Keeley, Nigel B.; Hopkins, Grant A.; Forrest, Barrie M.] Cawthron Inst, Nelson 7010, New Zealand; [Keeley, Nigel B.; Macleod, Catriona K.] Univ Tasmania, Tasmanian Aquaculture &amp; Fisheries Inst, Taroona, Tas, Australia</t>
  </si>
  <si>
    <t>Cawthron Institute; University of Tasmania</t>
  </si>
  <si>
    <t>Keeley, NB (corresponding author), Cawthron Inst, Nelson 7010, New Zealand.</t>
  </si>
  <si>
    <t>nigel.keeley@cawthron.org.nz</t>
  </si>
  <si>
    <t>Macleod, Catriona/J-7176-2014</t>
  </si>
  <si>
    <t>Macleod, Catriona/0000-0002-0539-6361</t>
  </si>
  <si>
    <t>Cawthron Institute (Nelson, New Zealand); internal investment funding (IIF); Institute of Marine and Antarctic Sciences (IMAS), University of Tasmania; New Zealand King Salmon Company Ltd</t>
  </si>
  <si>
    <t>This research was made possible through internal investment funding (IIF) from the Cawthron Institute (Nelson, New Zealand); additional support from Institute of Marine and Antarctic Sciences (IMAS), University of Tasmania; and from the New Zealand King Salmon Company Ltd, who kindly made available much of the source data. As the study was conducted over an eight year timeframe, several people have been involved in the collection of the data and the maintenance of the program, including Dr Stephen Brown, Murray Clark, Reid Forrest and Dr Robyn Dunmore. Taxonomic analysis was undertaken by Rod Asher, Bill Nikkei and Fiona Gower, also of the Cawthron Institute. Valuable statistical advice was provided by Dr Elena leno (Highland Statistics Ltd, Scotland) and Associate Professor Marti Anderson (University of Auckland, New Zealand).</t>
  </si>
  <si>
    <t>0025-326X</t>
  </si>
  <si>
    <t>1879-3363</t>
  </si>
  <si>
    <t>MAR POLLUT BULL</t>
  </si>
  <si>
    <t>Mar. Pollut. Bull.</t>
  </si>
  <si>
    <t>10.1016/j.marpolbul.2013.12.008</t>
  </si>
  <si>
    <t>Environmental Sciences; Marine &amp; Freshwater Biology</t>
  </si>
  <si>
    <t>Environmental Sciences &amp; Ecology; Marine &amp; Freshwater Biology</t>
  </si>
  <si>
    <t>AE4IQ</t>
  </si>
  <si>
    <t>WOS:000333946500040</t>
  </si>
  <si>
    <t>Bates, SL; Siddall, M; Waelbroeck, C</t>
  </si>
  <si>
    <t>Bates, Stephanie L.; Siddall, Mark; Waelbroeck, Claire</t>
  </si>
  <si>
    <t>Hydrographic variations in deep ocean temperature over the mid-Pleistocene transition</t>
  </si>
  <si>
    <t>Mid-Pleistocene transition; Benthic oxygen isotopes; Sea level; Deep ocean temperature; Ocean circulation</t>
  </si>
  <si>
    <t>ANTARCTIC ICE-SHEET; FORAMINIFERAL MG/CA-PALEOTHERMOMETRY; MIDDLE PLEISTOCENE TRANSITION; OXYGEN-ISOTOPE ANALYSES; SOUTHERN-OCEAN; GLACIAL CYCLES; SEA-LEVEL; VOLUME CHANGES; WATER TEMPERATURE; CARBON-ISOTOPE</t>
  </si>
  <si>
    <t>During the mid-Pleistocene transition the dominant 41 ka periodicity of glacial cycles transitioned to a quasi-100 ka periodicity for reasons not yet known. This study investigates the potential role of deep ocean hydrography by examining oxygen isotope ratios in benthic foraminifera. Oxygen isotope records from the Atlantic, Pacific and Indian Ocean basins are separated into their ice volume and local temperature/hydrography components using a piece-wise linear transfer function and a temperature calibration. Although our method has certain limitations, the deep ocean hydrography reconstructions show that glacial deep ocean temperatures approached freezing point as the mid-Pleistocene transition progressed. Further analysis suggests that water mass reorganisation could have been responsible for these temperature changes, leading to such stable conditions in the deep ocean that some obliquity cycles were skipped until precessional forcing triggered deglaciation, creating the apparent quasi-100 ka pattern. This study supports previous work that suggests multiples of obliquity cycles dominate the quasi-100 ka glacial cycles with precession components driving deglaciations. (c) 2014 Elsevier Ltd. All rights reserved.</t>
  </si>
  <si>
    <t>[Bates, Stephanie L.; Siddall, Mark] Univ Bristol, Sch Earth Sci, Bristol, Avon, England; [Waelbroeck, Claire] Lab CNRS CEA UVSQ, LSCE IPSL, Gif Sur Yvette, France</t>
  </si>
  <si>
    <t>University of Bristol; Universite Paris Saclay; CEA; Centre National de la Recherche Scientifique (CNRS)</t>
  </si>
  <si>
    <t>Bates, SL (corresponding author), Cardiff Univ, Sch Earth &amp; Ocean Sci, Cardiff CF10 3AT, S Glam, Wales.</t>
  </si>
  <si>
    <t>batessl@cardiff.ac.uk</t>
  </si>
  <si>
    <t>waelbroeck, claire/0000-0002-7256-5727; Bates, Stephanie L/0000-0003-2064-6362</t>
  </si>
  <si>
    <t>University of Bristol; NERC consortium Using Inter-glacials to assess future sea level scenarios [NE/1008365/1]; Centre National de Recherche Scientifique; European Union's Seventh Framework programme [243908]; Institut National des Sciences de l'Univers; NERC [NE/I009906/1] Funding Source: UKRI; Natural Environment Research Council [NE/I009906/1] Funding Source: researchfish</t>
  </si>
  <si>
    <t>University of Bristol; NERC consortium Using Inter-glacials to assess future sea level scenarios; Centre National de Recherche Scientifique; European Union's Seventh Framework programme(European Union (EU)); Institut National des Sciences de l'Univers; NERC(UK Research &amp; Innovation (UKRI)Natural Environment Research Council (NERC)); Natural Environment Research Council(UK Research &amp; Innovation (UKRI)Natural Environment Research Council (NERC))</t>
  </si>
  <si>
    <t>Stephanie Bates and Mark Siddall acknowledge the support of the University of Bristol. Mark Siddall was supported in part by NERC consortium Using Inter-glacials to assess future sea level scenarios (NE/1008365/1). This is a contribution to the PALSEA working group. Claire Waelbroeck is supported by Centre National de Recherche Scientifique and Institut National des Sciences de l'Univers. This is Laboratoire des Sciences du Climat et de l'Environnement contribution 4900. The research leading to these results has received funding from the European Union's Seventh Framework programme (FP7/2007-2013) under grant agreement no. 243908, Past4Future. Climate change - learning from the past climate. This is Past4Future contribution no. 67. The authors would like to thank several reviewers for their comments which greatly improved the manuscript, and previous authors for making their data available without which this study would not have been possible.</t>
  </si>
  <si>
    <t>10.1016/j.quascirev.2014.01.020</t>
  </si>
  <si>
    <t>AE6FQ</t>
  </si>
  <si>
    <t>WOS:000334086400010</t>
  </si>
  <si>
    <t>Williams, R; Kelly, N; Boebel, O; Friedlaender, AS; Herr, H; Kock, KH; Lehnert, LS; Maksym, T; Roberts, J; Scheidat, M; Siebert, U; Brierley, AS</t>
  </si>
  <si>
    <t>Williams, R.; Kelly, N.; Boebel, O.; Friedlaender, A. S.; Herr, H.; Kock, K. -H.; Lehnert, L. S.; Maksym, T.; Roberts, J.; Scheidat, M.; Siebert, U.; Brierley, A. S.</t>
  </si>
  <si>
    <t>Counting whales in a challenging, changing environment</t>
  </si>
  <si>
    <t>SCIENTIFIC REPORTS</t>
  </si>
  <si>
    <t>ANTARCTIC SEA-ICE; ABUNDANCE; KRILL; ECOSYSTEM; EXTENT; SHELF</t>
  </si>
  <si>
    <t>Estimating abundance of Antarctic minke whales is central to the International Whaling Commission's conservation and management work and understanding impacts of climate change on polar marine ecosystems. Detecting abundance trends is problematic, in part because minke whales are frequently sighted within Antarctic sea ice where navigational safety concerns prevent ships from surveying. Using icebreaker-supported helicopters, we conducted aerial surveys across a gradient of ice conditions to estimate minke whale density in the Weddell Sea. The surveys revealed substantial numbers of whales inside the sea ice. The Antarctic summer sea ice is undergoing rapid regional change in annual extent, distribution, and length of ice-covered season. These trends, along with substantial interannual variability in ice conditions, affect the proportion of whales available to be counted by traditional shipboard surveys. The strong association between whales and the dynamic, changing sea ice requires reexamination of the power to detect trends in whale abundance or predict ecosystem responses to climate change.</t>
  </si>
  <si>
    <t>[Williams, R.] Univ St Andrews, Scottish Oceans Inst, Sea Mammal Res Unit, St Andrews KY16 8LB, Fife, Scotland; [Kelly, N.] CSIRO Computat Informat &amp; Wealth Oceans Flagship, Hobart, Tas 7000, Australia; [Kelly, N.] Australian Marine Mammal Ctr, Kingston, Tas 7050, Australia; [Boebel, O.] Alfred Wegener Inst, Bremerhaven, Germany; [Friedlaender, A. S.; Roberts, J.] Duke Univ, Marine Lab, Marine Geospatial Ecol Lab, Beaufort, NC 28516 USA; [Herr, H.; Lehnert, L. S.; Siebert, U.] Univ Vet Med Hannover, Inst Terr &amp; Aquat Wildlife Res, Buesum, Germany; [Kock, K. -H.] Inst Sea Fisheries, Johann Heinrich von Thunen Inst, Hamburg, Germany; [Maksym, T.] Woods Hole Oceanog Inst, Woods Hole, MA 02543 USA; [Scheidat, M.] IMARES, Inst Marine Resources &amp; Ecosyst Studies, NL-1970 AB Ijmuiden, Netherlands; [Brierley, A. S.] Univ St Andrews, Sch Biol, Scottish Oceans Inst, Pelag Ecol Res Grp, St Andrews KY16 8LB, Scotland</t>
  </si>
  <si>
    <t>University of St Andrews; Commonwealth Scientific &amp; Industrial Research Organisation (CSIRO); Helmholtz Association; Alfred Wegener Institute, Helmholtz Centre for Polar &amp; Marine Research; Duke University; University of Veterinary Medicine Hannover; Johann Heinrich von Thunen Institute; Woods Hole Oceanographic Institution; Wageningen University &amp; Research; University of St Andrews</t>
  </si>
  <si>
    <t>Williams, R (corresponding author), Univ St Andrews, Scottish Oceans Inst, Sea Mammal Res Unit, St Andrews KY16 8LB, Fife, Scotland.</t>
  </si>
  <si>
    <t>rmcw@st-andrews.ac.uk</t>
  </si>
  <si>
    <t>Herr, Helena/H-3585-2019; Herr, Helena/JAC-6808-2023; Kelly, Natalie/B-3481-2010; Lehnert, Linn/E-2941-2016; Williams, Rob/C-5882-2011; Brierley, Andrew/G-8019-2011</t>
  </si>
  <si>
    <t>Herr, Helena/0000-0002-5028-2419; Williams, Rob/0000-0001-7496-453X; Brierley, Andrew/0000-0002-6438-6892; Kelly, Nat/0000-0002-9664-354X; Scheidat, Meike/0000-0001-9702-6490</t>
  </si>
  <si>
    <t>Alfred Wegener Institute for Polar and Marine Research (AWI); Dutch Ministry of Agriculture, Nature and Food Quality (EL I); German Federal Ministry of Food, Agriculture and Consumer Protection (BMELV); German Federal Ministry for the Environment, Nature Conservation and Nuclear Safety (BMU); Institute for Marine Resources and Ecosystem Studies (Wageningen IMARES); Johann Heinrich von Thunen Institute (Federal Research Institute for Rural Areas, Forestry and Fisheries); Netherlands Polar Programme (NPP) of the Netherlands Organisation for Scientific Research (NOW); Research and Technology Centre Westcoast (FTZ) of the University Kiel; Marie Curie International Incoming Fellowship within the 7th European Community Framework Programme [253407]</t>
  </si>
  <si>
    <t>Alfred Wegener Institute for Polar and Marine Research (AWI); Dutch Ministry of Agriculture, Nature and Food Quality (EL I); German Federal Ministry of Food, Agriculture and Consumer Protection (BMELV); German Federal Ministry for the Environment, Nature Conservation and Nuclear Safety (BMU); Institute for Marine Resources and Ecosystem Studies (Wageningen IMARES); Johann Heinrich von Thunen Institute (Federal Research Institute for Rural Areas, Forestry and Fisheries); Netherlands Polar Programme (NPP) of the Netherlands Organisation for Scientific Research (NOW); Research and Technology Centre Westcoast (FTZ) of the University Kiel; Marie Curie International Incoming Fellowship within the 7th European Community Framework Programme(European Union (EU))</t>
  </si>
  <si>
    <t>The authors thank the crew, the meteorological team and especially the helicopter crew on board of the RV Polarstern for their professional work. We thank Stefan Brager, Kristina Lehnert and Hans Verdaat for their observer work and Gunnar Spreen and his colleagues for providing AMSR-E ice concentration data. The data presented here are archived with AWI. We thank David Peel, Mark Bravington and Mike Double for helpful feedback on previous versions of this manuscript, and Alana Phillips for editing and formatting of the final manuscript. This work received funding from the following institutions: Alfred Wegener Institute for Polar and Marine Research (AWI); Dutch Ministry of Agriculture, Nature and Food Quality (EL &amp; I); German Federal Ministry of Food, Agriculture and Consumer Protection (BMELV); German Federal Ministry for the Environment, Nature Conservation and Nuclear Safety (BMU); the Institute for Marine Resources and Ecosystem Studies (Wageningen IMARES); Johann Heinrich von Thunen Institute (Federal Research Institute for Rural Areas, Forestry and Fisheries); the Netherlands Polar Programme (NPP) of the Netherlands Organisation for Scientific Research (NOW); Research and Technology Centre Westcoast (FTZ) of the University Kiel. RW was funded by a Marie Curie International Incoming Fellowship within the 7th European Community Framework Programme (proposal No 253407 (call reference: FP7-PEOPLE-2009-IIF).</t>
  </si>
  <si>
    <t>NATURE PORTFOLIO</t>
  </si>
  <si>
    <t>BERLIN</t>
  </si>
  <si>
    <t>HEIDELBERGER PLATZ 3, BERLIN, 14197, GERMANY</t>
  </si>
  <si>
    <t>2045-2322</t>
  </si>
  <si>
    <t>SCI REP-UK</t>
  </si>
  <si>
    <t>Sci Rep</t>
  </si>
  <si>
    <t>MAR 13</t>
  </si>
  <si>
    <t>10.1038/srep04170</t>
  </si>
  <si>
    <t>AC7NE</t>
  </si>
  <si>
    <t>WOS:000332715600001</t>
  </si>
  <si>
    <t>Lyver, PO; Barron, M; Barton, KJ; Ainley, DG; Pollard, A; Gordon, S; McNeill, S; Ballard, G; Wilson, PR</t>
  </si>
  <si>
    <t>Lyver, Phil O'B.; Barron, Mandy; Barton, Kerry J.; Ainley, David G.; Pollard, Annie; Gordon, Shulamit; McNeill, Stephen; Ballard, Grant; Wilson, Peter R.</t>
  </si>
  <si>
    <t>Trends in the Breeding Population of Adelie Penguins in the Ross Sea, 1981-2012: A Coincidence of Climate and Resource Extraction Effects</t>
  </si>
  <si>
    <t>PACIFIC SECTOR; SOUTHERN-OCEAN; ANTARCTICA; ECOSYSTEMS; COLONIES; IMPACTS; BIOMASS; SIZE</t>
  </si>
  <si>
    <t>Measurements of the size of Adelie penguin (Pygoscelis adeliae) colonies of the southern Ross Sea are among the longest biologic time series in the Antarctic. We present an assessment of recent annual variation and trends in abundance and growth rates of these colonies, adding to the published record not updated for more than two decades. High angle oblique aerial photographic surveys of colonies were acquired and penguins counted for the breeding seasons 1981-2012. In the last four years the numbers of Adelie penguins in the Ross and Beaufort Island colonies (southern Ross Sea metapopulation) reached their highest levels since aerial counts began in 1981. Results indicated that 855,625 pairs of Adelie penguins established breeding territories in the western Ross Sea, with just over a quarter (28%) of those in the southern portion, constituting a semi-isolated metapopulation (three colonies on Ross Island, one on nearby Beaufort Island). The southern population had a negative per capita growth rate of -0.019 during 1981-2000, followed by a positive per capita growth rate of 0.067 for 2001-2012. Colony growth rates for this metapopulation showed striking synchrony through time, indicating that large-scale factors influenced their annual growth. In contrast to the increased colony sizes in the southern population, the patterns of change among colonies of the northern Ross Sea were difficult to characterize. Trends were similar to southern colonies until the mid-1990s, after which the signal was lost owing to significantly reduced frequency of surveys. Both climate factors and recovery of whale populations likely played roles in the trends among southern colonies until 2000, after which depletion of another trophic competitor, the Antarctic toothfish (Dissostichus mawsoni), may explain the sharp increasing trend evident since then.</t>
  </si>
  <si>
    <t>[Lyver, Phil O'B.; Barron, Mandy; McNeill, Stephen] Landcare Res, Lincoln, New Zealand; [Barton, Kerry J.] Bartonk Solut, Nelson, New Zealand; [Ainley, David G.; Pollard, Annie] HT Harvey &amp; Associates Ecol Consultants, Los Gatos, CA USA; [Gordon, Shulamit] Antarctica New Zealand, Christchurch, New Zealand; [Ballard, Grant] Point Blue Conservat Sci, Petaluma, CA USA</t>
  </si>
  <si>
    <t>Landcare Research - New Zealand</t>
  </si>
  <si>
    <t>Lyver, PO (corresponding author), Landcare Res, Lincoln, New Zealand.</t>
  </si>
  <si>
    <t>lyverp@landcareresearch.co.nz</t>
  </si>
  <si>
    <t>McNeill, Stephen JE/A-9939-2008</t>
  </si>
  <si>
    <t>McNeill, Stephen JE/0000-0003-1288-4387</t>
  </si>
  <si>
    <t>New Zealand's Foundation for Research, Science and Technology grants [C09527, C09X0510]; Ministry of Science and Innovation project [C01X1001, CONT-21216-BKBN]; National Science Foundation [OPP 0944411]; Office of Polar Programs (OPP); Directorate For Geosciences [0944141] Funding Source: National Science Foundation</t>
  </si>
  <si>
    <t>New Zealand's Foundation for Research, Science and Technology grants; Ministry of Science and Innovation project; National Science Foundation(National Science Foundation (NSF)); Office of Polar Programs (OPP); Directorate For Geosciences(National Science Foundation (NSF)NSF - Directorate for Geosciences (GEO))</t>
  </si>
  <si>
    <t>This work was primarily funded by New Zealand's Foundation for Research, Science and Technology grants (C09527; C09X0510) and Ministry of Science and Innovation project (C01X1001; CONT-21216-BKBN). Funding for DA, AP, and GB came from the National Science Foundation (OPP 0944411). The funders had no role in study design, data collection and analysis, decision to publish, or preparation of the manuscript.</t>
  </si>
  <si>
    <t>MAR 12</t>
  </si>
  <si>
    <t>e91188</t>
  </si>
  <si>
    <t>10.1371/journal.pone.0091188</t>
  </si>
  <si>
    <t>AC9HN</t>
  </si>
  <si>
    <t>gold, Green Submitted, Green Published</t>
  </si>
  <si>
    <t>WOS:000332845300058</t>
  </si>
  <si>
    <t>Hoffman, JI; Simpson, F; David, P; Rijks, JM; Kuiken, T; Thorne, MAS; Lacy, RC; Dasmahapatra, KK</t>
  </si>
  <si>
    <t>Hoffman, Joseph I.; Simpson, Fraser; David, Patrice; Rijks, Jolianne M.; Kuiken, Thijs; Thorne, Michael A. S.; Lacy, Robert C.; Dasmahapatra, Kanchon K.</t>
  </si>
  <si>
    <t>High-throughput sequencing reveals inbreeding depression in a natural population</t>
  </si>
  <si>
    <t>PROCEEDINGS OF THE NATIONAL ACADEMY OF SCIENCES OF THE UNITED STATES OF AMERICA</t>
  </si>
  <si>
    <t>inbreeding; genetic variability; heterozygosity fitness correlation; single nucleotide polymorphism; RAD sequencing</t>
  </si>
  <si>
    <t>HETEROZYGOSITY-FITNESS CORRELATIONS; GENETIC-VARIATION; WILD; SUCCESS; LOCI; SIZE</t>
  </si>
  <si>
    <t>Proxy measures of genome-wide heterozygosity based on approximately 10 microsatellites have been used to uncover heterozygosity fitness correlations (HFCs) for a wealth of important fitness traits in natural populations. However, effect sizes are typically very small and the underlying mechanisms remain contentious, as a handful of markers usually provides little power to detect inbreeding. We therefore used restriction site associated DNA (RAD) sequencing to accurately estimate genome-wide heterozygosity, an approach transferrable to any organism. As a proof of concept, we first RAD sequenced oldfield mice (Peromyscus polionotus) from a known pedigree, finding strong concordance between the inbreeding coefficient and heterozygosity measured at 13,198 single-nucleotide polymorphisms (SNPs). When applied to a natural population of harbor seals (Phoca vitulina), a weak HFC for parasite infection based on 27 microsatellites strengthened considerably with 14,585 SNPs, the deviance explained by heterozygosity increasing almost fivefold to a remarkable 49%. These findings arguably provide the strongest evidence to date of an HFC being due to inbreeding depression in a natural population lacking a pedigree. They also suggest that under some circumstances heterozygosity may explain far more variation in fitness than previously envisaged.</t>
  </si>
  <si>
    <t>[Hoffman, Joseph I.] Univ Bielefeld, Dept Anim Behav, D-33501 Bielefeld, Germany; [Simpson, Fraser] UCL, Dept Genet Evolut &amp; Environm, London WC1E 6BT, England; [David, Patrice] CNRS, Ctr Ecol Fonct &amp; Evolut, F-34293 Montpellier, France; [Rijks, Jolianne M.] Univ Utrecht, Fac Vet Med, Dept Pathobiol, Dutch Wildlife Hlth Ctr,Pathol Div, NL-3584 CL Utrecht, Netherlands; [Kuiken, Thijs] Erasmus Univ, Med Ctr, Dept Virosci, NL-3000 CA Rotterdam, Netherlands; [Thorne, Michael A. S.] British Antarctic Survey, Nat Environm Res Council, Cambridge CB3 OET, England; [Lacy, Robert C.] Chicago Zool Soc, Dept Conservat Sci, Brookfield, IL 60513 USA; [Dasmahapatra, Kanchon K.] Univ York, Dept Biol, York YO10 5DD, N Yorkshire, England</t>
  </si>
  <si>
    <t>University of Bielefeld; University of London; University College London; Universite PSL; Ecole Pratique des Hautes Etudes (EPHE); Institut Agro; Montpellier SupAgro; CIRAD; Centre National de la Recherche Scientifique (CNRS); Institut de Recherche pour le Developpement (IRD); Universite Paul-Valery; Universite de Montpellier; Utrecht University; Erasmus University Rotterdam; Erasmus MC; UK Research &amp; Innovation (UKRI); Natural Environment Research Council (NERC); NERC British Antarctic Survey; University of York - UK</t>
  </si>
  <si>
    <t>Hoffman, JI (corresponding author), Univ Bielefeld, Dept Anim Behav, D-33501 Bielefeld, Germany.</t>
  </si>
  <si>
    <t>joseph.hoffman@uni-bielefeld.de</t>
  </si>
  <si>
    <t>Dasmahapatra, Kanchon/AAT-3179-2021; Hoffman, Joseph/K-7725-2012</t>
  </si>
  <si>
    <t>Thorne, Michael/0000-0001-7759-612X; Kuiken, Thijs/0000-0001-5501-9049; Hoffman, Joseph/0000-0001-5895-8949; Dasmahapatra, Kanchon Kumar/0000-0002-2840-7019</t>
  </si>
  <si>
    <t>European Community [PCIG-GA-2011-303618]; Deutsche Forschungsgemeinschaft; Biotechnology and Biological Sciences Research Council [BB/G006903/1]; BBSRC [BB/G006903/1] Funding Source: UKRI; NERC [bas0100025] Funding Source: UKRI; Biotechnology and Biological Sciences Research Council [BB/G006903/1] Funding Source: researchfish; Natural Environment Research Council [bas0100025] Funding Source: researchfish</t>
  </si>
  <si>
    <t>European Community; Deutsche Forschungsgemeinschaft(German Research Foundation (DFG)); Biotechnology and Biological Sciences Research Council(UK Research &amp; Innovation (UKRI)Biotechnology and Biological Sciences Research Council (BBSRC)); BBSRC(UK Research &amp; Innovation (UKRI)Biotechnology and Biological Sciences Research Council (BBSRC)); NERC(UK Research &amp; Innovation (UKRI)Natural Environment Research Council (NERC)); Biotechnology and Biological Sciences Research Council(UK Research &amp; Innovation (UKRI)Biotechnology and Biological Sciences Research Council (BBSRC)); Natural Environment Research Council(UK Research &amp; Innovation (UKRI)Natural Environment Research Council (NERC))</t>
  </si>
  <si>
    <t>This research was supported by a Marie Curie FP7-Reintegration grant within the Seventh European Community Framework Programme (PCIG-GA-2011-303618), a Deutsche Forschungsgemeinschaft standard grant, and a Biotechnology and Biological Sciences Research Council grant (BB/G006903/1).</t>
  </si>
  <si>
    <t>NATL ACAD SCIENCES</t>
  </si>
  <si>
    <t>2101 CONSTITUTION AVE NW, WASHINGTON, DC 20418 USA</t>
  </si>
  <si>
    <t>0027-8424</t>
  </si>
  <si>
    <t>P NATL ACAD SCI USA</t>
  </si>
  <si>
    <t>Proc. Natl. Acad. Sci. U. S. A.</t>
  </si>
  <si>
    <t>MAR 11</t>
  </si>
  <si>
    <t>10.1073/pnas.1318945111</t>
  </si>
  <si>
    <t>AC5MK</t>
  </si>
  <si>
    <t>WOS:000332564800039</t>
  </si>
  <si>
    <t>Charrier, M</t>
  </si>
  <si>
    <t>Charrier, M.</t>
  </si>
  <si>
    <t>Soil Calcium Availability Influences Shell Ecophenotype Formation in the Sub-Antarctic Land Snail, Notodiscus hookeri (vol 8, e84527, 2013)</t>
  </si>
  <si>
    <t>Correction</t>
  </si>
  <si>
    <t>MAR 10</t>
  </si>
  <si>
    <t>e92541</t>
  </si>
  <si>
    <t>10.1371/journal.pone.0092541</t>
  </si>
  <si>
    <t>AC9FH</t>
  </si>
  <si>
    <t>Green Published, Green Submitted, gold</t>
  </si>
  <si>
    <t>WOS:000332839300173</t>
  </si>
  <si>
    <t>Shero, MR; Pearson, LE; Costa, DP; Burns, JM</t>
  </si>
  <si>
    <t>Shero, Michelle R.; Pearson, Linnea E.; Costa, Daniel P.; Burns, Jennifer M.</t>
  </si>
  <si>
    <t>Improving the Precision of Our Ecosystem Calipers: A Modified Morphometric Technique for Estimating Marine Mammal Mass and Body Composition</t>
  </si>
  <si>
    <t>SOUTHERN ELEPHANT SEAL; ANTARCTIC FUR SEALS; ATLANTIC HARP SEAL; MIROUNGA-LEONINA; WATER FLUX; NUTRIENT DEPOSITION; FORAGING SUCCESS; DIVING BEHAVIOR; HOODED SEALS; BLUBBER</t>
  </si>
  <si>
    <t>Mass and body composition are indices of overall animal health and energetic balance and are often used as indicators of resource availability in the environment. This study used morphometric models and isotopic dilution techniques, two commonly used methods in the marine mammal field, to assess body composition of Weddell seals (Leptonychotes weddellii, N = 111). Findings indicated that traditional morphometric models that use a series of circular, truncated cones to calculate marine mammal blubber volume and mass overestimated the animal's measured body mass by 26.9+/-1.5% SE. However, we developed a new morphometric model that uses elliptical truncated cones, and estimates mass with only 22.8+/-1.7% error (N = 10). Because this elliptical truncated cone model can estimate body mass without the need for additional correction factors, it has the potential to be a broadly applicable method in marine mammal species. While using elliptical truncated cones yielded significantly smaller blubber mass estimates than circular cones (10.2+/-0.8% difference; or 3.5+/-0.3% total body mass), both truncated cone models significantly underestimated total body lipid content as compared to isotopic dilution results, suggesting that animals have substantial internal lipid stores (N = 76). Multiple linear regressions were used to determine the minimum number of morphometric measurements needed to reliably estimate animal mass and body composition so that future animal handling times could be reduced. Reduced models estimated body mass and lipid mass with reasonable accuracy using fewer than five morphometric measurements (root-mean-square-error: 4.91% for body mass, 10.90% for lipid mass, and 10.43% for % lipid). This indicates that when test datasets are available to create calibration coefficients, regression models also offer a way to improve body mass and condition estimates in situations where animal handling times must be short and efficient.</t>
  </si>
  <si>
    <t>[Shero, Michelle R.; Pearson, Linnea E.; Burns, Jennifer M.] Univ Alaska Anchorage, Dept Biol Sci, Anchorage, AK 99508 USA; [Shero, Michelle R.; Pearson, Linnea E.] Univ Alaska Fairbanks, Sch Fisheries &amp; Ocean Sci, Fairbanks, AK USA; [Costa, Daniel P.] Univ Calif Santa Cruz, Dept Ecol &amp; Evolutionary Biol, Santa Cruz, CA 95064 USA</t>
  </si>
  <si>
    <t>University of Alaska System; University of Alaska Anchorage; University of Alaska System; University of Alaska Fairbanks; University of California System; University of California Santa Cruz</t>
  </si>
  <si>
    <t>Shero, MR (corresponding author), Univ Alaska Anchorage, Dept Biol Sci, Anchorage, AK 99508 USA.</t>
  </si>
  <si>
    <t>mrshero@alaska.edu</t>
  </si>
  <si>
    <t>Burns, Jennifer/AAC-8243-2019; Costa, Daniel Paul/E-2616-2013</t>
  </si>
  <si>
    <t>Burns, Jennifer/0000-0001-9652-2943; Shero, Michelle/0000-0003-4633-5351; Costa, Daniel Paul/0000-0002-0233-5782</t>
  </si>
  <si>
    <t>NSF [ANT-0838892, ANT-0838937]; National Science Foundation Graduate Research Fellowship [DGE-1242789]; Cooperative Institute for Alaska Research; Alaska Climate Science Center; UAF Center for Global Change Student Research Grant</t>
  </si>
  <si>
    <t>NSF(National Science Foundation (NSF)); National Science Foundation Graduate Research Fellowship(National Science Foundation (NSF)); Cooperative Institute for Alaska Research; Alaska Climate Science Center; UAF Center for Global Change Student Research Grant</t>
  </si>
  <si>
    <t>This research was conducted with support from NSF ANT-0838892 to D. P. C. and ANT-0838937 to J.M.B. This material is based upon work supported by the National Science Foundation Graduate Research Fellowship under Grant No. DGE-1242789. Any opinion, findings, and conclusions or recommendations expressed in this material are those of the authors and do not necessarily reflect the views of the National Science Foundation. M. R. S. and this research were supported in part by a UAF Center for Global Change Student Research Grant with funds from the Cooperative Institute for Alaska Research and the Alaska Climate Science Center. The funders had no role in study design, data collection and analysis, decision to publish, or preparation of the manuscript.</t>
  </si>
  <si>
    <t>e91233</t>
  </si>
  <si>
    <t>10.1371/journal.pone.0091233</t>
  </si>
  <si>
    <t>WOS:000332839300100</t>
  </si>
  <si>
    <t>Callahan, MP; Martin, MG; Burton, AS; Glavin, DP; Dworkin, JP</t>
  </si>
  <si>
    <t>Callahan, Michael P.; Martin, Mildred G.; Burton, Aaron S.; Glavin, Daniel P.; Dworkin, Jason P.</t>
  </si>
  <si>
    <t>Amino acid analysis in micrograms of meteorite sample by nanoliquid chromatography-high-resolution mass spectrometry</t>
  </si>
  <si>
    <t>JOURNAL OF CHROMATOGRAPHY A</t>
  </si>
  <si>
    <t>Amino Acids; astrobiology; high-resolution mass spectrometry; Murchison meteorite; nanoliquid Chromatography; orbitrap</t>
  </si>
  <si>
    <t>INTERPLANETARY DUST PARTICLES; CARBONACEOUS ANTARCTIC MICROMETEORITES; LIQUID-CHROMATOGRAPHY; MURCHISON METEORITE; AROMATIC-HYDROCARBONS; ORGANIC-COMPOUNDS; ACCRETION RATE; EARLY EARTH; ELECTROSPRAY; NUCLEOBASES</t>
  </si>
  <si>
    <t>Amino acids and their enantiomers in a 360 microgram sample of Murchison meteorite were unambiguously identified and quantified using chemical derivatization and nanoliquid chromatography coupled to nanoelectrospray ionization high resolution orbitrap mass spectrometry techniques. The distribution and abundance of amino acids were similar to past studies of Murchison meteorite but the samples used here were three orders of magnitude lower. The analytical method was also highly sensitive, and some amino acid reference standards were successfully detected at a level of similar to 200 attomoles (on column). These results may open up the possibility for investigating other less studied, sample-limited extraterrestrial samples (e.g., micrometeorites, interplanetary dust particles, and cometary particles) for biologically-relevant organic molecules Published by Elsevier B.V.</t>
  </si>
  <si>
    <t>[Callahan, Michael P.; Glavin, Daniel P.; Dworkin, Jason P.] NASA, Goddard Space Flight Ctr, Solar Syst Explorat Div, Greenbelt, MD 20771 USA; [Martin, Mildred G.] Catholic Univ Amer, Washington, DC 20064 USA; [Burton, Aaron S.] NASA, Goddard Space Flight Ctr, Postdoctoral Program, Greenbelt, MD 20771 USA</t>
  </si>
  <si>
    <t>National Aeronautics &amp; Space Administration (NASA); NASA Goddard Space Flight Center; Catholic University of America; National Aeronautics &amp; Space Administration (NASA); NASA Goddard Space Flight Center</t>
  </si>
  <si>
    <t>Callahan, MP (corresponding author), NASA, Goddard Space Flight Ctr, Solar Syst Explorat Div, Greenbelt, MD 20771 USA.</t>
  </si>
  <si>
    <t>michael.p.callahan@nasa.gov</t>
  </si>
  <si>
    <t>Burton, Aaron/H-2212-2011; Dworkin, Jason P./C-9417-2012; Glavin, Daniel P/D-6194-2012; Callahan, Michael P/D-3630-2012</t>
  </si>
  <si>
    <t>Burton, Aaron/0000-0002-1194-4336; Dworkin, Jason P./0000-0002-3961-8997; Glavin, Daniel P/0000-0001-7779-7765; Burton, Aaron/0000-0002-7137-1605</t>
  </si>
  <si>
    <t>NASA Astrobiology Institute; Goddard Center for Astrobiology; NASA Cosmo-chemistry Program; NASA Postdoctoral Program</t>
  </si>
  <si>
    <t>NASA Astrobiology Institute; Goddard Center for Astrobiology; NASA Cosmo-chemistry Program(National Aeronautics &amp; Space Administration (NASA)); NASA Postdoctoral Program(National Aeronautics &amp; Space Administration (NASA))</t>
  </si>
  <si>
    <t>The authors thank L. Welzenbach and T. McCoy (Smithsonian National Museum of Natural History, Washington, D.C.) for providing the Murchison meteorite sample. M.P.C., D.P.G., and J.P.D. acknowledge funding support from the NASA Astrobiology Institute and The Goddard Center for Astrobiology and the NASA Cosmo-chemistry Program. A.S.B. acknowledges support from the NASA Postdoctoral Program, administered by Oak Ridge Associated Universities through a contract with NASA. We thank K. Smith (Penn State University) as well as anonymous reviewers for valuable input regarding the writing of this manuscript.</t>
  </si>
  <si>
    <t>0021-9673</t>
  </si>
  <si>
    <t>1873-3778</t>
  </si>
  <si>
    <t>J CHROMATOGR A</t>
  </si>
  <si>
    <t>J. Chromatogr. A</t>
  </si>
  <si>
    <t>MAR 7</t>
  </si>
  <si>
    <t>10.1016/j.chroma.2014.01.032</t>
  </si>
  <si>
    <t>Biochemical Research Methods; Chemistry, Analytical</t>
  </si>
  <si>
    <t>Biochemistry &amp; Molecular Biology; Chemistry</t>
  </si>
  <si>
    <t>AC3NW</t>
  </si>
  <si>
    <t>WOS:000332429500005</t>
  </si>
  <si>
    <t>Davies, N; Field, D; Amaral-Zettler, L; Clark, MS; Deck, J; Drummond, A; Faith, DP; Geller, J; Gilbert, J; Glöckner, FO; Hirsch, PR; Leong, JA; Meyer, C; Obst, M; Planes, S; Scholin, C; Vogler, AP; Gates, RD; Toonen, R; Berteaux-Lecellier, V; Barbier, M; Barker, K; Bertilsson, S; Bicak, M; Bietz, MJ; Bobe, J; Bodrossy, L; Borja, A; Coddington, J; Fuhrman, J; Gerdts, G; Gillespie, R; Goodwin, K; Hanson, PC; Hero, JM; Hoekman, D; Jansson, J; Jeanthon, C; Kao, R; Klindworth, A; Knight, R; Kottmann, R; Koo, MS; Kotoulas, G; Lowe, AJ; Marteinsson, VT; Meyer, F; Morrison, N; Myrold, DD; Pafilis, E; Parker, S; Parnell, JJ; Polymenakou, PN; Ratnasingham, S; Roderick, GK; Rodriguez-Ezpeleta, N; Schonrogge, K; Simon, N; Valette-Silver, NJ; Springer, YP; Stone, GN; Stones-Havas, S; Sansone, SA; Thibault, KM; Wecker, P; Wichels, A; Wooley, JC; Yahara, T; Zingone, A</t>
  </si>
  <si>
    <t>Davies, Neil; Field, Dawn; Amaral-Zettler, Linda; Clark, Melody S.; Deck, John; Drummond, Alexei; Faith, Daniel P.; Geller, Jonathan; Gilbert, Jack; Gloeckner, Frank Oliver; Hirsch, Penny R.; Leong, Jo-Ann; Meyer, Chris; Obst, Matthias; Planes, Serge; Scholin, Chris; Vogler, Alfried P.; Gates, Ruth D.; Toonen, Rob; Berteaux-Lecellier, Veronique; Barbier, Michele; Barker, Katherine; Bertilsson, Stefan; Bicak, Mesude; Bietz, Matthew J.; Bobe, Jason; Bodrossy, Levente; Borja, Angel; Coddington, Jonathan; Fuhrman, Jed; Gerdts, Gunnar; Gillespie, Rosemary; Goodwin, Kelly; Hanson, Paul C.; Hero, Jean-Marc; Hoekman, David; Jansson, Janet; Jeanthon, Christian; Kao, Rebecca; Klindworth, Anna; Knight, Rob; Kottmann, Renzo; Koo, Michelle S.; Kotoulas, Georgios; Lowe, Andrew J.; Marteinsson, Viggo Thor; Meyer, Folker; Morrison, Norman; Myrold, David D.; Pafilis, Evangelos; Parker, Stephanie; Parnell, John Jacob; Polymenakou, Paraskevi N.; Ratnasingham, Sujeevan; Roderick, George K.; Rodriguez-Ezpeleta, Naiara; Schonrogge, Karsten; Simon, Nathalie; Valette-Silver, Nathalie J.; Springer, Yuri P.; Stone, Graham N.; Stones-Havas, Steve; Sansone, Susanna-Assunta; Thibault, Kate M.; Wecker, Patricia; Wichels, Antje; Wooley, John C.; Yahara, Tetsukazu; Zingone, Adriana</t>
  </si>
  <si>
    <t>GOs-COS</t>
  </si>
  <si>
    <t>The founding charter of the Genomic Observatories Network</t>
  </si>
  <si>
    <t>GIGASCIENCE</t>
  </si>
  <si>
    <t>Biodiversity; Genomics; Biocode; Earth observations</t>
  </si>
  <si>
    <t>BIODIVERSITY</t>
  </si>
  <si>
    <t>The co-authors of this paper hereby state their intention to work together to launch the Genomic Observatories Network (GOs Network) for which this document will serve as its Founding Charter. We define a Genomic Observatory as an ecosystem and/or site subject to long-term scientific research, including (but not limited to) the sustained study of genomic biodiversity from single-celled microbes to multicellular organisms. An international group of 64 scientists first published the call for a global network of Genomic Observatories in January 2012. The vision for such a network was expanded in a subsequent paper and developed over a series of meetings in Bremen (Germany), Shenzhen (China), Moorea (French Polynesia), Oxford (UK), Pacific Grove (California, USA), Washington (DC, USA), and London (UK). While this community-building process continues, here we express our mutual intent to establish the GOs Network formally, and to describe our shared vision for its future. The views expressed here are ours alone as individual scientists, and do not necessarily represent those of the institutions with which we are affiliated.</t>
  </si>
  <si>
    <t>[Davies, Neil] Univ Calif Berkeley, Gump South Pacific Res Stn, BP 244, F-98728 Moorea, France; [Davies, Neil; Field, Dawn] Univ Oxford, Dept Zool, Biodivers Inst, Oxford OX1 3PS, England; [Field, Dawn; Bicak, Mesude; Sansone, Susanna-Assunta] Univ Oxford, Oxford E Res Ctr, Oxford OX1 3QG, England; [Field, Dawn; Schonrogge, Karsten] Ctr Ecol &amp; Hydrol, Wallingford OX10 8BB, Oxon, England; [Amaral-Zettler, Linda] Josephine Bay Paul Ctr Comparat Mol Biol &amp; Evolut, Marine Biol Lab, Woods Hole, MA 02543 USA; [Clark, Melody S.] British Antarctic Survey, Nat Environm Res Council, Cambridge CB3 0ET, England; [Deck, John] Univ Calif Berkeley, Berkeley Nat Hist Museums, Valley Life Sci 1007, Berkeley, CA 94720 USA; [Drummond, Alexei] Univ Auckland, Dept Comp Sci, Auckland 1142, New Zealand; [Drummond, Alexei] Univ Auckland, Allan Wilson Ctr Mol Ecol &amp; Evolut, Auckland 1, New Zealand; [Faith, Daniel P.] Australian Museum, Sydney, NSW 2010, Australia; [Geller, Jonathan] Calif State Univ, Moss Landing Marine Labs, Moss Landing, CA 95039 USA; [Gilbert, Jack; Meyer, Folker] Argonne Natl Lab, Inst Genom &amp; Syst Biol, Argonne, IL 60439 USA; [Gilbert, Jack] Univ Chicago, Dept Ecol &amp; Evolut, Chicago, IL 60637 USA; [Gloeckner, Frank Oliver; Klindworth, Anna; Kottmann, Renzo] Max Planck Inst Marine Microbiol, Microbial Genom &amp; Bioinformat Res Grp, D-28359 Bremen, Germany; [Gloeckner, Frank Oliver; Klindworth, Anna; Kottmann, Renzo] Jacobs Univ Bremen, D-28759 Bremen, Germany; [Hirsch, Penny R.] Rothamsted Res, Harpenden AL5 2JQ, Herts, England; [Leong, Jo-Ann; Gates, Ruth D.; Toonen, Rob] Univ Hawaii Manoa, Sch Ocean &amp; Earth Sci &amp; Technol, Hawaii Inst Marine Biol, Kaneohe, HI 96744 USA; [Meyer, Chris] Smithsonian Inst, Natl Museum Nat Hist, Dept Invertebrate Zool, Washington, DC 20013 USA; [Obst, Matthias] Univ Gothenburg, Dept Biol &amp; Environm Sci, SE-40530 Gothenburg, Sweden; [Planes, Serge; Berteaux-Lecellier, Veronique; Wecker, Patricia] EPHE Ctr Rech Insulaire &amp; Observ Environm CRIOBE, CNRS, USR 3278, F-98729 Papetoai, Moorea, France; [Scholin, Chris] Monterey Bay Aquarium Res Inst, Moss Landing, CA 95039 USA; [Vogler, Alfried P.] Univ London Imperial Coll Sci Technol &amp; Med, Dept Life Sci, London SW7 2AZ, England; [Vogler, Alfried P.] Nat Hist Museum, Dept Life Sci, London SW7 5BD, England; [Barker, Katherine; Coddington, Jonathan] Smithsonian Inst, Natl Museum Nat Hist, Washington, DC 20013 USA; [Bertilsson, Stefan] Uppsala Univ, Dept Ecol &amp; Genet, SE-75236 Uppsala, Sweden; [Bertilsson, Stefan] Uppsala Univ, Sci Life Lab, SE-75236 Uppsala, Sweden; [Bietz, Matthew J.] Univ Calif Irvine, Dept Informat, Irvine, CA 92697 USA; [Bobe, Jason] PersonalGenomes Org, Boston, MA 02215 USA; [Bodrossy, Levente] CSIRO Marine &amp; Atmospher Res &amp; Wealth Oceans Natl, Hobart, Tas, Australia; [Borja, Angel] AZTI Tecnalia, Div Marine Res, Pasaia 20110, Spain; [Fuhrman, Jed; Wichels, Antje] Univ So Calif, Dept Biol Sci, Los Angeles, CA 90089 USA; [Gerdts, Gunnar] Alfred Wegener Inst Polar &amp; Marine Res, Biol Anstalt Helgoland, D-27498 Helgoland, Germany; [Gillespie, Rosemary] Univ Calif Berkeley, Essig Museum Entomol, Berkeley, CA 94720 USA; [Goodwin, Kelly] NOAA, AOML Stationed La Jolla, La Jolla, CA 92037 USA; [Hanson, Paul C.] Univ Wisconsin, Ctr Limnol, Madison, WI 53706 USA; [Hero, Jean-Marc] Griffith Univ, Environm Futures Res Inst, Gold Coast, Qld 4222, Australia; [Hoekman, David; Parker, Stephanie; Parnell, John Jacob; Springer, Yuri P.; Thibault, Kate M.] Natl Ecol Observ Network, Boulder, CO 80301 USA; [Jansson, Janet] Univ Calif Berkeley, Lawrence Berkeley Natl Lab, Div Earth Sci, Berkeley, CA 94720 USA; [Jeanthon, Christian; Simon, Nathalie] UPMC, CNRS, Stn Biol Roscoff, F-29688 Roscoff, France; [Kao, Rebecca] Denver Bot Gardens, Denver, CO 80206 USA; [Knight, Rob] Howard Hughes Med Inst, Chevy Chase, MD USA; [Knight, Rob] Univ Colorado, Dept Chem &amp; Biochem, Boulder, CO 80309 USA; [Knight, Rob] Univ Colorado, Dept Comp Sci, Boulder, CO 80309 USA; [Knight, Rob] Univ Colorado, BioFrontiers Inst, Boulder, CO 80309 USA; [Koo, Michelle S.] Univ Calif Berkeley, Museum Vertebrate Zool, Berkeley, CA 94720 USA; [Kotoulas, Georgios; Pafilis, Evangelos; Polymenakou, Paraskevi N.] HCMR, Inst Marine Biol Biotechnol &amp; Aquaculture IMBBC, Iraklion, Greece; [Lowe, Andrew J.] Univ Adelaide, Terr Ecosyst Res Network, Adelaide, SA 5005, Australia; [Lowe, Andrew J.] Univ Adelaide, Inst Environm, Adelaide, SA 5005, Australia; [Marteinsson, Viggo Thor] Food Safety Environm &amp; Genet, IS-113 Reykjavik, Iceland; [Morrison, Norman] Univ Manchester, Sch Comp Sci, Manchester M13 9PL, Lancs, England; [Myrold, David D.] Oregon State Univ, Dept Crop &amp; Soil Sci, Corvallis, OR 97331 USA; [Ratnasingham, Sujeevan] Univ Guelph, Biodivers Inst Ontario, Guelph, ON N1G 2W1, Canada; [Roderick, George K.] Univ Calif Berkeley, Environm Sci Policy &amp; Management, Berkeley, CA 94720 USA; [Rodriguez-Ezpeleta, Naiara] AZTI Tecnalia, Div Marine Res, Sukarrieta 48395, Bizkaia, Spain; [Valette-Silver, Nathalie J.] NOAA, Off Explorat &amp; Res, Silver Spring, MD 20910 USA; [Stone, Graham N.] Univ Edinburgh, Inst Evolutionary Biol, Edinburgh EH9 3JT, Midlothian, Scotland; [Stones-Havas, Steve] Biomatters Ltd, Auckland 1010, New Zealand; [Wooley, John C.] Univ Calif San Diego, Ctr Res BioSyst, La Jolla, CA 92093 USA; [Yahara, Tetsukazu] Kyushu Univ, Ctr Asian Conservat Ecol, Fukuoka 8128581, Japan; [Zingone, Adriana] Stn Zool, Ecol &amp; Evolut Plankton Lab, I-80121 Naples, Italy</t>
  </si>
  <si>
    <t>University of Oxford; University of Oxford; UK Centre for Ecology &amp; Hydrology (UKCEH); Marine Biological Laboratory - Woods Hole; UK Research &amp; Innovation (UKRI); Natural Environment Research Council (NERC); NERC British Antarctic Survey; University of California System; University of California Berkeley; University of Auckland; University of Auckland; Massey University; Australian Museum; Moss Landing Marine Laboratories; United States Department of Energy (DOE); Argonne National Laboratory; University of Chicago; Max Planck Society; Jacobs University; UK Research &amp; Innovation (UKRI); Biotechnology and Biological Sciences Research Council (BBSRC); Rothamsted Research; University of Hawaii System; University of Hawaii Manoa; Smithsonian Institution; Smithsonian National Museum of Natural History; University of Gothenburg; Centre National de la Recherche Scientifique (CNRS); CNRS - Institute of Ecology &amp; Environment (INEE); Monterey Bay Aquarium Research Institute; Imperial College London; Natural History Museum London; Smithsonian Institution; Smithsonian National Museum of Natural History; Uppsala University; Uppsala University; University of California System; University of California Irvine; Commonwealth Scientific &amp; Industrial Research Organisation (CSIRO); AZTI; University of Southern California; Helmholtz Association; Alfred Wegener Institute, Helmholtz Centre for Polar &amp; Marine Research; University of California System; University of California Berkeley; National Oceanic Atmospheric Admin (NOAA) - USA; Atlantic Oceanographic &amp; Meteorological Laboratory (AOML); University of Wisconsin System; University of Wisconsin Madison; Griffith University; Griffith University - Gold Coast Campus; United States Department of Energy (DOE); Lawrence Berkeley National Laboratory; University of California System; University of California Berkeley; Centre National de la Recherche Scientifique (CNRS); Sorbonne Universite; Howard Hughes Medical Institute; University of Colorado System; University of Colorado Boulder; University of Colorado System; University of Colorado Boulder; University of Colorado System; University of Colorado Boulder; University of California System; University of California Berkeley; Hellenic Centre for Marine Research; University of Adelaide; University of Adelaide; University of Manchester; Oregon State University; University of Guelph; University of California System; University of California Berkeley; AZTI; National Oceanic Atmospheric Admin (NOAA) - USA; University of Edinburgh; University of California System; University of California San Diego; Kyushu University</t>
  </si>
  <si>
    <t>Davies, N (corresponding author), Univ Calif Berkeley, Gump South Pacific Res Stn, BP 244, F-98728 Moorea, France.</t>
  </si>
  <si>
    <t>ndavies@moorea.berkeley.edu; dfield@ceh.ac.uk</t>
  </si>
  <si>
    <t>PLANES, Serge/ABF-1360-2021; Bicak, Mesude/HHI-0357-2022; Jansson, Janet/H-5478-2018; Hanson, Paul Ronald/HPH-6371-2023; Drummond, Alexei J/A-3209-2010; Fuhrman, Jed A/C-6461-2013; Jain, Ruchi/KHU-0094-2024; Berteaux-Lecellier, Veronique/O-4767-2018; Jain, Richa/KCX-7730-2024; Myrold, David/Q-6694-2019; gidley, maribeth L/B-8335-2014; Toonen, Rob/V-6230-2019; Gerdts, Gunnar/R-7000-2016; Gillespie, Rosemary/AAF-4244-2019; Koo, Michelle/AAD-8688-2020; Schönrogge, Karsten/E-8818-2010; Knight, Rob/D-1299-2010; BERTEAUX-LECELLIER, Veronique/P-6456-2019; Gilbert, Jack/AAF-3270-2019; Ratnasingham, Sujeevan/G-9103-2014; Rodriguez-Ezpeleta, Naiara/B-7138-2014; Goodwin, Kelly D./B-4985-2014; Polymenakou, Paraskevi/AAW-5313-2020; Leong, Jo-Ann/ABE-1443-2021; Schonrogge, Karsten/M-9935-2019; Kotoulas, Georgios/AAM-7938-2020; Hero, Jean-Marc/A-4257-2010; Borja, Angel/I-3665-2018; Wichels, Antje/R-6992-2016; Clark, Melody/D-7371-2014; Bodrossy, Levente/B-8054-2009; Hirsch, Penny/B-5135-2008; Davies, Neil/E-5863-2012; Zingone, Adriana/E-4518-2010</t>
  </si>
  <si>
    <t>Jansson, Janet/0000-0002-5487-4315; Drummond, Alexei J/0000-0003-4454-2576; Fuhrman, Jed A/0000-0002-2361-1985; Berteaux-Lecellier, Veronique/0000-0003-2152-6231; Myrold, David/0000-0001-6418-226X; Toonen, Rob/0000-0001-6339-4340; Gerdts, Gunnar/0000-0003-0872-3927; Gillespie, Rosemary/0000-0003-0086-7424; Koo, Michelle/0000-0003-0410-722X; Schönrogge, Karsten/0000-0003-0122-6493; BERTEAUX-LECELLIER, Veronique/0000-0003-2152-6231; Rodriguez-Ezpeleta, Naiara/0000-0001-6735-6755; Goodwin, Kelly D./0000-0001-9583-8073; Schonrogge, Karsten/0000-0003-0122-6493; Borja, Angel/0000-0003-1601-2025; Stone, Graham/0000-0002-2737-696X; Kotoulas, Georgios/0000-0002-4667-8533; Wichels, Antje/0000-0002-2060-1845; Marteinsson, Viggo/0000-0001-8340-821X; Clark, Melody/0000-0002-3442-3824; Lowe, Andrew/0000-0003-1139-2516; Bobe, Jason/0000-0003-1864-8609; Bodrossy, Levente/0000-0001-6940-452X; Jeanthon, Christian/0000-0002-7339-574X; Yahara, Tetsukazu/0000-0001-5105-7152; Deck, John/0000-0002-5905-1617; Sansone, Susanna-Assunta/0000-0001-5306-5690; Barbier, Michele/0000-0003-3845-6233; Hirsch, Penny/0000-0002-5909-1934; Coddington, Jonathan A./0000-0001-6004-7730; Davies, Neil/0000-0001-8085-5014; Meyer, Christopher/0000-0003-2501-7952; Knight, Rob/0000-0002-0975-9019; Roderick, George/0000-0001-7557-2415; Meyer, Folker/0000-0003-1112-2284; Zingone, Adriana/0000-0001-5946-6532; Morrison, Norman/0000-0003-1604-1512; Polymenakou, Paraskevi/0000-0002-9787-7372</t>
  </si>
  <si>
    <t>Biotechnology and Biological Sciences Research Council [BB/I000771/1, BB/E025080/1] Funding Source: Medline; Biotechnology and Biological Sciences Research Council [BB/I000771/1, BB/I025840/1, BBS/E/C/00005196, BB/E025080/1, BB/I000305/1] Funding Source: researchfish; Natural Environment Research Council [NE/J010499/1, ceh010010, bas0100025] Funding Source: researchfish; Direct For Biological Sciences [0956426, 0919215] Funding Source: National Science Foundation; Direct For Biological Sciences; Division Of Environmental Biology [1051481] Funding Source: National Science Foundation; Division Of Environmental Biology [0919215, 0956426] Funding Source: National Science Foundation; BBSRC [BB/I025840/1, BB/I000771/1, BB/E025080/1, BB/I000305/1, BBS/E/C/00005196] Funding Source: UKRI; NERC [NE/J010499/1, bas0100025] Funding Source: UKRI</t>
  </si>
  <si>
    <t>Biotechnology and Biological Sciences Research Council(UK Research &amp; Innovation (UKRI)Biotechnology and Biological Sciences Research Council (BBSRC)); Biotechnology and Biological Sciences Research Council(UK Research &amp; Innovation (UKRI)Biotechnology and Biological Sciences Research Council (BBSRC)); Natural Environment Research Council(UK Research &amp; Innovation (UKRI)Natural Environment Research Council (NERC)); Direct For Biological Sciences(National Science Foundation (NSF)NSF - Directorate for Biological Sciences (BIO)); Direct For Biological Sciences; Division Of Environmental Biology(National Science Foundation (NSF)NSF - Directorate for Biological Sciences (BIO)); Division Of Environmental Biology(National Science Foundation (NSF)NSF - Directorate for Biological Sciences (BIO)); BBSRC(UK Research &amp; Innovation (UKRI)Biotechnology and Biological Sciences Research Council (BBSRC)); NERC(UK Research &amp; Innovation (UKRI)Natural Environment Research Council (NERC))</t>
  </si>
  <si>
    <t>2047-217X</t>
  </si>
  <si>
    <t>GigaScience</t>
  </si>
  <si>
    <t>10.1186/2047-217X-3-2</t>
  </si>
  <si>
    <t>Biology; Multidisciplinary Sciences</t>
  </si>
  <si>
    <t>Life Sciences &amp; Biomedicine - Other Topics; Science &amp; Technology - Other Topics</t>
  </si>
  <si>
    <t>CX4EL</t>
  </si>
  <si>
    <t>WOS:000365651500001</t>
  </si>
  <si>
    <t>Wakefield, ED; Phillips, RA; Matthiopoulos, J</t>
  </si>
  <si>
    <t>Wakefield, Ewan D.; Phillips, Richard A.; Matthiopoulos, Jason</t>
  </si>
  <si>
    <t>Habitat-mediated population limitation in a colonial central-place forager: the sky is not the limit for the black-browed albatross</t>
  </si>
  <si>
    <t>population regulation; seabirds; density dependence; habitat preference; net primary production; spatial segregation</t>
  </si>
  <si>
    <t>SOUTH GEORGIA; CARRYING-CAPACITY; BREEDING-SEASON; SEABIRD; SIZE; PREDATOR; SPACE; OCEAN; FOOD; DISTRIBUTIONS</t>
  </si>
  <si>
    <t>Animal populations are frequently limited by the availability of food or of habitat. In central-place foragers, the cost of accessing these resources is distance-dependent rather than uniform in space. However, in seabirds, a widely studied exemplar of this paradigm, empirical population models have hitherto ignored this cost. In part, this is because non-independence among colonies makes it difficult to define population units. Here, we model the effects of both resource availability and accessibility on populations of a wide-ranging, pelagic seabird, the black-browed albatross Thalassarche melanophris. Adopting a multi-scale approach, we define regional populations objectively as spatial clusters of colonies. We consider two readily quantifiable proxies of resource availability: the extent of neritic waters (the preferred foraging habitat) and net primary production (NPP). We show that the size of regional albatross populations has a strong dependence, after weighting for accessibility, on habitat availability and to a lesser extent, NPP. Our results provide indirect support for the hypothesis that seabird populations are regulated from the bottom-up by food availability during the breeding season, and also suggest that the spatio-temporal predictability of food may be limiting. Moreover, we demonstrate a straightforward, widely applicable method for estimating resource limitation in populations of central-place foragers.</t>
  </si>
  <si>
    <t>[Wakefield, Ewan D.; Phillips, Richard A.] British Antarctic Survey, Nat Environm Res Council, Cambridge CB3 0ET, England; [Wakefield, Ewan D.] Univ St Andrews, Sch Biol, Scottish Oceans Inst, St Andrews KY16 8LB, Fife, Scotland; [Matthiopoulos, Jason] Univ Glasgow, Inst Biodivers Anim Hlth &amp; Comparat Med, Glasgow G12 8QQ, Lanark, Scotland</t>
  </si>
  <si>
    <t>UK Research &amp; Innovation (UKRI); Natural Environment Research Council (NERC); NERC British Antarctic Survey; University of St Andrews; University of Glasgow</t>
  </si>
  <si>
    <t>Wakefield, ED (corresponding author), British Antarctic Survey, Nat Environm Res Council, Madingley Rd, Cambridge CB3 0ET, England.</t>
  </si>
  <si>
    <t>ewan.wakefield@glasgow.ac.uk</t>
  </si>
  <si>
    <t>Matthiopoulos, Jason/N-9808-2013</t>
  </si>
  <si>
    <t>Matthiopoulos, Jason/0000-0003-3639-8172</t>
  </si>
  <si>
    <t>UK Natural Environment Research Council [NER/S/A/2005/13648]; Natural Environment Research Council [bas0100025] Funding Source: researchfish; NERC [bas0100025] Funding Source: UKRI</t>
  </si>
  <si>
    <t>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</si>
  <si>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work was supported by the UK Natural Environment Research Council (NER/S/A/2005/13648).</t>
  </si>
  <si>
    <t>10.1098/rspb.2013.2883</t>
  </si>
  <si>
    <t>AC2YN</t>
  </si>
  <si>
    <t>Green Accepted, hybrid, Green Published</t>
  </si>
  <si>
    <t>WOS:000332382300013</t>
  </si>
  <si>
    <t>Viviant, M; Monestiez, P; Guinet, C</t>
  </si>
  <si>
    <t>Viviant, Morgane; Monestiez, Pascal; Guinet, Christophe</t>
  </si>
  <si>
    <t>Can We Predict Foraging Success in a Marine Predator from Dive Patterns Only? Validation with Prey Capture Attempt Data</t>
  </si>
  <si>
    <t>AREA-RESTRICTED SEARCH; ANTARCTIC FUR SEALS; OCEANOGRAPHIC HABITAT; ARCTOCEPHALUS-GAZELLA; KERGUELEN ISLANDS; DIVING BEHAVIOR; WEDDELL SEALS; ELEPHANT SEAL; TIME; STRATEGIES</t>
  </si>
  <si>
    <t>Predicting how climatic variations will affect marine predator populations relies on our ability to assess foraging success, but evaluating foraging success in a marine predator at sea is particularly difficult. Dive metrics are commonly available for marine mammals, diving birds and some species of fish. Bottom duration or dive duration are usually used as proxies for foraging success. However, few studies have tried to validate these assumptions and identify the set of behavioral variables that best predict foraging success at a given time scale. The objective of this study was to assess if foraging success in Antarctic fur seals could be accurately predicted from dive parameters only, at different temporal scales. For this study, 11 individuals were equipped with either Hall sensors or accelerometers to record dive profiles and detect mouth-opening events, which were considered prey capture attempts. The number of prey capture attempts was best predicted by descent and ascent rates at the dive scale; bottom duration and descent rates at 30-min, 1-h, and 2-h scales; and ascent rates and maximum dive depths at the all-night scale. Model performances increased with temporal scales, but rank and sign of the factors varied according to the time scale considered, suggesting that behavioral adjustment in response to prey distribution could occur at certain scales only. The models predicted the foraging intensity of new individuals with good accuracy despite high inter-individual differences. Dive metrics that predict foraging success depend on the species and the scale considered, as verified by the literature and this study. The methodology used in our study is easy to implement, enables an assessment of model performance, and could be applied to any other marine predator.</t>
  </si>
  <si>
    <t>[Viviant, Morgane; Guinet, Christophe] CNRS, Ctr Etud Biol Chize, Villiers En Bois, France; [Monestiez, Pascal] INRA, Unite Biostat &amp; Proc Spatiaux, Avignon, France</t>
  </si>
  <si>
    <t>Centre National de la Recherche Scientifique (CNRS); INRAE</t>
  </si>
  <si>
    <t>Guinet, C (corresponding author), CNRS, Ctr Etud Biol Chize, Villiers En Bois, France.</t>
  </si>
  <si>
    <t>guinet@cebc.cnrs.fr</t>
  </si>
  <si>
    <t>Guinet, Christophe/AAR-8457-2020</t>
  </si>
  <si>
    <t>Monestiez, Pascal/0000-0001-5851-2699</t>
  </si>
  <si>
    <t>French Polar Institute (Institut Paul Emile Victor, IPEV) [109]; Territoire des Terres Australes et Antarctiques Francaises (TAAF); French Ministere de la Recherche'' through Pierre et Marie Curie University</t>
  </si>
  <si>
    <t>French Polar Institute (Institut Paul Emile Victor, IPEV); Territoire des Terres Australes et Antarctiques Francaises (TAAF); French Ministere de la Recherche'' through Pierre et Marie Curie University</t>
  </si>
  <si>
    <t>This study is part of the national research program (no 109, H. Weimerskirch) supported by the French Polar Institute (Institut Paul Emile Victor, IPEV) and the Territoire des Terres Australes et Antarctiques Francaises (TAAF). MV was supported by a PhD grant from the French Ministere de la Recherche'' through Pierre et Marie Curie University. The funders had no role in study design, data collection and analysis, decision to publish, or preparation of the manuscript.</t>
  </si>
  <si>
    <t>MAR 6</t>
  </si>
  <si>
    <t>e88503</t>
  </si>
  <si>
    <t>10.1371/journal.pone.0088503</t>
  </si>
  <si>
    <t>AC4ID</t>
  </si>
  <si>
    <t>Green Published, gold</t>
  </si>
  <si>
    <t>WOS:000332483600006</t>
  </si>
  <si>
    <t>Ferrando, S; Castellano, L; Gallus, L; Ghigliotti, L; Masini, MA; Pisano, E; Vacchi, M</t>
  </si>
  <si>
    <t>Ferrando, Sara; Castellano, Laura; Gallus, Lorenzo; Ghigliotti, Laura; Masini, Maria Angela; Pisano, Eva; Vacchi, Marino</t>
  </si>
  <si>
    <t>A Demonstration of Nesting in Two Antarctic Icefish (Genus Chionodraco) Using a Fin Dimorphism Analysis and Ex Situ Videos</t>
  </si>
  <si>
    <t>PARENTAL CARE; EGG-MIMICRY; ROSS SEA; BEHAVIOR; EVOLUTION; FISH; REPRODUCTION; BIOLOGY; CHANNICHTHYIDAE; FERTILIZATION</t>
  </si>
  <si>
    <t>Visual observations and videos of Chionodraco hamatus icefish at the Acquario di Genova and histological analyses of congeneric species C. hamatus and C. rastrospinosus adults sampled in the field provided new anatomical and behavioral information on the reproductive biology of these white blooded species that are endemic to the High-Antarctic region. During the reproductive season, mature males of both species, which are different from females and immature males, display fleshy, club-like knob modifications of their anal fin that consisted of a much thicker epithelium. Histology indicated that the knobs were without any specialized glandular or sensorial organization, thus suggesting a mechanical and/or ornamental role of the modified anal fin. In addition, the occurrence of necrotic regions at the base of the thickened epithelium and the detachment of the knobs in post-spawning C. hamatus males indicated the temporary nature of the knobs. The role of these structures was confirmed as mechanical and was clarified using visual observations and videos of the behavior of two C. hamatus during a reproductive event that occurred in an exhibit tank at the Acquario di Genova. The reproductive process included pre-spawning activity, preparation of the nest, egg guarding and successfully ended with egg hatching. When the spawning event approached, the male prepared the nest. The nest was constructed on an accurately selected bottom surface, which was flattened and maintained free from sand or debris by a combination of radial body movements and continuous anal fin sweeping, thus demonstrating the important mechanical/abrasive function of the anal fin knobs. The present data are the first records of active nesting in icefish and clarify the meaning of dimorphic temporary structures, whose function would have been difficult to obtain in the field.</t>
  </si>
  <si>
    <t>[Ferrando, Sara; Gallus, Lorenzo; Ghigliotti, Laura; Masini, Maria Angela; Pisano, Eva] Univ Genoa, Dept Earth Environm &amp; Life Sci DiSTAV, Genoa, Italy; [Castellano, Laura] Acquario Genova, Costa Edutainment Spa, Genoa, Italy; [Vacchi, Marino] CNR, Inst Marine Sci ISMAR, Inst Environm Protect &amp; Res ISPRA, Genoa, Italy</t>
  </si>
  <si>
    <t>University of Genoa; Consiglio Nazionale delle Ricerche (CNR); Istituto di Scienze Marine (ISMAR-CNR); Italian Institute for Environmental Protection &amp; Research (ISPRA)</t>
  </si>
  <si>
    <t>Vacchi, M (corresponding author), CNR, Inst Marine Sci ISMAR, Inst Environm Protect &amp; Res ISPRA, Genoa, Italy.</t>
  </si>
  <si>
    <t>marino.vacchi@isprambiente.it</t>
  </si>
  <si>
    <t>Ferrando, Sara/AAC-9934-2022; Ghigliotti, Laura/J-3076-2012; Ghigliotti, Laura/AAN-6843-2021; CNR, Ismar/P-1247-2014</t>
  </si>
  <si>
    <t>Ferrando, Sara/0000-0002-5781-9709; Ghigliotti, Laura/0000-0003-2139-1381; CNR, Ismar/0000-0001-5351-1486</t>
  </si>
  <si>
    <t>PNRA (Italian National Antarctic Research Programme) (PNRA Project) [2010_A1.11]</t>
  </si>
  <si>
    <t>PNRA (Italian National Antarctic Research Programme) (PNRA Project)</t>
  </si>
  <si>
    <t>The paper was finantially and logistically supported by PNRA (Italian National Antarctic Research Programme) (PNRA Project n. 2010_A1.11). The funders had no role in study design, data collection and analysis, decision to publish, or preparation of the manuscript.</t>
  </si>
  <si>
    <t>MAR 5</t>
  </si>
  <si>
    <t>e90512</t>
  </si>
  <si>
    <t>10.1371/journal.pone.0090512</t>
  </si>
  <si>
    <t>AC4GP</t>
  </si>
  <si>
    <t>WOS:000332479400086</t>
  </si>
  <si>
    <t>Gorman, KB; Williams, TD; Fraser, WR</t>
  </si>
  <si>
    <t>Gorman, Kristen B.; Williams, Tony D.; Fraser, William R.</t>
  </si>
  <si>
    <t>Ecological Sexual Dimorphism and Environmental Variability within a Community of Antarctic Penguins (Genus Pygoscelis)</t>
  </si>
  <si>
    <t>STABLE-ISOTOPES; CLIMATE-CHANGE; WINTER DISTRIBUTION; SIZE DIMORPHISM; GENTOO PENGUINS; SEA-ICE; SEGREGATION; SPECIALIZATION; NITROGEN; CARBON</t>
  </si>
  <si>
    <t>Background: Sexual segregation in vertebrate foraging niche is often associated with sexual size dimorphism (SSD), i.e., ecological sexual dimorphism. Although foraging behavior of male and female seabirds can vary markedly, differences in isotopic (carbon, delta C-13 and nitrogen, delta N-15) foraging niche are generally more pronounced within sexually dimorphic species and during phases when competition for food is greater. We examined ecological sexual dimorphism among sympatric nesting Pygoscelis penguins asking whether environmental variability is associated with differences in male and female pre-breeding foraging niche. We predicted that all Pygoscelis species would forage sex-specifically, and that higher quality winter habitat, i.e., higher or lower sea ice coverage for a given species, would be associated with a more similar foraging niche among the sexes. Results: P2/P8 primers reliably amplified DNA of all species. On average, male Pygoscelis penguins are structurally larger than female conspecifics. However, chinstrap penguins were more sexually dimorphic in culmen and flipper features than Adelie and gentoo penguins. Adelies and gentoos were more sexually dimorphic in body mass than chinstraps. Only male and female chinstraps and gentoos occupied separate delta N-15 foraging niches. Strong year effects in delta N-15 signatures were documented for all three species, however, only for Adelies, did yearly variation in delta N-15 signatures tightly correlate with winter sea ice conditions. There was no evidence that variation in sex-specific foraging niche interacted with yearly winter habitat quality. Conclusion: Chinstraps were most sexually size dimorphic followed by gentoos and Adelies. Pre-breeding sex-specific foraging niche was associated with overall SSD indices across species; male chinstrap and gentoo penguins were enriched in delta N-15 relative to females. Our results highlight previously unknown trophic pathways that link Pygoscelis penguins with variation in Southern Ocean sea ice suggesting that each sex within a species should respond similarly in pre-breeding trophic foraging to changes in future winter habitat.</t>
  </si>
  <si>
    <t>[Gorman, Kristen B.; Williams, Tony D.] Simon Fraser Univ, Dept Biol Sci, Burnaby, BC V5A 1S6, Canada; [Gorman, Kristen B.; Fraser, William R.] Polar Oceans Res Grp, Sheridan, MT USA</t>
  </si>
  <si>
    <t>Simon Fraser University</t>
  </si>
  <si>
    <t>Gorman, KB (corresponding author), Simon Fraser Univ, Dept Biol Sci, Burnaby, BC V5A 1S6, Canada.</t>
  </si>
  <si>
    <t>kgorman@sfu.ca</t>
  </si>
  <si>
    <t>Chiaradia, Andre/0000-0002-6178-4211; Gorman, Kristen B./0000-0002-0258-9264</t>
  </si>
  <si>
    <t>Palmer Station, Antarctica, Long-Term Ecological Research (LTER) program through the National Science Foundation (NSF), Office of Polar Programs (OPP) [0217282, 0823101]; NSF-OPP; SFU Graduate Fellowships; Glen Geen Graduate Scholarship in Marine Biology; Canada Natural Sciences and Engineering Research Council Discovery Grants; [0741351]; Office of Polar Programs (OPP); Directorate For Geosciences [1440435, 0217282] Funding Source: National Science Foundation; Office of Polar Programs (OPP); Directorate For Geosciences [1326167] Funding Source: National Science Foundation</t>
  </si>
  <si>
    <t>Palmer Station, Antarctica, Long-Term Ecological Research (LTER) program through the National Science Foundation (NSF), Office of Polar Programs (OPP); NSF-OPP(National Science Foundation (NSF)NSF - Directorate for Geosciences (GEO)); SFU Graduate Fellowships; Glen Geen Graduate Scholarship in Marine Biology; Canada Natural Sciences and Engineering Research Council Discovery Grants; ; Office of Polar Programs (OPP); Directorate For Geosciences(National Science Foundation (NSF)NSF - Directorate for Geosciences (GEO)); Office of Polar Programs (OPP); Directorate For Geosciences(National Science Foundation (NSF)NSF - Directorate for Geosciences (GEO))</t>
  </si>
  <si>
    <t>Research was conducted as part of the Palmer Station, Antarctica, Long-Term Ecological Research (LTER) program (http://pal.lternet.edu) supported by grants #0217282 and #0823101 through the National Science Foundation (NSF), Office of Polar Programs (OPP) to WRF. Supplemental funds for this project were received by a separate grant #0741351 to WRF, also funded by NSF-OPP. KBG was partially supported by SFU Graduate Fellowships and the Glen Geen Graduate Scholarship in Marine Biology, in addition to Canada Natural Sciences and Engineering Research Council Discovery Grants to TDW. The funders had no role in study design, data collection and analysis, decision to publish, or preparation of the manuscript.</t>
  </si>
  <si>
    <t>e90081</t>
  </si>
  <si>
    <t>10.1371/journal.pone.0090081</t>
  </si>
  <si>
    <t>WOS:000332479400042</t>
  </si>
  <si>
    <t>Gallet, B; Young, WR</t>
  </si>
  <si>
    <t>Gallet, Basile; Young, William R.</t>
  </si>
  <si>
    <t>Refraction of swell by surface currents</t>
  </si>
  <si>
    <t>JOURNAL OF MARINE RESEARCH</t>
  </si>
  <si>
    <t>WAVE REFRACTION; OCEAN; PROPAGATION; BUOY</t>
  </si>
  <si>
    <t>Using recordings of swell from pitch-and-roll buoys, we have reproduced the classic observations of long-range surface wave propagation originally made by Munk et al. (1963) using a triangular array of bottom pressure measurements. In the modern data, the direction of the incoming swell fluctuates by about +/- 10 degrees on a time scale of one hour. But if the incoming direction is averaged over the duration of an event then, in contrast with the observations by Munk et al. (1963), the sources inferred by great-circle backtracking are most often in good agreement with the location of large storms on weather maps of the Southern Ocean. However there are a few puzzling failures of great-circle backtracking. For example, in one case, the direct great-circle route is blocked by the Tuamoto Islands and the inferred source falls on New Zealand. Mirages like this occur more frequently in the bottom-pressure observations of Munk et al. (1963), where several inferred sources fell on the Antarctic continent. Using spherical ray tracing we investigate the hypothesis that the refraction of waves by surface currents produces the mirages. With reconstructions of surface currents inferred from satellite altimetry, we show that mesoscale vorticity significantly deflects swell away from great-circle propagation so that the source and receiver are connected by a bundle of many rays, none of which precisely follow a great circle. The +/-10 directional fluctuations at the receiver result from the arrival of wave packets that have travelled along the different rays within this multipath. The occasional failure of great-circle backtracking, and the associated mirages, probably results from partial topographic obstruction of the multipath, which biases the directional average at the receiver.</t>
  </si>
  <si>
    <t>[Gallet, Basile; Young, William R.] Univ Calif San Diego, Scripps Inst Oceanog, La Jolla, CA 92093 USA</t>
  </si>
  <si>
    <t>University of California System; University of California San Diego; Scripps Institution of Oceanography</t>
  </si>
  <si>
    <t>Young, WR (corresponding author), Univ Calif San Diego, Scripps Inst Oceanog, La Jolla, CA 92093 USA.</t>
  </si>
  <si>
    <t>wryoung@ucsd.edu</t>
  </si>
  <si>
    <t>Young, William R/B-1632-2009</t>
  </si>
  <si>
    <t>National Science Foundation [OCE10-57838]; Scripps Postdoctoral Fellowship; Directorate For Geosciences; Division Of Ocean Sciences [1057838] Funding Source: National Science Foundation</t>
  </si>
  <si>
    <t>National Science Foundation(National Science Foundation (NSF)); Scripps Postdoctoral Fellowship; Directorate For Geosciences; Division Of Ocean Sciences(National Science Foundation (NSF)NSF - Directorate for Geosciences (GEO))</t>
  </si>
  <si>
    <t>This research was supported by the National Science Foundation under OCE10-57838; BG was partially supported by a Scripps Postdoctoral Fellowship. We thank Ryan Abernathey, Fabrice Ardhuin, Oliver Buhler, Fabrice Collard, Sean Crosby, Falk Feddersen, and particularly Walter Munk, for many conversations and help with this problem.</t>
  </si>
  <si>
    <t>SEARS FOUNDATION MARINE RESEARCH</t>
  </si>
  <si>
    <t>NEW HAVEN</t>
  </si>
  <si>
    <t>YALE UNIV, KLINE GEOLOGY LAB, 210 WHITNEY AVENUE, NEW HAVEN, CT 06520-8109 USA</t>
  </si>
  <si>
    <t>0022-2402</t>
  </si>
  <si>
    <t>1543-9542</t>
  </si>
  <si>
    <t>J MAR RES</t>
  </si>
  <si>
    <t>J. Mar. Res.</t>
  </si>
  <si>
    <t>MAR</t>
  </si>
  <si>
    <t>10.1357/002224014813758959</t>
  </si>
  <si>
    <t>AX8WG</t>
  </si>
  <si>
    <t>WOS:000347185800004</t>
  </si>
  <si>
    <t>Baars, O; Abouchami, W; Galer, SJG; Boye, M; Croot, PL</t>
  </si>
  <si>
    <t>Baars, Oliver; Abouchami, Wafa; Galer, Stephen J. G.; Boye, Marie; Croot, Peter L.</t>
  </si>
  <si>
    <t>Dissolved cadmium in the Southern Ocean: Distribution, speciation, and relation to phosphate</t>
  </si>
  <si>
    <t>LIMNOLOGY AND OCEANOGRAPHY</t>
  </si>
  <si>
    <t>ATLANTIC SECTOR; COMPLEXING LIGANDS; SOUTHEASTERN ATLANTIC; PHOSPHORUS RATIO; IRON LIMITATION; CARBON-DIOXIDE; TRACE-ELEMENTS; AUSTRAL SUMMER; WATER COLUMN; PHYTOPLANKTON</t>
  </si>
  <si>
    <t>We report isotope dilution analyses of dissolved cadmium (Cd) and electrochemical Cd speciation measurements in the Atlantic sector of the Southern Ocean. Bioavailable inorganic Cd is. 100 times higher in near-surface waters south of the Polar Front compared to the Subantarctic Zone because of upwelling and reduced complexation by organic Cd ligands. To trace local changes in the relation between Cd and P, we examine the deviations from a linear deep-water Cd vs. P relation (Cd*), and find that changes in Cd* coincide with the position of frontal systems and covary with primary productivity and total dissolved Mn and Fe concentrations. These covariations agree with potential local changes in phytoplankton Cd uptake rates, resulting from differences in the availability of Cd, Zn, Mn, and Fe. A band of negative Cd* values is associated with formation of Subantarctic Mode Water (SAMW) and Antarctic Intermediate Water (AAIW). In contrast to SAMW, which may export low Cd : P ratios from the Southern Ocean, the Cd : P ratios in AAIW increase by mixing with underlying Upper Circumpolar Deep Water before being exported from the Southern Ocean. Deep waters show constant Cd : P ratios, and both elements behave conservatively with end-member mixing between deep waters of the Weddell Gyre, the Antarctic Circumpolar Current, and inflowing North Atlantic Deep Water. Overall, our results support the hypothesis that the kink in the global Cd vs. P relation is largely caused by high Cd : P uptake ratios in the trace-nutrient-limited Southern Ocean.</t>
  </si>
  <si>
    <t>[Baars, Oliver; Croot, Peter L.] Geomar, Kiel, Germany; [Abouchami, Wafa; Galer, Stephen J. G.] Max Planck Inst Chem, D-55128 Mainz, Germany; [Abouchami, Wafa] Univ Munster, Inst Mineral, D-48149 Munster, Germany; [Boye, Marie] IUEM, Lab Sci Environm Marin, Plouzane, France</t>
  </si>
  <si>
    <t>Helmholtz Association; GEOMAR Helmholtz Center for Ocean Research Kiel; Max Planck Society; University of Munster; Universite de Bretagne Occidentale; Institut Universitaire Europeen de la Mer (IUEM); Centre National de la Recherche Scientifique (CNRS); Ifremer; Institut de Recherche pour le Developpement (IRD)</t>
  </si>
  <si>
    <t>Baars, O (corresponding author), Princeton Univ, Dept Geosci, Princeton, NJ 08544 USA.</t>
  </si>
  <si>
    <t>obaars@princeton.edu</t>
  </si>
  <si>
    <t>Croot, Peter/U-5296-2019; Croot, Peter/C-8460-2009</t>
  </si>
  <si>
    <t>Croot, Peter/0000-0003-1396-0601; Baars, Oliver/0000-0002-4644-5086</t>
  </si>
  <si>
    <t>Deutsche Forschungsgemeinschaft (DFG) Antarctic Program [SPP 1158, CR145/10-1, 10-2]</t>
  </si>
  <si>
    <t>Deutsche Forschungsgemeinschaft (DFG) Antarctic Program(German Research Foundation (DFG))</t>
  </si>
  <si>
    <t>We gratefully acknowledge the officers and crew of the R/V Polarstern whose help and cooperation made this work possible. Samples were collected in collaboration with the Royal Netherlands Institute for Sea Research (NIOZ). Thanks to J. van Ooyen for nutrient analysis on the ship and to P. Streu for additional lab work in Kiel. Laboratory work in Mainz was facilitated by the team at the Max Planck Institute for Chemistry. Thanks also to G. F. de Souza for discussions and to the reviewers for constructive comments. This work is a contribution to the International Polar Year GEOTRACES program and was financed by the Deutsche Forschungsgemeinschaft (DFG) Antarctic Program (SPP 1158) via a grant to P.C. (CR145/10-1 and 10-2).</t>
  </si>
  <si>
    <t>0024-3590</t>
  </si>
  <si>
    <t>1939-5590</t>
  </si>
  <si>
    <t>LIMNOL OCEANOGR</t>
  </si>
  <si>
    <t>Limnol. Oceanogr.</t>
  </si>
  <si>
    <t>10.4319/lo.2014.59.2.0385</t>
  </si>
  <si>
    <t>Limnology; Oceanography</t>
  </si>
  <si>
    <t>AM5MF</t>
  </si>
  <si>
    <t>Green Submitted, Bronze, Green Accepted</t>
  </si>
  <si>
    <t>WOS:000339902800008</t>
  </si>
  <si>
    <t>Miller, BS; Collins, K; Barlow, J; Calderan, S; Leaper, R; McDonald, M; Ensor, P; Olson, PA; Olavarria, C; Double, MC</t>
  </si>
  <si>
    <t>Miller, Brian S.; Collins, Kym; Barlow, Jay; Calderan, Susannah; Leaper, Russell; McDonald, Mark; Ensor, Paul; Olson, Paula A.; Olavarria, Carlos; Double, Michael C.</t>
  </si>
  <si>
    <t>Blue whale vocalizations recorded around New Zealand: 1964-2013</t>
  </si>
  <si>
    <t>JOURNAL OF THE ACOUSTICAL SOCIETY OF AMERICA</t>
  </si>
  <si>
    <t>BALAENOPTERA-MUSCULUS; ACOUSTIC DETECTION; FREQUENCY; PACIFIC; WATERS</t>
  </si>
  <si>
    <t>Previous underwater recordings made in New Zealand have identified a complex sequence of low frequency sounds that have been attributed to blue whales based on similarity to blue whale songs in other areas. Recordings of sounds with these characteristics were made opportunistically during the Southern Ocean Research Partnership's recent Antarctic Blue Whale Voyage. Detections of these sounds occurred all around the South Island of New Zealand during the voyage transits from Nelson, New Zealand to the Antarctic and return. By following acoustic bearings from directional sonobuoys, blue whales were visually detected and confirmed as the source of these sounds. These recordings, together with the historical recordings made northeast of New Zealand, indicate song types that persist over several decades and are indicative of the year-round presence of a population of blue whales that inhabits the waters around New Zealand. Measurements of the four-part vocalizations reveal that blue whale song in this region has changed slowly, but consistently over the past 50 years. The most intense units of these calls were detected as far south as 53 degrees S, which represents a considerable range extension compared to the limited prior data on the spatial distribution of this population. (C) 2014 Acoustical Society of America.</t>
  </si>
  <si>
    <t>[Miller, Brian S.; Collins, Kym; Calderan, Susannah; Ensor, Paul; Olavarria, Carlos; Double, Michael C.] Australian Antarctic Div, Australian Marine Mammal Ctr, Kingston, Tas 7050, Australia; [Barlow, Jay; Olson, Paula A.] NOAA, Southwest Fisheries Sci Ctr, Natl Marine Fisheries Serv, La Jolla, CA 92037 USA; [Leaper, Russell] Univ Aberdeen, Sch Biol Sci, Aberdeen AB24 2TZ, Scotland; [McDonald, Mark] Whale Acoust, Bellvue, CO 80512 USA</t>
  </si>
  <si>
    <t>Australian Antarctic Division; National Oceanic Atmospheric Admin (NOAA) - USA; University of Aberdeen</t>
  </si>
  <si>
    <t>Miller, BS (corresponding author), Australian Antarctic Div, Australian Marine Mammal Ctr, Channel Highway, Kingston, Tas 7050, Australia.</t>
  </si>
  <si>
    <t>brian.miller@aad.gov.au</t>
  </si>
  <si>
    <t>Barlow, Jay/D-3565-2019</t>
  </si>
  <si>
    <t>Barlow, Jay/0000-0001-7862-855X; Miller, Brian/0000-0001-7615-3044</t>
  </si>
  <si>
    <t>ACOUSTICAL SOC AMER AMER INST PHYSICS</t>
  </si>
  <si>
    <t>MELVILLE</t>
  </si>
  <si>
    <t>STE 1 NO 1, 2 HUNTINGTON QUADRANGLE, MELVILLE, NY 11747-4502 USA</t>
  </si>
  <si>
    <t>0001-4966</t>
  </si>
  <si>
    <t>1520-8524</t>
  </si>
  <si>
    <t>J ACOUST SOC AM</t>
  </si>
  <si>
    <t>J. Acoust. Soc. Am.</t>
  </si>
  <si>
    <t>10.1121/1.4863647</t>
  </si>
  <si>
    <t>Acoustics; Audiology &amp; Speech-Language Pathology</t>
  </si>
  <si>
    <t>AJ7SM</t>
  </si>
  <si>
    <t>WOS:000337897400063</t>
  </si>
  <si>
    <t>Vestheim, H; Rostad, A; Klevjer, TA; Solberg, I; Kaartvedt, S</t>
  </si>
  <si>
    <t>Vestheim, Hege; Rostad, Anders; Klevjer, Thor A.; Solberg, Ingrid; Kaartvedt, Stein</t>
  </si>
  <si>
    <t>Vertical distribution and diel vertical migration of krill beneath snow-covered ice and in ice-free waters</t>
  </si>
  <si>
    <t>JOURNAL OF PLANKTON RESEARCH</t>
  </si>
  <si>
    <t>Meganyctiphanes norvegica; synchronous and asynchronous DVM; Norway; sea ice; stationary acoustics</t>
  </si>
  <si>
    <t>MEGANYCTIPHANES-NORVEGICA SARS; NORTHERN KRILL; ANTARCTIC KRILL; IN-SITU; DOWNWELLING IRRADIANCE; SWIMMING BEHAVIOR; ARCTIC-OCEAN; DYNAMICS; FISH; SEA</t>
  </si>
  <si>
    <t>A bottom mounted upward looking Simrad EK60 120-kHz echo sounder was used to study scattering layers (SLs) and individuals of the krill Meganyctiphanes norvegica. The mooring was situated at 150-m depth in the Oslofjord, connected with an onshore cable for power and transmission of digitized data. Records spanned 5 months from late autumn to spring. A current meter and CTD was associated with the acoustic mooring and a shore-based webcam monitored ice conditions in the fjord. The continuous measurements were supplemented with intermittent krill sampling campaigns and their physical and biological environment. The krill carried out diel vertical migration (DVM) throughout the winter, regardless of the distribution of potential prey. The fjord froze over in mid-winter and the daytime distribution of a mid-water SL of krill immediately became shallower associated with snow fall after freezing, likely related to reduction of light intensities. Still, a fraction of the population always descended all the way to the bottom, so that the krill population by day seemed to inhabit waters with light levels spanning up to six orders of magnitude. Deep-living krill ascended in synchrony with the rest of the population in the afternoon, but individuals consistently reappeared in near-bottom waters already &lt;1 h after the ascent. Thereafter, the krill appeared to undertake asynchronous migrations, with some krill always being present in near-bottom waters even though the entire population appeared to undertake DVM.</t>
  </si>
  <si>
    <t>[Vestheim, Hege; Rostad, Anders; Klevjer, Thor A.; Solberg, Ingrid; Kaartvedt, Stein] King Abdullah Univ Sci &amp; Technol, Red Sea Res Ctr, Thuwal 239556900, Saudi Arabia; [Rostad, Anders; Klevjer, Thor A.; Kaartvedt, Stein] Univ Oslo, Dept Biosci, N-0316 Oslo, Norway</t>
  </si>
  <si>
    <t>King Abdullah University of Science &amp; Technology; University of Oslo</t>
  </si>
  <si>
    <t>Vestheim, H (corresponding author), King Abdullah Univ Sci &amp; Technol, Red Sea Res Ctr, Thuwal 239556900, Saudi Arabia.</t>
  </si>
  <si>
    <t>hege.vestheim@gmail.com</t>
  </si>
  <si>
    <t>Solberg, Ingrid/KBQ-4593-2024</t>
  </si>
  <si>
    <t>Rostad, Anders/0000-0002-2512-9033</t>
  </si>
  <si>
    <t>Research Council of Norway; University of Oslo; King Abdullah University of Science and Technology</t>
  </si>
  <si>
    <t>Research Council of Norway(Research Council of Norway); University of Oslo; King Abdullah University of Science and Technology(King Abdullah University of Science &amp; Technology)</t>
  </si>
  <si>
    <t>This study was funded by the Research Council of Norway, University of Oslo and King Abdullah University of Science and Technology. Funding to pay the Open Access publication charges for this article was provided by King Abdullah University of Science and Technology.</t>
  </si>
  <si>
    <t>0142-7873</t>
  </si>
  <si>
    <t>1464-3774</t>
  </si>
  <si>
    <t>J PLANKTON RES</t>
  </si>
  <si>
    <t>J. Plankton Res.</t>
  </si>
  <si>
    <t>MAR-APR</t>
  </si>
  <si>
    <t>10.1093/plankt/fbt112</t>
  </si>
  <si>
    <t>AH9UP</t>
  </si>
  <si>
    <t>WOS:000336489800017</t>
  </si>
  <si>
    <t>Cohuo-Durán, S; Pérez, L; Karanovic, I</t>
  </si>
  <si>
    <t>Cohuo-Duran, Sergio; Perez, Liseth; Karanovic, Ivana</t>
  </si>
  <si>
    <t>On Limnocytherina axalapasco, a new freshwater ostracod (Podocopida: Limnocytheridae) from Mexican crater lakes</t>
  </si>
  <si>
    <t>REVISTA DE BIOLOGIA TROPICAL</t>
  </si>
  <si>
    <t>Ostracoda; taxonomy; ecology; Limnocytherina axalapasco; hemipenis</t>
  </si>
  <si>
    <t>LAGO PETEN ITZA; CRUSTACEA OSTRACODA; GUATEMALA; CHEMISTRY; PRIMERS; SYSTEMS</t>
  </si>
  <si>
    <t>Limnocytherina is a genus conformed by 12 species; its distribution in the American continent is known to be exclusively on the North (neartics), but little is reported about its distribution from Mexico (transition zone) and Central America (Neotropics). Different sampling campaigns were undertaken in three crater lakes from the Axalapascos region in east-central Mexico, during 2008, 2009 and 2011. As a product of these campaings, the new species of Limnocytherina axalapasco was found, which displays some intraspecific variability among populations. In this study, we described the taxonomy, the habitat, the ecological preferences and the larval development of this new species. A total of 10 sediment samples (8 littoral, 2 deepest point) were collected from lakes Alchichica, La Preciosa and Quechulac. We found that L. axalapasco is closely related to two North American species: L. posterolimba and L. itasca as well as one Central American species L. royi comb. nov. With the inclusion of L. axalapasco and L. royi to the genus, the distribution of Limnocytherina is extended to Central America. The four most important distinguishing characters of this new species are: 1) valve surface and margins covered with small, spine-like projections; 2) most of the A1 setae with a highly developed setule at distal part, producing a bifurcate appearance; 3) the upper ramus on the hemipenis is elongated, and by far overpasses dorsal/distal margins, distal lobe is triangular and short, while the hook-like process is prominent, outward orientated, and overpassing the tip of the distal lobe; 4) the UR is moderately developed with seta f3 elongated and setae f1 and f2 short. Considering its ecological characteristics and larval development, L. axalapasco was preferably found in alkaline waters dominated by Cl- or HCO3- and Na+ or Mg2+, temperatures ranging between 19.1 to 20.3 degrees C, and dissolved oxygen concentrations from 5 to 6.5mg/L. This species was abundant in deeper (similar to 64m) areas of the saline Alchichica lake, where surface water displayed conductivity values of up to 2 250 mu S/cm, and the sand with low percentage of silt resulted the preferred substrate. Along with the description of L. axalapasco, we provide additional information on the hemipenis of L. itasca, L. royi and L. sanctipatricii, and we discuss on the Limnocytherina-type of hemipenis.</t>
  </si>
  <si>
    <t>[Cohuo-Duran, Sergio] Colegio Frontera Sur, Chetmal 77014, Quintana Roo, Mexico; [Perez, Liseth] Univ Nacl Autonoma Mexico, Inst Geol, Mexico City 04510, DF, Mexico; [Karanovic, Ivana] Hanyang Univ, Dept Life Sci, Seoul 133791, South Korea; [Karanovic, Ivana] Univ Tasmania, Inst Marine &amp; Antarctic Studies, Hobart, Tas 7001, Australia</t>
  </si>
  <si>
    <t>El Colegio de la Frontera Sur (ECOSUR); Universidad Nacional Autonoma de Mexico; Hanyang University; University of Tasmania</t>
  </si>
  <si>
    <t>Cohuo-Durán, S (corresponding author), Colegio Frontera Sur, Av Centenario Km 5-5, Chetmal 77014, Quintana Roo, Mexico.</t>
  </si>
  <si>
    <t>Sergiocd@comunidad.unam.mx; lcpereza@geologia.unam.mx; ivana.Karanovic@utas.edu.au</t>
  </si>
  <si>
    <t>Perez, Liseth/AAO-6731-2020; Pérez, Liseth/HZI-0811-2023</t>
  </si>
  <si>
    <t>Perez, Liseth/0000-0002-5256-3070; Pérez, Liseth/0000-0002-5256-3070</t>
  </si>
  <si>
    <t>CONACYT [167621]; National Science Foundation (NSF) [0902864]; Division Of Earth Sciences; Directorate For Geosciences [0902864] Funding Source: National Science Foundation</t>
  </si>
  <si>
    <t>CONACYT(Consejo Nacional de Ciencia y Tecnologia (CONACyT)); National Science Foundation (NSF)(National Science Foundation (NSF)); Division Of Earth Sciences; Directorate For Geosciences(National Science Foundation (NSF)NSF - Directorate for Geosciences (GEO))</t>
  </si>
  <si>
    <t>We thank those people who participated in our field trips, laboratory analyses, and comments: Manuel Elias (ECOSUR, Chetumal Unit), Margarita Caballero, Edyta Zawisza (Instituto de Geofisica, UNAM), Socorro Lozano, Alexander Correa-Metrio, Esperanza Torres (Instituto de Geologia, UNAM), Maria Aurora Armienta (Instituto de Geofisica), Jason Curtis (University of Florida, Gainesville) and Ana Lucia Martinez (Benemerita Universidad de Puebla). We also thank the agencies that provided financial support: CONACYT (project number 167621), National Science Foundation (NSF award number 0902864). We appreciate the constructive comments and drawings provided by Burkhard Scharf, which helped in the improvement of this manuscript. We also appreciate the help of the institution involved in this research: El Colegio de la Frontera Sur, Chetumal Unit, Hanyang University and Universidad Nacional Autonoma de Mexico.</t>
  </si>
  <si>
    <t>SAN JOSE</t>
  </si>
  <si>
    <t>UNIVERSIDAD DE COSTA RICA CIUDAD UNIVERSITARIA, SAN JOSE, 00000, COSTA RICA</t>
  </si>
  <si>
    <t>0034-7744</t>
  </si>
  <si>
    <t>2215-2075</t>
  </si>
  <si>
    <t>REV BIOL TROP</t>
  </si>
  <si>
    <t>Rev. Biol. Trop.</t>
  </si>
  <si>
    <t>10.15517/rbt.v62i1.11796</t>
  </si>
  <si>
    <t>Biology</t>
  </si>
  <si>
    <t>Life Sciences &amp; Biomedicine - Other Topics</t>
  </si>
  <si>
    <t>AH8UX</t>
  </si>
  <si>
    <t>WOS:000336414800003</t>
  </si>
  <si>
    <t>Firing, YL; Chereskin, TK; Watts, DR; Tracey, KL; Provost, C</t>
  </si>
  <si>
    <t>Firing, Y. L.; Chereskin, T. K.; Watts, D. R.; Tracey, K. L.; Provost, C.</t>
  </si>
  <si>
    <t>Computation of Geostrophic Streamfunction, Its Derivatives, and Error Estimates from an Array of CPIES in Drake Passage</t>
  </si>
  <si>
    <t>JOURNAL OF ATMOSPHERIC AND OCEANIC TECHNOLOGY</t>
  </si>
  <si>
    <t>Southern Ocean; Advection; Currents; Streamfunction; Acoustic measurements; effects; In situ oceanic observations</t>
  </si>
  <si>
    <t>INVERTED ECHO SOUNDERS; ANTARCTIC CIRCUMPOLAR CURRENT; DOPPLER CURRENT PROFILERS; GRAVEST EMPIRICAL MODE; GULF-STREAM; ABSOLUTE VELOCITY; SOUTHERN-OCEAN; TRANSPORT; ATLANTIC; FIELDS</t>
  </si>
  <si>
    <t>Current and pressure-recording inverted echo sounders (CPIES) were deployed in an eddy-resolving local dynamics array (LDA) in the eddy-rich polar frontal zone (PFZ) in Drake Passage as part of the cDrake experiment. Methods are described for calculating barotropic and baroclinic geostrophic streamfunction and its first, second, and third derivatives by objective mapping of current, pressure, or geopotential height anomaly data from a two-dimensional array of CPIES like the cDrake LDA.Modifications to previous methods result in improved dimensional error estimates on velocity and higher streamfunction derivatives. Simulations are used to test the reproduction of higher derivatives of streamfunction and to verify mapping error estimates. Three-day low-pass-filtered velocity in and around the cDrake LDA can be mapped with errors of 0.04 m s(-1) at 4000 dbar, increasing to 0.13 m s(-1) at the sea surface; these errors are small compared to typical speeds observed at these levels, 0.2 and 0.65 m s(-1), respectively. Errors on vorticity are 9 x 10(-6) s(-1) near the surface, decreasing with depth to 3 x 10(-6) s(-1) at 4000 dbar, whereas vorticities in the PFZ eddy field are 4 x 10(-5) s(-1) (surface) to 1.3 x 10(-5) s(-1) (4000 dbar). Vorticity gradient errors range from 4 x 10(-10) to 2 x 10(-10) m (-1) s(-1), just under half the size of typical PFZ vorticity gradients. Comparisons between cDrake mapped temperature and velocity fields and independent observations (moored current and temperature, lowered acoustic Doppler current profiler velocity, and satellite-derived surface currents) help validate the cDrake method and results.</t>
  </si>
  <si>
    <t>[Firing, Y. L.; Chereskin, T. K.] Univ Calif San Diego, Scripps Inst Oceanog, La Jolla, CA 92093 USA; [Watts, D. R.; Tracey, K. L.] Univ Rhode Isl, Grad Sch Oceanog, Narragansett, RI 02882 USA; [Provost, C.] Univ Paris 06, CNRS, UMR 7159, LOCEAN,IRD,MNHN, Paris, France</t>
  </si>
  <si>
    <t>University of California System; University of California San Diego; Scripps Institution of Oceanography; University of Rhode Island; Sorbonne Universite; Museum National d'Histoire Naturelle (MNHN); Institut de Recherche pour le Developpement (IRD); Centre National de la Recherche Scientifique (CNRS); CNRS - National Institute for Earth Sciences &amp; Astronomy (INSU)</t>
  </si>
  <si>
    <t>Firing, YL (corresponding author), CALTECH, Jet Prop Lab, 4800 Oak Grove Dr,M-S 233-305, Pasadena, CA 91109 USA.</t>
  </si>
  <si>
    <t>yfiring@caltech.edu</t>
  </si>
  <si>
    <t>Chereskin, Teresa/0000-0003-1214-0978; Watts, D Randolph/0000-0002-6738-5916; Provost, Christine/0000-0003-4693-3685; Firing, Yvonne/0000-0002-3640-3974</t>
  </si>
  <si>
    <t>National Science Foundation Office of Polar Programs under NSF [ANT-0636493, ANT-0635437]; NASA Earth Systems Science Fellowship [NNX09AN87H]; Directorate For Geosciences; Office of Polar Programs (OPP) [1141802] Funding Source: National Science Foundation; Directorate For Geosciences; Office of Polar Programs (OPP) [1141922] Funding Source: National Science Foundation; NASA [NNX09AN87H, 113127] Funding Source: Federal RePORTER</t>
  </si>
  <si>
    <t>National Science Foundation Office of Polar Programs under NSF(National Science Foundation (NSF)); NASA Earth Systems Science Fellowship; Directorate For Geosciences; Office of Polar Programs (OPP)(National Science Foundation (NSF)NSF - Directorate for Geosciences (GEO)); Directorate For Geosciences; Office of Polar Programs (OPP)(National Science Foundation (NSF)NSF - Directorate for Geosciences (GEO)); NASA(National Aeronautics &amp; Space Administration (NASA))</t>
  </si>
  <si>
    <t>We are particularly grateful to Kathleen Donohue for coleading the cDrake project and for providing extensive advice on numerous issues in this manuscript. The optimal interpolation codes developed for this work build on earlier codes developed by Xiaoshu Qian and Christopher Meinen. The LADCP data were processed using publicly available software, and we are grateful to the software developers and maintainers: E. Firing, M. Visbeck, A. Thurnherr, and G. Krahmann. XCTD data were provided by J. Sprintall. The National Science Foundation Office of Polar Programs supported this work under NSF Grants ANT-0636493 (SIO cDrake) and ANT-0635437 (URI cDrake). Y. Firing was supported by NASA Earth Systems Science Fellowship NNX09AN87H. We thank G. Chaplin, S. Escher, D. Holloway, E. Sousa, the captains and crew of the RVIB Nathaniel B. Palmer, and Raytheon Polar Services for technical and logistical support during the cDrake cruises.</t>
  </si>
  <si>
    <t>0739-0572</t>
  </si>
  <si>
    <t>1520-0426</t>
  </si>
  <si>
    <t>J ATMOS OCEAN TECH</t>
  </si>
  <si>
    <t>J. Atmos. Ocean. Technol.</t>
  </si>
  <si>
    <t>10.1175/JTECH-D-13-00142.1</t>
  </si>
  <si>
    <t>Engineering, Ocean; Meteorology &amp; Atmospheric Sciences</t>
  </si>
  <si>
    <t>Engineering; Meteorology &amp; Atmospheric Sciences</t>
  </si>
  <si>
    <t>AH6EF</t>
  </si>
  <si>
    <t>Green Submitted, hybrid</t>
  </si>
  <si>
    <t>WOS:000336222800008</t>
  </si>
  <si>
    <t>Sochting, U; Sogaard, MZ; Elix, JA; Arup, U; Elvebakk, A; Sancho, LG</t>
  </si>
  <si>
    <t>Sochting, Ulrik; Sogaard, Majbrit Zeuthen; Elix, John A.; Arup, Ulf; Elvebakk, Arve; Sancho, Leopoldo G.</t>
  </si>
  <si>
    <t>Catenarina (Teloschistaceae, Ascomycota), a new Southern Hemisphere genus with 7-chlorocatenarin</t>
  </si>
  <si>
    <t>LICHENOLOGIST</t>
  </si>
  <si>
    <t>Antarctica; Argentina; Caloplaca; Chile; HPLC; Kerguelen Island; lichen metabolites; molecular phylogeny</t>
  </si>
  <si>
    <t>METABOLIC PRODUCT; CALOPLACA; PRIMERS; MICROORGANISMS; PHYLOGENETICS; AMPLIFICATION; BIOCHEMISTRY; JMODELTEST; TAXONOMY; FUNGI</t>
  </si>
  <si>
    <t>A new genus, Catenarina (Teloschistaceae, Ascomycota), with three species is described from the Southern Hemisphere, supported by molecular data. All species contain the secondary metabolite 7-chlorocatenarin, previously unknown in lichens. Catenarinadesolata is a non-littoral, lichenicolous species found on volcanic and soft sedimentary rock at 190-300 m in and near steppes in southernmost Chile and on the subantarctic island, Kerguelen. Catenarina vivasiana grows on maritime rocks and on rock outcrops in lowland Nothofagus forests, but has also been found at altitudes up to c. 580 m on moss and detritus on outcrops in Tierra del Fuego. The Antarctic species Caloplaca iomma is transferred to Catenarina based on chemical data; it grows on rocks near the coast in maritime Antarctica.</t>
  </si>
  <si>
    <t>[Sochting, Ulrik; Sogaard, Majbrit Zeuthen] Univ Copenhagen, Dept Biol, Sect Ecol &amp; Evolut, DK-2100 Copenhagen K, Denmark; [Elix, John A.] Res Sch Chem, Canberra, ACT 0200, Australia; [Arup, Ulf] Lund Univ, Bot Museum, SE-22100 Lund, Sweden; [Elvebakk, Arve] Univ Tromso, Tromso Univ Museum, N-9037 Tromso, Norway; [Sancho, Leopoldo G.] Univ Complutense Madrid, Dept Biol Vegetal 2, E-28040 Madrid, Spain</t>
  </si>
  <si>
    <t>University of Copenhagen; Australian National University; Lund University; UiT The Arctic University of Tromso; Complutense University of Madrid</t>
  </si>
  <si>
    <t>Sochting, U (corresponding author), Univ Copenhagen, Dept Biol, Sect Ecol &amp; Evolut, Univ Pk 15, DK-2100 Copenhagen K, Denmark.</t>
  </si>
  <si>
    <t>ulriks@bio.ku.dk</t>
  </si>
  <si>
    <t>SANCHO, LEOPOLDO/G-9120-2015; Sochting, Ulrik/M-2886-2014</t>
  </si>
  <si>
    <t>SANCHO, LEOPOLDO/0000-0002-4751-7475; Sochting, Ulrik/0000-0001-7122-9425</t>
  </si>
  <si>
    <t>Carlsberg Foundation [2008_01_0645]; Spanish Ministerio de Economia [CTM 2012-38222-C02-01]</t>
  </si>
  <si>
    <t>Carlsberg Foundation(Carlsberg Foundation); Spanish Ministerio de Economia(Spanish Government)</t>
  </si>
  <si>
    <t>Lisbeth Knudsen is thanked for technical assistance in the HPLC and molecular laboratories, and Victoria Gordon Friis for linguistic revision. The project was supported by a grant to the first author from the Carlsberg Foundation (2008_01_0645) and to the last author by Spanish Ministerio de Economia (CTM 2012-38222-C02-01).</t>
  </si>
  <si>
    <t>EDINBURGH BLDG, SHAFTESBURY RD, CB2 8RU CAMBRIDGE, ENGLAND</t>
  </si>
  <si>
    <t>0024-2829</t>
  </si>
  <si>
    <t>1096-1135</t>
  </si>
  <si>
    <t>Lichenologist</t>
  </si>
  <si>
    <t>10.1017/S002428291300087X</t>
  </si>
  <si>
    <t>Plant Sciences; Mycology</t>
  </si>
  <si>
    <t>AC7DC</t>
  </si>
  <si>
    <t>WOS:000332686400005</t>
  </si>
  <si>
    <t>Vysetti, B; Vummiti, D; Roy, P; Taylor, C; Kamala, CT; Satyanarayanan, M; Kar, P; Subramanyam, KSV; Raju, AK; Abburi, K</t>
  </si>
  <si>
    <t>Vysetti, Balaram; Vummiti, Dharmendra; Roy, Parijat; Taylor, Craig; Kamala, C. T.; Satyanarayanan, M.; Kar, Prasenjit; Subramanyam, K. S. V.; Raju, Arun Kumar; Abburi, Krishnaiah</t>
  </si>
  <si>
    <t>Analysis of Geochemical Samples by Microwave Plasma-AES</t>
  </si>
  <si>
    <t>ATOMIC SPECTROSCOPY</t>
  </si>
  <si>
    <t>ATOMIC-EMISSION-SPECTROMETRY; ION-SOURCE; TRACE; SPECTROSCOPY; METALS; ROCKS; PERFORMANCE; ELEMENTS</t>
  </si>
  <si>
    <t>Accurate and reliable analytical techniques and methodologies possessing high sensitivity and selectivity, coupled with convenience and economy and applicable to real-world situations, are required for geochemical studies. Quantitative analysis of major, minor, and some trace elements were performed in several geochemical reference samples using a new microwave plasma-atomic emission spectrometry (MP-AES) technique. A range of rock, soil, sediment, and water reference materials were chosen to evaluate the performance of this technique. A set of sample decomposition/digestion methods, which included a closed digestion technique utilizing a multi-acid mixture in a closed vessel and a fusion digestion technique utilizing lithium meta-borate in a glassy carbon crucible, were used for the determination of all major and minor elements in addition to Si, and more than 15 trace elements in sample solutions at the ng/g and sub-ng/g levels. Matrix interference effects encountered from concomitant elements, acid type and concentration, calibration strategies adopted, detection limits, accuracy and precision obtained were discussed. The analytical wavelengths selected were based on sensitivity and interference effects from other concomitant elements present in different sample solutions. The detection limits for several elements were found to be in the 0.05 to 5 ng/g range, which approached those of an ICP-AES technique but were much superior to flame AAS. Precisions of &lt;= 3% RSD were obtained for major and minor elements and &lt;= 6% RSD for trace elements with comparable accuracies for most determinations. The results obtained in this study clearly indicate that MP-AES is a suitable atomic emission spectrometry technique for the accurate determination of major, minor, and selected trace elements required in geochemical studies.</t>
  </si>
  <si>
    <t>[Vysetti, Balaram; Kamala, C. T.; Satyanarayanan, M.; Subramanyam, K. S. V.] CSIR, Natl Geophys Res Inst, Hyderabad 500007, Andhra Pradesh, India; [Vummiti, Dharmendra; Kar, Prasenjit; Raju, Arun Kumar] Agilent Technol, IMT, Manesar 122051, Gurgaon, India; [Roy, Parijat] Natl Ctr Antarctic &amp; Ocean Res, Vasco Da Gama 403804, Goa, India; [Taylor, Craig] Agilent Technol, Mulgrave, Vic 3170, Australia; [Vummiti, Dharmendra; Abburi, Krishnaiah] Sri Venkateswara Univ, Dept Chem, Tirupati 517502, Andhra Pradesh, India</t>
  </si>
  <si>
    <t>Council of Scientific &amp; Industrial Research (CSIR) - India; CSIR - National Geophysical Research Institute (NGRI); Agilent Technologies; Ministry of Earth Sciences (MoES) - India; National Centre for Polar and Ocean Research (NCPOR); Agilent Technologies Australia; Sri Venkateswara University</t>
  </si>
  <si>
    <t>Vysetti, B (corresponding author), CSIR, Natl Geophys Res Inst, Hyderabad 500007, Andhra Pradesh, India.</t>
  </si>
  <si>
    <t>balaram1951@yaboo.com</t>
  </si>
  <si>
    <t>Satyanarayanan, Manavalan/0000-0002-7569-4997</t>
  </si>
  <si>
    <t>UGC; CSIR, New Delhi</t>
  </si>
  <si>
    <t>UGC(University Grants Commission, India); CSIR, New Delhi(Council of Scientific &amp; Industrial Research (CSIR) - India)</t>
  </si>
  <si>
    <t>We thank Dr. Mrinal K. Sen, Director, CSIR-National Geophysical Research Institute, Hyderabad, for providing permission to publish this work. P.R. thanks Dr. S. Rajan, Director, National Centre for Antarctic and Ocean Research, Goa, India. K.A. and C.T.K acknowledge the financial support from UGC and CSIR, New Delhi, respectively. V.B. would also like to thank CSIR, New Delhi, for financial support in the form of the Emeritus Scientist Scheme.</t>
  </si>
  <si>
    <t>ATOMIC SPECTROSCOPY PRESS LTD</t>
  </si>
  <si>
    <t>KWAI CHUNG</t>
  </si>
  <si>
    <t>FLAT H29, 1-F, PHASE 2 KWAI SHING IND BLDG, NO 42-46 TAI LIN PAI RD, KWAI CHUNG, KWAI TSING, HONG KONG</t>
  </si>
  <si>
    <t>0195-5373</t>
  </si>
  <si>
    <t>2708-521X</t>
  </si>
  <si>
    <t>ATOM SPECTROSC</t>
  </si>
  <si>
    <t>Atom. Spectrosc.</t>
  </si>
  <si>
    <t>10.46770/AS.2014.02.003</t>
  </si>
  <si>
    <t>Spectroscopy</t>
  </si>
  <si>
    <t>AG9DC</t>
  </si>
  <si>
    <t>WOS:000335717900003</t>
  </si>
  <si>
    <t>Hespanhol, H; Fabón, G; Monforte, L; Martínez-Abaigar, J; Núñez-Olivera, E</t>
  </si>
  <si>
    <t>Hespanhol, Helena; Fabon, Gabriel; Monforte, Laura; Martinez-Abaigar, Javier; Nunez-Olivera, Encamacion</t>
  </si>
  <si>
    <t>Among- and within-genus variability of the UV-absorption capacity in saxicolous mosses</t>
  </si>
  <si>
    <t>BRYOLOGIST</t>
  </si>
  <si>
    <t>Bryophyte physiology; UV radiation; Andreaea; Grimmia; Racomitrium; Portugal</t>
  </si>
  <si>
    <t>ULTRAVIOLET-RADIATION; ABSORBING COMPOUNDS; AQUATIC BRYOPHYTES; ANTARCTIC MOSS; B RADIATION; STRATOSPHERIC OZONE; DESICCATION; TOLERANCE; LONG; EXPOSURE</t>
  </si>
  <si>
    <t>We studied the among- and within-genus variability of UV protection in 23 mosses belonging to the genera Andreaea, Grimmia and Racomitrium, which were collected from sun-exposed rocks in northern and central Portugal mountains. We explored the influence of genus, species and environmental factors on their UV-absorption capacity, differentiating the soluble UV-absorbing compounds (SUVAC, mainly located in the vacuoles) and the insoluble ones (WUVAC, bound to the cell wall). All the physiological variables were significantly affected by both the genus and the species, which clearly reflects the influence of genetics on the levels and compartmentation of UV-absorbing compounds (UVAC). The physiological variables analyzed were also significantly influenced by both micro- (for example, substrate and orientation) and macro-scale (chain of mountains) variables. In addition, this study showed the interaction between genetics and the environmental factors known to enhance UV exposure (for example, higher altitudes and lower latitudes and slopes) on the level and compartmentation of UV-absorbing compounds.</t>
  </si>
  <si>
    <t>[Hespanhol, Helena] Univ Porto, CIBIO, Ctr Invest Biodiversidade &amp; Recursos Genet, P-4100 Oporto, Portugal; [Fabon, Gabriel; Monforte, Laura; Martinez-Abaigar, Javier; Nunez-Olivera, Encamacion] Univ La Rioja, Complejo Cient Tecnol, Logrono 26006, La Rioja, Spain</t>
  </si>
  <si>
    <t>Universidade do Porto; Universidad de La Rioja</t>
  </si>
  <si>
    <t>Hespanhol, H (corresponding author), Univ Porto, CIBIO, Ctr Invest Biodiversidade &amp; Recursos Genet, Rua Campo Alegre 823, P-4100 Oporto, Portugal.</t>
  </si>
  <si>
    <t>helena.hespanhol@fc.up.pt</t>
  </si>
  <si>
    <t>Hespanhol, Helena/L-7301-2013; Martinez-Abaigar, Javier/L-7000-2014; Monforte, Laura/P-3410-2014; Nunez-Olivera, Encarnacion/L-7164-2014</t>
  </si>
  <si>
    <t>Hespanhol, Helena/0000-0002-8109-8112; Martinez-Abaigar, Javier/0000-0002-9762-9862; Monforte, Laura/0000-0002-7062-5650; Nunez-Olivera, Encarnacion/0000-0002-7221-3852</t>
  </si>
  <si>
    <t>Helena Hespanhol; Fundacao para a Ciencia e Tecnologia (FCT) under a Postdoctoral fellowship [SFRH/BPD/6466512009]; Programa Operacional Ciencia e Inovacao; Fundo Social Europeu; Ministerio de Economia y Competitividad of Spain; Fondo Europeo de Desarrollo Regional (FEDER) [CGL2011-26937]; Gobierno de La Rioja [PRED2010/16]</t>
  </si>
  <si>
    <t>Helena Hespanhol; Fundacao para a Ciencia e Tecnologia (FCT) under a Postdoctoral fellowship; Programa Operacional Ciencia e Inovacao; Fundo Social Europeu; Ministerio de Economia y Competitividad of Spain(Spanish Government); Fondo Europeo de Desarrollo Regional (FEDER)(European Union (EU)Spanish Government); Gobierno de La Rioja</t>
  </si>
  <si>
    <t>We thank the financial support to Helena Hespanhol, funded by the Fundacao para a Ciencia e Tecnologia (FCT) under a Postdoctoral fellowship (SFRH/BPD/6466512009) co-funded by the Programa Operacional Ciencia e Inovacao-2010 and Fundo Social Europeu. We are also grateful to the Ministerio de Economia y Competitividad of Spain and the Fondo Europeo de Desarrollo Regional (FEDER) for financial support (Project CGL2011-26937). Laura Monforte benefited from a grant of the Gobierno de La Rioja (PRED2010/16). The present work is integrated in the COST (European Cooperation in Science and Technology) Action FA0906 of the European Union UV-B radiation: a specific regulator of plant growth and food quality in a changing climate.</t>
  </si>
  <si>
    <t>AMER BRYOLOGICAL LICHENOLOGICAL SOC INC</t>
  </si>
  <si>
    <t>OMAHA</t>
  </si>
  <si>
    <t>C/O DR ROBERT S EGAN, SEC-TRES, ABLS, UNIV NEBRASKA OMAHA, DEPT BIOLOGY, OMAHA, NE 68182-0040 USA</t>
  </si>
  <si>
    <t>0007-2745</t>
  </si>
  <si>
    <t>1938-4378</t>
  </si>
  <si>
    <t>Bryologist</t>
  </si>
  <si>
    <t>SPR</t>
  </si>
  <si>
    <t>10.1639/0007-2745-117.1.001</t>
  </si>
  <si>
    <t>AG2ZP</t>
  </si>
  <si>
    <t>WOS:000335285900001</t>
  </si>
  <si>
    <t>Zhang, D; Sun, B; Ke, CQ; Cui, XB; Li, X; Guo, JX</t>
  </si>
  <si>
    <t>Zhang, Dong; Sun, Bo; Ke, Changqing; Cui, Xiangbin; Li, Xin; Guo, Jingxue</t>
  </si>
  <si>
    <t>Effect of Ice Shelf Changes on Ice Sheet Volume Change in the Amundsen Sea Embayment, West Antarctica</t>
  </si>
  <si>
    <t>IEEE JOURNAL OF SELECTED TOPICS IN APPLIED EARTH OBSERVATIONS AND REMOTE SENSING</t>
  </si>
  <si>
    <t>14th International Conference on Ground Penetrating Radar (GPR)</t>
  </si>
  <si>
    <t>JUN 04-08, 2012</t>
  </si>
  <si>
    <t>Shanghai, PEOPLES R CHINA</t>
  </si>
  <si>
    <t>Ice sheet volume change; ice shelf change; ICESat; MODIS; repeat tracks</t>
  </si>
  <si>
    <t>PINE ISLAND GLACIER; MASS-BALANCE; SATELLITE RADAR; GREENLAND; LEVEL; WIDESPREAD; MARGINS; RETREAT</t>
  </si>
  <si>
    <t>We derived elevation changes of the Geoscience Laser Altimeter System level-2 altimetry data from repeat tracks in the Amundsen Sea Embayment during 2004 to 2008. Then, we created four grid surfaces. Changes of ice shelf fronts in the study area were extracted from MODIS/Terra Calibrated Radiances Level-1B at 250-m resolution to analyze the relationship between ice shelf and ice sheet change. The results show the average volume change of the study area is about - 92.8 km(3)/a. The obvious regions of the elevation decreasemainly located near the coastline, and the diversity of the ice volume loss corresponding to an elevation reduction exceeding 2 m was distinct between different periods. By analyzing the ice volume losses of the ice shelves and the large glaciers in the Amundsen Sea Embayment, we found the thinning of the ice shelf may result in the volume loss of the ice sheet, especially the thinning near the grounding line into which the glaciers flow. Because of this, the retreat of an ice shelf may cause the accelerated volume loss of the ice sheet, and the glacier buttressing ability of the fragmented ice shelf is weaker than that of unrifted or fractured large ice shelves.</t>
  </si>
  <si>
    <t>[Zhang, Dong; Ke, Changqing] Nanjing Univ, Jiangsu Prov Key Lab Geog Informat Sci &amp; Technol, Nanjing 210093, Jiangsu, Peoples R China; [Zhang, Dong; Sun, Bo; Cui, Xiangbin; Li, Xin; Guo, Jingxue] Polar Res Inst China, SOA Key Lab Polar Sci, Shanghai 200136, Peoples R China</t>
  </si>
  <si>
    <t>Nanjing University; Polar Research Institute of China</t>
  </si>
  <si>
    <t>Ke, CQ (corresponding author), Nanjing Univ, Jiangsu Prov Key Lab Geog Informat Sci &amp; Technol, Nanjing 210093, Jiangsu, Peoples R China.</t>
  </si>
  <si>
    <t>zhangdongazx@163.com; sunbo@pric.gov.cn; kecq@nju.edu.cn; cuixiangbin@pric.gov.cn; lixin@pric.gov.cn; guojingxue@pric.gov.cn</t>
  </si>
  <si>
    <t>Cui, Xiangbin/Y-1551-2019; sun, bo/JFA-9978-2023</t>
  </si>
  <si>
    <t>Cui, Xiangbin/0000-0002-4269-8086;</t>
  </si>
  <si>
    <t>Program for Chinese National Antarctic and Arctic Research Expedition [CHINARE2012-02-02]; National Natural Science Foundation of China [20120091110017, 2012CB957702, 2010CB950301, 40906100, 41006116]; 863 High Technology Program of the People's Republic of China [2010AA09Z103, 2011AA040202]; Priority Academic Program Development of Jiangsu Higher Education Institutions (PAPD)</t>
  </si>
  <si>
    <t>Program for Chinese National Antarctic and Arctic Research Expedition; National Natural Science Foundation of China(National Natural Science Foundation of China (NSFC)); 863 High Technology Program of the People's Republic of China(National High Technology Research and Development Program of China); Priority Academic Program Development of Jiangsu Higher Education Institutions (PAPD)</t>
  </si>
  <si>
    <t>This work was supported by the Program for Chinese National Antarctic and Arctic Research Expedition under Grant CHINARE2012-02-02, the National Natural Science Foundation of China under Grant 20120091110017, the National Natural Science Foundation of China under Grant 2012CB957702 and 2010CB950301, the 863 High Technology Program of the People's Republic of China under Grants 2010AA09Z103 and 2011AA040202, and National Natural Science Foundation of China under Grant 40906100 and 41006116, and a Project Funded by the Priority Academic Program Development of Jiangsu Higher Education Institutions (PAPD). (Corresponding author: C. Ke.)</t>
  </si>
  <si>
    <t>IEEE-INST ELECTRICAL ELECTRONICS ENGINEERS INC</t>
  </si>
  <si>
    <t>PISCATAWAY</t>
  </si>
  <si>
    <t>445 HOES LANE, PISCATAWAY, NJ 08855-4141 USA</t>
  </si>
  <si>
    <t>1939-1404</t>
  </si>
  <si>
    <t>2151-1535</t>
  </si>
  <si>
    <t>IEEE J-STARS</t>
  </si>
  <si>
    <t>IEEE J. Sel. Top. Appl. Earth Observ. Remote Sens.</t>
  </si>
  <si>
    <t>10.1109/JSTARS.2013.2264160</t>
  </si>
  <si>
    <t>Engineering, Electrical &amp; Electronic; Geography, Physical; Remote Sensing; Imaging Science &amp; Photographic Technology</t>
  </si>
  <si>
    <t>Engineering; Physical Geography; Remote Sensing; Imaging Science &amp; Photographic Technology</t>
  </si>
  <si>
    <t>AG4KG</t>
  </si>
  <si>
    <t>WOS:000335387900016</t>
  </si>
  <si>
    <t>Gallaher, DW; Campbell, GG; Meier, WN</t>
  </si>
  <si>
    <t>Gallaher, David W.; Campbell, G. Garrett; Meier, Walter N.</t>
  </si>
  <si>
    <t>Anomalous Variability in Antarctic Sea Ice Extents During the 1960s With the Use of Nimbus Data</t>
  </si>
  <si>
    <t>Antarctic sea ice; historic data; Nimbus</t>
  </si>
  <si>
    <t>The Nimbus I, II, and III satellites provide a new opportunity for climate studies in the 1960s. The rescue of the visible and infrared imager data resulted in the utilization of the early Nimbus data to determine sea ice extent. A qualitative analysis of the early NASA Nimbus missions has revealed Antarctic sea ice extents that are significant larger and smaller than the historic 1979-2012 passive microwave record. The September 1964 ice mean area is 19.7x10(6) km(2) +/- 0.3x10(6) km(2). This is more the 250,000 km(2) greater than the 19.44x10(6) km(2) seen in the new 2012 historic maximum. However, in August 1966 the maximum sea ice extent fell to 15.9x10(6) km(2) +/- 0.3x10(6) km(2). This is more than 1.5x10(6) km(2) below the passive microwave record of 17.5x10(6) km(2) set in September of 1986. This variation between 1964 and 1966 represents a change of maximum sea ice of over 3x10(6) km(2) in just two years. These inter-annual variations while large, are small when compared to the Antarctic seasonal cycle.</t>
  </si>
  <si>
    <t>[Gallaher, David W.; Campbell, G. Garrett; Meier, Walter N.] Univ Colorado, Natl Snow &amp; Ice Data Ctr, Boulder, CO 80309 USA; [Meier, Walter N.] NASA, Goddard Space Flight Ctr, Greenbelt, MD 20771 USA</t>
  </si>
  <si>
    <t>University of Colorado System; University of Colorado Boulder; National Aeronautics &amp; Space Administration (NASA); NASA Goddard Space Flight Center</t>
  </si>
  <si>
    <t>Gallaher, DW (corresponding author), Univ Colorado, Natl Snow &amp; Ice Data Ctr, Boulder, CO 80309 USA.</t>
  </si>
  <si>
    <t>Meier, Walter/AAI-9583-2021</t>
  </si>
  <si>
    <t>Meier, Walter/0000-0003-2857-0550</t>
  </si>
  <si>
    <t>NASA [NNG08HZ07C]</t>
  </si>
  <si>
    <t>NASA(National Aeronautics &amp; Space Administration (NASA))</t>
  </si>
  <si>
    <t>This work was supported under NASA Sub-Contract NNG08HZ07C.</t>
  </si>
  <si>
    <t>10.1109/JSTARS.2013.2264391</t>
  </si>
  <si>
    <t>WOS:000335387900018</t>
  </si>
  <si>
    <t>Vandorpe, T; Van Rooij, D; de Haas, H</t>
  </si>
  <si>
    <t>Vandorpe, T.; Van Rooij, D.; de Haas, H.</t>
  </si>
  <si>
    <t>Stratigraphy and paleoceanography of a topography-controlled contourite drift in the Pen Duick area, southern Gulf of Cadiz</t>
  </si>
  <si>
    <t>MARINE GEOLOGY</t>
  </si>
  <si>
    <t>Gulf of Cadiz; contourite drift; Pen Duick Escarpment; mud volcano; seismic stratigraphy; Antarctic Intermediate Water</t>
  </si>
  <si>
    <t>MEDITERRANEAN OUTFLOW WATER; ANTARCTIC INTERMEDIATE WATER; MUD VOLCANO; DEPOSITIONAL SYSTEM; PORCUPINE SEABIGHT; STACKING PATTERN; ALGARVE MARGIN; CORAL MOUND; NORTH; EVOLUTION</t>
  </si>
  <si>
    <t>The northern part of the Gulf of Cadiz has and still is receiving a lot of attention from the scientific community due to (among others) the recent IODP Expedition 339. In contrast, its southern part, or the Moroccan margin has received far less attention, although mud volcanoes, diapiric ridges and cold-water corals are present in this region. The El Arraiche mud volcano field is characterized by a compressive regime creating several ridges and assisting the migration of hydrocarbon fluids towards the seabed surface. This study presents seismic and multibeam evidence for the existence of a contourite drift at water depths between 550 and 650 m along the southwestern flank of the Pen Duick Escarpment and Gemini Mud Volcano, within the El Arraiche Mud Volcano field. From the onset of the Quaternary, when the escarpment started to lift and the local mud volcanism initiated, contouritic deposition was initiated as well at the foot of both topographic obstacles. Initially, fairly low-velocity bottom currents gave rise to sheeted drift deposits, affected by the uplift of the escarpment or mud extrusion. From the Middle Pleistocene onwards, separated mounded drift deposits were formed due to intensified bottom currents. An Antarctic Intermediate Water origin is inferred as driving mechanism for the drift development, although glacial conditions are not yet well constrained. The influence of Mediterranean Outflow Water (MOW) cannot be substantiated here. Moreover, the changes recorded within this contourite drift differ from the MOW-dominated contourite depositional system in the northern Gulf of Cadiz, as drift deposits only occur as early as the base of the Quaternary (compared to the Early Pliocene for the north) and mounded drift deposits only occur from the Middle Pleistocene onwards (compared to the Early Pleistocene). Cold-water coral mounds have been observed within and on top of the sedimentary sequence at the foot of the Pen Duick Escarpment This implies that environmental conditions in which cold-water corals thrive were not necessarily restricted to the top of the Pen Duck Escarpment. (c) 2014 Elsevier B.V. All rights reserved.</t>
  </si>
  <si>
    <t>[Vandorpe, T.; Van Rooij, D.] Univ Ghent, Dept Geol &amp; Soil Sci, Renard Ctr Marine Geol, B-9000 Ghent, Belgium; [de Haas, H.] NIOZ Royal Netherlands Inst Sea Res, Dept Marine Geol, NL-1790 AB Den Burg, Netherlands</t>
  </si>
  <si>
    <t>Ghent University; Utrecht University; Royal Netherlands Institute for Sea Research (NIOZ)</t>
  </si>
  <si>
    <t>Vandorpe, T (corresponding author), Krijgslaan 281 S8, B-9000 Ghent, Belgium.</t>
  </si>
  <si>
    <t>Thomas.vandorpe@ugent.be</t>
  </si>
  <si>
    <t>Van Rooij, David/A-7938-2014</t>
  </si>
  <si>
    <t>Van Rooij, David/0000-0003-3633-3344; Vandorpe, Thomas/0000-0002-1461-2484</t>
  </si>
  <si>
    <t>Spanish project CTM (MOWER) [(2012)-39599-C03]</t>
  </si>
  <si>
    <t>Spanish project CTM (MOWER)</t>
  </si>
  <si>
    <t>The authors would like to acknowledge the captains and crews of R/V Belgica and R/V Pelagia for the many successful cruises to the study area. The helpful and stimulating discussions with J.-P. Henriet (UGent) are greatly appreciated. The data was acquired within the framework of the following past projects: ESF EuroDIVERSITY MiCROSYSTEMS, ESF EuroMARGINS MoundForce, EC FP6 HERMES (GOCE-CT-2005-511234) and EC FP7 IP HERMIONE (Grant agreement no. 226354). This research was supported by the Spanish project CTM (2012)-39599-C03 (MOWER). The aims and strategies of this paper were elaborated within the framework of the FWO-Flanders project CONTOURITE-3D, as well as IGCP project 619 and INQUA project 1204. Finally, we wish to thank F.J. Hernandez-Molina (Royal Holloway University of London) and an anonymous reviewer for their helpful comments.</t>
  </si>
  <si>
    <t>0025-3227</t>
  </si>
  <si>
    <t>1872-6151</t>
  </si>
  <si>
    <t>MAR GEOL</t>
  </si>
  <si>
    <t>Mar. Geol.</t>
  </si>
  <si>
    <t>MAR 1</t>
  </si>
  <si>
    <t>10.1016/j.margeo.2014.01.007</t>
  </si>
  <si>
    <t>Geosciences, Multidisciplinary; Oceanography</t>
  </si>
  <si>
    <t>Geology; Oceanography</t>
  </si>
  <si>
    <t>AG2WJ</t>
  </si>
  <si>
    <t>Green Published, Green Submitted</t>
  </si>
  <si>
    <t>WOS:000335277500011</t>
  </si>
  <si>
    <t>Bogorodskiy, PV; Marchenko, AV</t>
  </si>
  <si>
    <t>Bogorodskiy, P. V.; Marchenko, A. V.</t>
  </si>
  <si>
    <t>Thermodynamic effects accompanying freezing of two water layers separated by a sea ice sheet</t>
  </si>
  <si>
    <t>OCEANOLOGY</t>
  </si>
  <si>
    <t>MELT PONDS</t>
  </si>
  <si>
    <t>Laboratory modeling results of freezing a system of fresh and seawater layers separated by a sea ice sheet are presented and analyzed. They are supplemented by calculations using a thermodynamic model [1] modified for the laboratory conditions.</t>
  </si>
  <si>
    <t>[Bogorodskiy, P. V.] Arctic &amp; Antarctic Res Inst, St Petersburg 199226, Russia; [Marchenko, A. V.] State Oceanog Inst, Moscow, Russia; [Marchenko, A. V.] Univ Ctr Svalbard, Longyearbyen, Norway</t>
  </si>
  <si>
    <t>Arctic &amp; Antarctic Research Institute; University Centre Svalbard (UNIS)</t>
  </si>
  <si>
    <t>Bogorodskiy, PV (corresponding author), Arctic &amp; Antarctic Res Inst, St Petersburg 199226, Russia.</t>
  </si>
  <si>
    <t>bogorodsky@aari.nw.ru</t>
  </si>
  <si>
    <t>Marchenko, Aleksey/GSD-3516-2022</t>
  </si>
  <si>
    <t>Marchenko, Aleksey/0000-0003-4169-0063</t>
  </si>
  <si>
    <t>Research Council of Norway [POLRES 196138]; Russian Foundation for Basic Research [11-05-00448-a]</t>
  </si>
  <si>
    <t>Research Council of Norway(Research Council of Norway); Russian Foundation for Basic Research(Russian Foundation for Basic Research (RFBR)Spanish Government)</t>
  </si>
  <si>
    <t>This study was supported by the Research Council of Norway (POLRES 196138) and the Russian Foundation for Basic Research (project no. 11-05-00448-a).</t>
  </si>
  <si>
    <t>MAIK NAUKA/INTERPERIODICA/SPRINGER</t>
  </si>
  <si>
    <t>233 SPRING ST, NEW YORK, NY 10013-1578 USA</t>
  </si>
  <si>
    <t>0001-4370</t>
  </si>
  <si>
    <t>1531-8508</t>
  </si>
  <si>
    <t>OCEANOLOGY+</t>
  </si>
  <si>
    <t>Oceanology</t>
  </si>
  <si>
    <t>10.1134/S0001437014020039</t>
  </si>
  <si>
    <t>AG2KA</t>
  </si>
  <si>
    <t>WOS:000335243900004</t>
  </si>
  <si>
    <t>White, DA; Fink, D</t>
  </si>
  <si>
    <t>White, Duanne A.; Fink, David</t>
  </si>
  <si>
    <t>Late Quaternary glacial history constrains glacio-isostatic rebound in Enderby Land, East Antarctica</t>
  </si>
  <si>
    <t>JOURNAL OF GEOPHYSICAL RESEARCH-EARTH SURFACE</t>
  </si>
  <si>
    <t>Gravity Recovery and Climate Experiment (GRACE); mass balance; cosmogenic nuclide exposure dating; sea level; glacial erosion; subglacial environments</t>
  </si>
  <si>
    <t>LUTZOW-HOLM BAY; ICE-SHEET; SEA-LEVEL; DEGLACIAL HISTORY; LATE PLEISTOCENE; LAMBERT GLACIER; LARSEMANN HILLS; VESTFOLD-HILLS; EXPOSURE AGES; MASS-BALANCE</t>
  </si>
  <si>
    <t>Measurements of the loss or gain of ice mass from large ice sheets are presently achieved through satellite-based techniques such as GRACE (Gravity Recovery and Climate Experiment). The accuracy of these satellite-based measurements to changes in modern ice sheet mass depends on our knowledge of present-day glacio-isostatic crustal uplift rates caused by past ice sheet changes. To improve models of glacio-isostatic rebound in East Antarctica, we investigated ice histories along Rayner Glacier, Enderby Land, and a little explored sector of the ice sheet where GRACE data had suggested significant mass gain during the last decade. Observations from a recent glacial geomorphic reconnaissance coupled with cosmogenic nuclide dating indicate that in the lower part of the Rayner Glacier, Enderby Land, ice heights lowered by at least 300m and the calving margin retreated by at least 10km in the early Holocene (similar to 6 to 9ka B.P.). The magnitude and timing of deglaciation are consistent with ice histories used to model the postglacial rebound corrections for present-day GRACE mass trends. These observations strengthen the body of evidence that suggests ice mass gain in Enderby Land is presently partly offsetting mass loss in other parts of Antarctica.</t>
  </si>
  <si>
    <t>[White, Duanne A.] Macquarie Univ, Sydney, NSW 2109, Australia; [White, Duanne A.] Univ Canberra, Inst Appl Ecol, Canberra, ACT 2601, Australia; [Fink, David] Australian Nucl Sci &amp; Technol Org, Inst Environm Res, Sydney, NSW, Australia</t>
  </si>
  <si>
    <t>Macquarie University; University of Canberra; Australian Nuclear Science &amp; Technology Organisation</t>
  </si>
  <si>
    <t>White, DA (corresponding author), Macquarie Univ, Sydney, NSW 2109, Australia.</t>
  </si>
  <si>
    <t>duanne.white@canberra.edu.au</t>
  </si>
  <si>
    <t>fink, David/A-9518-2012; White, Duanne A/E-6919-2012</t>
  </si>
  <si>
    <t>fink, David/0000-0001-7156-4602; White, Duanne/0000-0003-0740-2072</t>
  </si>
  <si>
    <t>Alfred-Wegener-Institut fur Polar und Meeresforschung on R/V Polarstern voyage [ANTXXIII/9]; Macquarie University [MQNS 9200800775]; Australian Institute of Nuclear Science and Engineering [AINGRA08069]</t>
  </si>
  <si>
    <t>Alfred-Wegener-Institut fur Polar und Meeresforschung on R/V Polarstern voyage; Macquarie University; Australian Institute of Nuclear Science and Engineering</t>
  </si>
  <si>
    <t>Samples were collected through the support of the Alfred-Wegener-Institut fur Polar und Meeresforschung on R/V Polarstern voyage ANTXXIII/9. Tim Keighley, Katrina Butow, and Tim Barrows completed the majority of the sample processing, funded through Macquarie University (MQNS 9200800775). AMS analysis was funded by the Australian Institute of Nuclear Science and Engineering (AINGRA08069). Maps in this manuscript were generated with data provided by the Australian Antarctic Data Centre. We acknowledge the careful reviews of Mike Bentley, Andrew Hein, and two anonymous reviewers that substantially improved the clarity of the manuscript. We also acknowledge the guidance of Paul Tregoning and Damian Gore who provided comments on an earlier version of the manuscript.</t>
  </si>
  <si>
    <t>2169-9003</t>
  </si>
  <si>
    <t>2169-9011</t>
  </si>
  <si>
    <t>J GEOPHYS RES-EARTH</t>
  </si>
  <si>
    <t>J. Geophys. Res.-Earth Surf.</t>
  </si>
  <si>
    <t>10.1002/2013JF002870</t>
  </si>
  <si>
    <t>AE9WR</t>
  </si>
  <si>
    <t>WOS:000334362800001</t>
  </si>
  <si>
    <t>Patil, SM; Mohan, R; Shetye, S; Gazi, S; Jafar, S</t>
  </si>
  <si>
    <t>Patil, Shramik M.; Mohan, Rahul; Shetye, Suhas; Gazi, Sahina; Jafar, Syed</t>
  </si>
  <si>
    <t>Morphological variability of Emiliania huxleyi in the Indian sector of the Southern Ocean during the austral summer of 2010</t>
  </si>
  <si>
    <t>MARINE MICROPALEONTOLOGY</t>
  </si>
  <si>
    <t>E. huxleyi; Coccolithophores; Southern Ocean; Indian sector; Nutrients; Austral summer</t>
  </si>
  <si>
    <t>SEA-SURFACE DISTRIBUTION; CALCAREOUS NANNOPLANKTON; ATLANTIC-OCEAN; CALCIUM-CARBONATE; POLAR FRONT; COCCOLITHOPHORE; CALCIFICATION; MORPHOTYPES; PACIFIC; WATER</t>
  </si>
  <si>
    <t>We documented scanning electron micrographs of Emiliania huxleyi morphotypes from 9 vertical profile samples collected between 39 degrees S and 65.49 degrees S (57.3 degrees E) during the Fourth Indian Southern Ocean expedition (January-February, 2010). Water samples were obtained from 6 different depths (between 0 and 110 m) to study the distribution and abundance of E. huxleyi morphotypes with respect to associated environmental factors in the oceanic frontal regions of the Southern Indian Ocean. Five E. huxleyi morphotypes were identified, quantified and the preference of each morphotype with regard to physico-chemical parameters assessed by Canonical Correspondence Analysis (CCA). Morphotypes A and B comprised 62% and 0.7% of the total E. huxleyi abundance, respectively, and dominated at stations located north of the Southern Subtropical Front (SSTF) associated with warmer, highly saline and nutrient-poor surface waters. Morphotypes C and B/C are cold water forms representing 23.2% and 68.5% of the total E. huxleyi abundance, respectively, and dominated in the Subantarctic (SAF2) and Polar Frontal (PF1) regions of the Southern Indian Ocean. Morphotypes C and B/C dominated in the SAF2 and PF1 regions, which were identified as the most productive areas due to the elevated nutrient concentrations. Salinity, nitrate, phosphate and probably light intensity were the most important parameters for the proliferation of E. huxleyi in these frontal regions. Towards the south, a consistent decrease in the E. huxleyi abundance was observed and their lowest abundance recorded at the southernmost station located in the Antarctic coastal region (65.49 degrees S). (C) 2014 Elsevier B.V. All rights reserved.</t>
  </si>
  <si>
    <t>[Patil, Shramik M.; Mohan, Rahul; Shetye, Suhas; Gazi, Sahina] Natl Ctr Antarctic &amp; Ocean Res, Vasco Da Gama 403804, Goa, India; [Jafar, Syed] Whispering Meadows, Bangalore 560102, Karnataka, India</t>
  </si>
  <si>
    <t>Ministry of Earth Sciences (MoES) - India; National Centre for Polar and Ocean Research (NCPOR)</t>
  </si>
  <si>
    <t>Mohan, R (corresponding author), Natl Ctr Antarctic &amp; Ocean Res, Earth Syst Sci Org, Vasco Da Gama 403804, Goa, India.</t>
  </si>
  <si>
    <t>shramikpatil@gmail.com; rahulmohangupta@gmail.com; suhasshetye@gmail.com; sahina2gazi@gmail.com; syeda_jafar@yahoo.com</t>
  </si>
  <si>
    <t>Patil, Shramik/0000-0001-8937-1403</t>
  </si>
  <si>
    <t>0377-8398</t>
  </si>
  <si>
    <t>1872-6186</t>
  </si>
  <si>
    <t>MAR MICROPALEONTOL</t>
  </si>
  <si>
    <t>Mar. Micropaleontol.</t>
  </si>
  <si>
    <t>10.1016/j.marmicro.2014.01.005</t>
  </si>
  <si>
    <t>Paleontology</t>
  </si>
  <si>
    <t>AF6IQ</t>
  </si>
  <si>
    <t>WOS:000334818700005</t>
  </si>
  <si>
    <t>Villa, G; Fioroni, C; Persico, D; Roberts, AP; Florindo, F</t>
  </si>
  <si>
    <t>Villa, Giuliana; Fioroni, Chiara; Persico, Davide; Roberts, Andrew P.; Florindo, Fabio</t>
  </si>
  <si>
    <t>Middle Eocene to Late Oligocene Antarctic glaciation/deglaciation and Southern Ocean productivity</t>
  </si>
  <si>
    <t>Calcareous Nannofossils; Southern Ocean; Paleoecology; Paleoceanography; Environmental Magnetism; Eocene - Oligocene</t>
  </si>
  <si>
    <t>MAUD-RISE; EQUATORIAL PACIFIC; KERGUELEN PLATEAU; CALCAREOUS NANNOFOSSILS; CLIMATIC OPTIMUM; THERMAL MAXIMUM; CALCITE COMPENSATION; CENOZOIC GLACIATION; FAUNAL TURNOVER; ALANO SECTION</t>
  </si>
  <si>
    <t>During the Eocene-Oligocene transition, Earth cooled significantly from a greenhouse to an icehouse climate. Nannofossil assemblages from Southern Ocean sites enable evaluation of paleoceanographic changes and, hence, of the oceanic response to Antarctic ice sheet evolution during the Eocene and Oligocene. A combination of environmental factors such as sea surface temperature and nutrient availability is recorded by the nannofossil assemblages of and can be interpreted as responses to the following changes. A cooling trend, started in the Middle Eocene, was interrupted by warming during the Middle Eocene Climatic optimum and by short cooling episodes. The cooling episode at 39.6Ma preceded a shift toward an interval that was dominated by oligotrophic nannofossil assemblages from similar to 39.1 to similar to 36.2Ma. We suggest that oligotrophic conditions were associated with increased water mass stratification, low nutrient contents, and high efficiency of the oceanic biological pump that, in turn, promoted sequestration of carbon from surface waters, which favored cooling. After 36.2Ma, we document a large synchronous surface water productivity turnover with a dominant eutrophic nannofossil assemblage that was accompanied by a pronounced increase in magnetotactic bacterial abundance. This turnover reflects a response of coccolithophorids to changed nutrient inputs that was likely related to partial deglaciation of a transient Antarctic ice sheet and/or to iron delivery to the sea surface. Eutrophic conditions were maintained throughout the Oligocene, which was characterized by a nannofossil assemblage shift toward cool conditions at the Eocene-Oligocene transition. Finally, a warm nannofossil assemblage in the Late Oligocene indicates a warming phase.</t>
  </si>
  <si>
    <t>[Villa, Giuliana; Persico, Davide] Univ Parma, Dipartimento Fis &amp; Sci Terra Macedonio Melloni, I-43100 Parma, Italy; [Fioroni, Chiara] Univ Modena &amp; Reggio Emilia, Dipartimento Sci Chim &amp; Geol, Modena, Italy; [Roberts, Andrew P.] Australian Natl Univ, Res Sch Earth Sci, Canberra, ACT, Australia; [Florindo, Fabio] Ist Nazl Geofis &amp; Vulcanol, Rome, Italy</t>
  </si>
  <si>
    <t>University of Parma; Universita di Modena e Reggio Emilia; Australian National University; Istituto Nazionale Geofisica e Vulcanologia (INGV)</t>
  </si>
  <si>
    <t>Villa, G (corresponding author), Univ Parma, Dipartimento Fis &amp; Sci Terra Macedonio Melloni, I-43100 Parma, Italy.</t>
  </si>
  <si>
    <t>giuliana.villa@unipr.it</t>
  </si>
  <si>
    <t>Florindo, Fabio/AAU-2548-2021; Fioroni, Chiara/N-7729-2015; Florindo, Fabio/F-4119-2010; Florindo, Fabio/M-1459-2019; fioroni, chiara/ABG-5719-2020; Roberts, Andrew P/E-6422-2010</t>
  </si>
  <si>
    <t>Fioroni, Chiara/0000-0003-1274-7067; Florindo, Fabio/0000-0002-6058-9748; Florindo, Fabio/0000-0002-6058-9748; Roberts, Andrew P./0000-0003-0566-8117; Persico, Davide/0000-0001-5194-9724</t>
  </si>
  <si>
    <t>U.S. National Science Foundation (NSF); Joint Oceanographic Institutions, Inc.; MIUR PRIN; Australian Research Council [DP11010541]</t>
  </si>
  <si>
    <t>U.S. National Science Foundation (NSF)(National Science Foundation (NSF)); Joint Oceanographic Institutions, Inc.; MIUR PRIN(Ministry of Education, Universities and Research (MIUR)Research Projects of National Relevance (PRIN)); Australian Research Council(Australian Research Council)</t>
  </si>
  <si>
    <t>We thank the Integrated Ocean Drilling Program (IODP) for providing access to the studied cores. The IODP is sponsored by the U.S. National Science Foundation (NSF) and participating countries under the management of Joint Oceanographic Institutions, Inc. This research was supported by a grant (MIUR PRIN 2007) to I. Premoli Silva and E. Erba and an Australian Research Council grant (DP11010541) to Andrew Roberts. We also are grateful to Antonio Longinelli and Jorijntje Henderiks for providing comments on a draft of the manuscript, and to Bridget Wade and two anonymous reviewers for their constructive comments that helped to improve the paper.</t>
  </si>
  <si>
    <t>10.1002/2013PA002518</t>
  </si>
  <si>
    <t>AE9SO</t>
  </si>
  <si>
    <t>WOS:000334349800007</t>
  </si>
  <si>
    <t>McCallum, AB</t>
  </si>
  <si>
    <t>McCallum, Adrian B.</t>
  </si>
  <si>
    <t>Passive Road over Perennial Ice at Casey Station, Antarctica</t>
  </si>
  <si>
    <t>JOURNAL OF COLD REGIONS ENGINEERING</t>
  </si>
  <si>
    <t>Antarctic roads; Snow roads; Antarctica; Casey station; Ice roads; Passive road design; Permafrost; Insulation</t>
  </si>
  <si>
    <t>Resupply of Australia's Antarctic station Casey relies on the movement of heavy cargo over land from the wharf to the station. The road consists of gravel that is deposited seasonally over 2-3m of perennial ice. However, ongoing maintenance of this road is unsustainable because local sourcing of gravel will soon be prohibited. Therefore, alternative resupply options were investigated. Bridging solutions are available to span problematic sections of the road; however, sections of unbridged road will remain, requiring ongoing maintenance. Therefore, implementation of a passive, thermally isolated road over the existing or similar road alignment is recommended. Gravel may still be required in the initial construction of such a road; however, it would be contained and not need replenishment. Measures can be implemented in an iterative manner to ensure that the resupply of Casey Station continues in a cost-effective and environmentally sustainable manner.</t>
  </si>
  <si>
    <t>Univ Sunshine Coast, Sippy Downs, Qld 4556, Australia</t>
  </si>
  <si>
    <t>University of the Sunshine Coast</t>
  </si>
  <si>
    <t>McCallum, AB (corresponding author), Univ Sunshine Coast, Sippy Downs, Qld 4556, Australia.</t>
  </si>
  <si>
    <t>amccallu@usc.edu.au</t>
  </si>
  <si>
    <t>McCallum, Adrian/K-5796-2019</t>
  </si>
  <si>
    <t>McCallum, Adrian/0000-0002-3718-614X</t>
  </si>
  <si>
    <t>ASCE-AMER SOC CIVIL ENGINEERS</t>
  </si>
  <si>
    <t>RESTON</t>
  </si>
  <si>
    <t>1801 ALEXANDER BELL DR, RESTON, VA 20191-4400 USA</t>
  </si>
  <si>
    <t>0887-381X</t>
  </si>
  <si>
    <t>1943-5495</t>
  </si>
  <si>
    <t>J COLD REG ENG</t>
  </si>
  <si>
    <t>J. Cold Reg. Eng.</t>
  </si>
  <si>
    <t>10.1061/(ASCE)CR.1943-5495.0000061</t>
  </si>
  <si>
    <t>Engineering, Environmental; Engineering, Civil; Geosciences, Multidisciplinary</t>
  </si>
  <si>
    <t>Engineering; Geology</t>
  </si>
  <si>
    <t>AF4GD</t>
  </si>
  <si>
    <t>WOS:000334668900002</t>
  </si>
  <si>
    <t>Martin, AP; Cooper, AF; Price, RC</t>
  </si>
  <si>
    <t>Martin, A. P.; Cooper, A. F.; Price, R. C.</t>
  </si>
  <si>
    <t>Increased mantle heat flow with on-going rifting of the West Antarctic rift system inferred from characterisation of plagioclase peridotite in the shallow Antarctic mantle</t>
  </si>
  <si>
    <t>LITHOS</t>
  </si>
  <si>
    <t>Plagioclase peridotite; Continental rifting; Antarctic lithosphere; Mantle refertilisation; Metasomatism; Geothermometry</t>
  </si>
  <si>
    <t>MARIE-BYRD-LAND; SOUTHERN VICTORIA-LAND; RE-OS SYSTEMATICS; TRACE-ELEMENT; ROSS SEA; LITHOSPHERIC MANTLE; TRANSANTARCTIC MOUNTAINS; FERRIC IRON; SUBCONTINENTAL MANTLE; ABYSSAL PERIDOTITES</t>
  </si>
  <si>
    <t>The lithospheric, and shallow asthenospheric, mantle in Southern Victoria Land are known to record anomalously high heat flow but the cause remains imperfectly understood. To address this issue plagioclase peridotite xenoliths have been collected from Cenozoic alkalic igneous rocks at three localities along a 150 km transect across the western shoulder of the West Antarctic rift system in Southern Victoria Land, Antarctica. There is a geochemical, thermal and chronological progression across this section of the rift shoulder from relatively hot, young and thick lithosphere in the west to cooler, older and thinner lithosphere in the east. Overprinting this progression are relatively more recent mantle refertilising events. Melt depletion and refertilisation was relatively limited in the lithospheric mantle to the west but has been more extensive in the east. Thermometry obtained from orthopyroxene in these plagioclase peridotites indicates that those samples most recently affected by refertilising melts have attained the highest temperatures, above those predicted from idealised dynamic rift or Northern Victoria Land geotherms and higher than those prevailing in the equivalent East Antarctic mantle. Anomalously high heat flow can thus be attributed to entrapment of syn-rift melts in the lithosphere, probably since regional magmatism commenced at least 24 Myr ago. The chemistry and mineralogy of shallow plagioclase peridotite mantle can be explained by up to 8% melt extraction and a series of refertilisation events. These include: (a) up to 8% refertilisation by a N-MORB melt; (b) metasomatism involving up to 1% addition of a subduction-related component; and (c) addition of similar to 1.5% average calcio-carbonatite. A high MgO group of clinopyroxenes can be modelled by the addition of up to 1% alkalic melt. Melt extraction and refertilisation mainly occurred in the spinel stability field prior to decompression and uplift. In this region mantle plagioclase originates by a combination of subsolidus reciystallisation during decompression within the plagioclase stability field and refertilisation by basaltic melt. (C) 2013 Elsevier B.V. All rights reserved.</t>
  </si>
  <si>
    <t>[Martin, A. P.; Cooper, A. F.] Univ Otago, Dept Geol, Dunedin, New Zealand; [Price, R. C.] Univ Waikato, Hamilton, New Zealand</t>
  </si>
  <si>
    <t>University of Otago; University of Waikato</t>
  </si>
  <si>
    <t>Martin, AP (corresponding author), GNS Sci, Private Bag 1930, Dunedin, New Zealand.</t>
  </si>
  <si>
    <t>adammartin2000@yahoo.com</t>
  </si>
  <si>
    <t>Martin, A. P./0000-0002-4676-8344</t>
  </si>
  <si>
    <t>Antarctica New Zealand (New Zealand Post) scholarship; University of Otago stipend (Department of Geology)</t>
  </si>
  <si>
    <t>Damian Walls and Brent Pooley at Otago University are thanked for help in XRF analysis and sample preparation. Adam Martin was supported by an Antarctica New Zealand (New Zealand Post) scholarship and a University of Otago stipend (Department of Geology). Antarctica New Zealand is thanked for logistic support. Mike Palin is thanked for assistance with trace element analysis. Thank you to J. Gamble and E. Rampone for constructive reviews and A. Kerr for editorial handling.</t>
  </si>
  <si>
    <t>0024-4937</t>
  </si>
  <si>
    <t>1872-6143</t>
  </si>
  <si>
    <t>Lithos</t>
  </si>
  <si>
    <t>10.1016/j.lithos.2013.12.012</t>
  </si>
  <si>
    <t>Geochemistry &amp; Geophysics; Mineralogy</t>
  </si>
  <si>
    <t>AE2DA</t>
  </si>
  <si>
    <t>WOS:000333782300012</t>
  </si>
  <si>
    <t>Peng, JB; Chen, LT; Zhang, QY</t>
  </si>
  <si>
    <t>Peng Jingbei; Chen Lieting; Zhang Qingyun</t>
  </si>
  <si>
    <t>The Relationship between the El Nino/La Nina Cycle and the Transition Chains of Four Atmospheric Oscillations. Part I: The Four Oscillations</t>
  </si>
  <si>
    <t>ADVANCES IN ATMOSPHERIC SCIENCES</t>
  </si>
  <si>
    <t>oscillation; interannual variation</t>
  </si>
  <si>
    <t>ANTARCTIC CIRCUMPOLAR WAVE; SOUTHERN-OSCILLATION; NORTHERN OSCILLATION; SURFACE-TEMPERATURE; PACIFIC; TROPICS; TELECONNECTIONS; ANOMALIES; PRESSURE; ENSO</t>
  </si>
  <si>
    <t>The first leading modes of the interannual variations in low-level circulation over the North and South Pacific are the Northern Oscillation (NO) and Southern Oscillation (SO), which are oscillations in sea level pressure anomalies (SLPAs) between the eastern and western Pacific Ocean. The second leading modes are the North Pacific Oscillation (NPO) and the Antarctic Oscillation (AAO), which reflect oscillations between the subtropics and the high and middle latitudes. The transition chains of these four oscillations were investigated using the National Centers for Environmental Prediction-National Center for Atmospheric Research (NCEP-NCAR) reanalysis data. The general pattern of the transition chain between the NO and NPO was from the negative phase of the NO (NO-) to the positive phase of the NPO (NPO+), then from NO+ to NPO- to NO-. The whole transition chain took about 4-6 years. The general pattern and period of the transition between the SO and AAO were similar to those between the NO and NPO. In addition, the transition chains between the NO and NPO, and the SO and AAO, were almost simultaneous. The transition chains of the four oscillations were found to be closely connected, with the eastward propagations of SLPAs occurring along both sides of the Equator.</t>
  </si>
  <si>
    <t>[Peng Jingbei; Chen Lieting; Zhang Qingyun] Chinese Acad Sci, Inst Atmospher Phys, Int Ctr Climate &amp; Environm Sci, Beijing 100029, Peoples R China</t>
  </si>
  <si>
    <t>Chinese Academy of Sciences; Institute of Atmospheric Physics, CAS</t>
  </si>
  <si>
    <t>Peng, JB (corresponding author), Chinese Acad Sci, Inst Atmospher Phys, Int Ctr Climate &amp; Environm Sci, Beijing 100029, Peoples R China.</t>
  </si>
  <si>
    <t>pengjingbei@mail.iap.ac.cn</t>
  </si>
  <si>
    <t>National Basic Research Program of China [2012CB957800]; National Key Technologies R&amp;D Program of China [2009BAC51B02]</t>
  </si>
  <si>
    <t>National Basic Research Program of China(National Basic Research Program of China); National Key Technologies R&amp;D Program of China(National Key Technology R&amp;D Program)</t>
  </si>
  <si>
    <t>The authors are grateful to Prof. JI Liren, Prof. SUN Shuqing and the two anonymous reviewers for their constructive suggestions, which improved the manuscript substantially. This work was supported by the National Basic Research Program of China (Grant No. 2012CB957800) and the National Key Technologies R&amp;D Program of China (Grant No. 2009BAC51B02).</t>
  </si>
  <si>
    <t>SCIENCE PRESS</t>
  </si>
  <si>
    <t>BEIJING</t>
  </si>
  <si>
    <t>16 DONGHUANGCHENGGEN NORTH ST, BEIJING 100717, PEOPLES R CHINA</t>
  </si>
  <si>
    <t>0256-1530</t>
  </si>
  <si>
    <t>1861-9533</t>
  </si>
  <si>
    <t>ADV ATMOS SCI</t>
  </si>
  <si>
    <t>Adv. Atmos. Sci.</t>
  </si>
  <si>
    <t>10.1007/s00376-013-2275-0</t>
  </si>
  <si>
    <t>AE7LY</t>
  </si>
  <si>
    <t>WOS:000334180700021</t>
  </si>
  <si>
    <t>Li, SL; Chen, XT</t>
  </si>
  <si>
    <t>Li Shuanglin; Chen Xiaoting</t>
  </si>
  <si>
    <t>Quantifying the Response Strength of the Southern Stratospheric Polar Vortex to Indian Ocean Warming in Austral Summer</t>
  </si>
  <si>
    <t>southern hemispheric polar vortex; SST; atmospheric general circulation models; ozone depletion</t>
  </si>
  <si>
    <t>QUASI-BIENNIAL OSCILLATION; GENERAL-CIRCULATION MODEL; ATLANTIC CLIMATE-CHANGE; NORTH-ATLANTIC; SIMULATION; TRENDS; SST; REANALYSIS; ATMOSPHERE</t>
  </si>
  <si>
    <t>A previous multiple-AGCM study suggested that Indian Ocean Warming (IOW) tends to warm and weaken the southern polar vortex. Such an impact is robust because of a qualitative consistency among the five AGCMs used. However, a significant difference exists in the modeled strengths, particularly in the stratosphere, with those in three of the AGCMs (CCM3, CAM3, and GFS) being four to five times as strong as those in the two other models (GFDL AM2, ECHAM5). As to which case reflects reality is an important issue not only for quantifying the role of tropical ocean warming in the recent modest recovery of the ozone hole over the Antarctic, but also for projecting its future trend. This issue is addressed in the present study through comparing the models' climatological mean states and intrinsic variability, particularly those influencing tropospheric signals to propagate upward and reach the stratosphere. The results suggest that differences in intrinsic variability of model atmospheres provide implications for the difference. Based on a comparison with observations, it is speculated that the impact in the real world may be closer to the modest one simulated by GFDL AM2 and ECHAM5, rather than the strong one simulated by the three other models (CCM3, CAM3 and GFS). In particular, IOW during the past 50 years may have dynamically induced a 1.0 degrees C warming in the polar lower stratosphere (similar to 100 hPa), which canceled a fraction of radiative cooling due to ozone depletion.</t>
  </si>
  <si>
    <t>[Li Shuanglin] Chinese Acad Sci, Inst Atmospher Phys, Climate Change Res Ctr, Beijing 100029, Peoples R China; [Li Shuanglin] Chinese Acad Sci, Inst Atmospher Phys, Nansen Zhu Int Res Ctr, Beijing 100029, Peoples R China; [Chen Xiaoting] Shaanxi Prov Meteorol Observ, Xian 710015, Peoples R China; [Li Shuanglin] Chinese Acad Meteorol Sci, State Key Lab Severe Weather, Beijing 100081, Peoples R China</t>
  </si>
  <si>
    <t>Chinese Academy of Sciences; Institute of Atmospheric Physics, CAS; Chinese Academy of Sciences; Institute of Atmospheric Physics, CAS; China Meteorological Administration; Chinese Academy of Meteorological Sciences (CAMS)</t>
  </si>
  <si>
    <t>Li, SL (corresponding author), Chinese Acad Sci, Inst Atmospher Phys, Climate Change Res Ctr, Beijing 100029, Peoples R China.</t>
  </si>
  <si>
    <t>shuanglin.li@mail.iap.ac.cn</t>
  </si>
  <si>
    <t>Li, Shuanglin/D-5695-2013</t>
  </si>
  <si>
    <t>Strategic Priority Research Program of the Chinese Academy of Sciences [XDA05090406]; National Key Basic Research Program of China [2012CB417403, 2010CB428602]</t>
  </si>
  <si>
    <t>Strategic Priority Research Program of the Chinese Academy of Sciences(Chinese Academy of Sciences); National Key Basic Research Program of China(National Basic Research Program of China)</t>
  </si>
  <si>
    <t>The comments and suggestions from the two anonymous reviewers led to a significant improvement of the manuscript. This study was jointly supported by the Strategic Priority Research Program of the Chinese Academy of Sciences (Grant No. XDA05090406) and the National Key Basic Research Program of China (Grant Nos. 2012CB417403 and 2010CB428602).</t>
  </si>
  <si>
    <t>10.1007/s00376-013-2322-x</t>
  </si>
  <si>
    <t>WOS:000334180700023</t>
  </si>
  <si>
    <t>Oliver, ECJ; Wotherspoon, SJ; Holbrook, NJ</t>
  </si>
  <si>
    <t>Oliver, Eric C. J.; Wotherspoon, Simon J.; Holbrook, Neil J.</t>
  </si>
  <si>
    <t>Estimating extremes from global ocean and climate models: A Bayesian hierarchical model approach</t>
  </si>
  <si>
    <t>MONTE-CARLO METHOD; TEMPERATURE; PRECIPITATION; VARIABILITY; WIND; DISTRIBUTIONS; ENSEMBLE</t>
  </si>
  <si>
    <t>Estimating oceanic and atmospheric extremes from global climate models is not trivial as these models often poorly represent extreme events. However, these models do tend to capture the central climate statistics well (e.g., the mean temperature, variances, etc.). Here, we develop a Bayesian hierarchical model (BHM) to improve estimates of extremes from ocean and climate models. This is performed by first modeling observed extremes using an extreme value distribution (EVD). Then, the parameters of the EVD are modeled as a function of climate variables simulated by the ocean or atmosphere model over the same time period as the observations. By assuming stationarity of the model parameters, we can estimate extreme values in a projected future climate given the climate statistics of the projected climate (e.g., a climate model projection under a specified carbon emissions scenario). The model is demonstrated for extreme sea surface temperatures off southeastern Australia using satellite-derived observations and downscaled global climate model output for the 1990s and the 2060s under an A1 B emissions scenario. Using this case study we present a suite of statistics that can be used to summarize the probabilistic results of the BHM including posterior means, 95% credible intervals, and probabilities of exceedance. We also present a method for determining the statistical significance of the modeled changes in extreme value statistics. Finally, we demonstrate the utility of the BHM to test the response of extreme values to prescribed changes in climate. (C) 2013 Elsevier Ltd. All rights reserved.</t>
  </si>
  <si>
    <t>[Oliver, Eric C. J.; Wotherspoon, Simon J.; Holbrook, Neil J.] Univ Tasmania, Inst Marine &amp; Antarctic Studies, Hobart, Tas 7001, Australia; [Oliver, Eric C. J.; Holbrook, Neil J.] Australian Res Council Ctr Excellence Climate Sys, Hobart, Tas, Australia</t>
  </si>
  <si>
    <t>University of Tasmania</t>
  </si>
  <si>
    <t>Oliver, ECJ (corresponding author), Univ Tasmania, Inst Marine &amp; Antarctic Studies, Private Bag 129, Hobart, Tas 7001, Australia.</t>
  </si>
  <si>
    <t>eric.oliver@utas.edu.au</t>
  </si>
  <si>
    <t>Wotherspoon, Simon J/B-2390-2013; Holbrook, Neil/M-7544-2013; Oliver, Eric/G-5118-2014</t>
  </si>
  <si>
    <t>Wotherspoon, Simon J/0000-0002-6947-4445; Holbrook, Neil/0000-0002-3523-6254; Oliver, Eric/0000-0002-4006-2826</t>
  </si>
  <si>
    <t>Australian Research Council Super Science Fellowship [FS110200029]; Australian Research Council [FS110200029] Funding Source: Australian Research Council</t>
  </si>
  <si>
    <t>Australian Research Council Super Science Fellowship(Australian Research Council); Australian Research Council(Australian Research Council)</t>
  </si>
  <si>
    <t>The authors would like to acknowledge funding from the Australian Research Council Super Science Fellowship (Grant No. FS110200029). This manuscript makes a contribution to objectives of the ARC Centre of Excellence for Climate System Science (ARC CoE CCS) and the CLIVAR-endorsed Southwest Pacific Ocean Circulation and Climate Experiment (SPICE). The authors would like to thank the two anonymous reviewers for their thorough and constructive reviews of this paper.</t>
  </si>
  <si>
    <t>10.1016/j.pocean.2013.12.004</t>
  </si>
  <si>
    <t>AE5CT</t>
  </si>
  <si>
    <t>WOS:000334006100006</t>
  </si>
  <si>
    <t>Benthuysen, J; Furue, R; McCreary, JP; Bindoff, NL; Phillips, HE</t>
  </si>
  <si>
    <t>Benthuysen, Jessica; Furue, Ryo; McCreary, Julian P.; Bindoff, Nathaniel L.; Phillips, Helen E.</t>
  </si>
  <si>
    <t>Dynamics of the Leeuwin Current: Part 2. Impacts of mixing, friction, and advection on a buoyancy-driven eastern boundary current over a shelf</t>
  </si>
  <si>
    <t>DYNAMICS OF ATMOSPHERES AND OCEANS</t>
  </si>
  <si>
    <t>Eastern boundary currents; Leeuwin Current; Fronts</t>
  </si>
  <si>
    <t>WESTERN-AUSTRALIA; SOUTHERN AUSTRALIA; INDIAN-OCEAN; PACIFIC; COAST; MODEL; FLOW; SURFACE; EDDIES; SYSTEM</t>
  </si>
  <si>
    <t>The boundary currents over the Western Australian continental shelf and slope consist of the poleward flowing Leeuwin Current (LC) and the equatorward flowing Leeuwin Undercurrent (LUC). Key properties of the LC are its poleward strengthening, deepening to the south, and shelfbreak intensification. The alongshore flow reverses direction below about 300 m, forming the LUC at greater depths. To investigate the processes that cause these features, we obtain solutions to an idealized, regional ocean model of the South Indian Ocean. Solutions are forced by relaxing surface density to a prescribed, meridionally varying density profile rho*(y) with a timescale of delta t. In addition, vertical diffusion is intensified near the ocean surface. This diffusion establishes the minimum thickness over which density is well-mixed. We define this thickness as the upper layer. Solutions are obtained with and without a continental shelf and slope off Western Australia and for a range of values of delta t and mixing parameters. Within this upper layer, there is a meridional density gradient that balances a near-surface, eastward geostrophic flow. The eastward current downwells near the eastern boundary, leading to westward flow at depth. The upper layer's meridional structure and zonal currents crucially depend on coastal processes, including the presence of topography near the eastern boundary. Kelvin waves inhibit the upper layer from deepening at the coast. Rossby waves propagate the coastal density structure offshore, hence modifying the interior currents. A comparison of the solutions with or without a continental shelf and slope demonstrate that topographic trapping of Rossby waves is a necessary process for maintaining realistic eastern boundary current speeds. Significant poleward speeds occur only onshore of where the upper layer intersects the slope, that is, at a grounding line. Its poleward transport increases when surface-enhanced vertical mixing is applied over a greater depth. When the timescale delta t is sufficiently short, the poleward current is nearly barotropic. The current's spatial structure over the shelf is controlled by horizontal mixing, having the structure of a Munk layer. Increasing vertical diffusion deepens the upper layer thickness and strengthens the alongshore current speed. Bottom drag leads to an offshore flow along the bottom, reducing the net onshore transport and weakening the current's poleward acceleration. When delta t is long, poleward advection of buoyancy forms a density front near the shelf break, intensifying poleward speeds near the surface. With bottom drag, a bottom Ekman flow advects density offshore, shifting the jet core offshore of the shelf break. The resulting cross-shelf density gradient reverses the meridional current's direction at depth, leading to an equatorward undercurrent. (C) 2013 Elsevier B.V. All rights reserved.</t>
  </si>
  <si>
    <t>[Benthuysen, Jessica; Bindoff, Nathaniel L.] CSIRO Marine &amp; Atmospher Res, Hobart, Tas, Australia; [Benthuysen, Jessica] Ctr Australian Weather &amp; Climate Res, Hobart, Tas, Australia; [Benthuysen, Jessica; Bindoff, Nathaniel L.; Phillips, Helen E.] Univ Tasmania, Inst Marine &amp; Antarctic Studies, Hobart, Tas, Australia; [Furue, Ryo; McCreary, Julian P.] Univ Hawaii Manoa, Dept Oceanog, Honolulu, HI 96822 USA; [Furue, Ryo; McCreary, Julian P.] Univ Hawaii Manoa, Int Pacific Res Ctr, Honolulu, HI 96822 USA; [Bindoff, Nathaniel L.] Antarctic Climate &amp; Ecosyst Cooperat Res Ctr, Hobart, Tas, Australia; [Bindoff, Nathaniel L.] Ctr Excellence Climate Syst Sci, Hobart, Tas, Australia</t>
  </si>
  <si>
    <t>Commonwealth Scientific &amp; Industrial Research Organisation (CSIRO); Commonwealth Scientific &amp; Industrial Research Organisation (CSIRO); University of Tasmania; University of Hawaii System; University of Hawaii Manoa; University of Hawaii System; University of Hawaii Manoa; Antarctic Climate &amp; Ecosystems Cooperative Research Centre (ACE CRC)</t>
  </si>
  <si>
    <t>Benthuysen, J (corresponding author), Univ Tasmania, Inst Marine &amp; Antarctic Studies, Hobart, Tas, Australia.</t>
  </si>
  <si>
    <t>jessica.benthuysen@utas.edu.au</t>
  </si>
  <si>
    <t>Bindoff, Nathaniel Lee/IVV-0333-2023; Phillips, Helen/I-3761-2013; Bindoff, Nathaniel Lee/C-8050-2011</t>
  </si>
  <si>
    <t>Bindoff, Nathaniel Lee/0000-0001-5662-9519; Phillips, Helen/0000-0002-2941-7577; Bindoff, Nathaniel Lee/0000-0001-5662-9519; Furue, Ryo/0000-0003-0563-1189; Benthuysen, Jessica/0000-0001-7615-6587</t>
  </si>
  <si>
    <t>NSF [OCE-0961716]; CSIRO OCE postdoctoral fellowship; Japan Agency for Marine-Earth Science and Technology (JAMSTEC); NASA [NNX07AG53G]; NOAA [NA09OAR4320075]; ARC Centre of Excellence for Climate System Science [CE110001028]; Directorate For Geosciences; Division Of Ocean Sciences [0961716] Funding Source: National Science Foundation</t>
  </si>
  <si>
    <t>NSF(National Science Foundation (NSF)); CSIRO OCE postdoctoral fellowship; Japan Agency for Marine-Earth Science and Technology (JAMSTEC); NASA(National Aeronautics &amp; Space Administration (NASA)); NOAA(National Oceanic Atmospheric Admin (NOAA) - USA); ARC Centre of Excellence for Climate System Science(Australian Research Council); Directorate For Geosciences; Division Of Ocean Sciences(National Science Foundation (NSF)NSF - Directorate for Geosciences (GEO))</t>
  </si>
  <si>
    <t>We thank Ming Feng, Stuart Godfrey, Katsuro Katsumata, and Fabian Schloesser (alphabetical order) for helpful discussion. This work is in part supported by NSF grant OCE-0961716. J. Benthuysen is supported by a CSIRO OCE postdoctoral fellowship. J.P. McCreary was supported by the Australian National Network in Marine Science for his visit to the University of Tasmania. R. Furue and J.P. McCreary are also supported by the Japan Agency for Marine-Earth Science and Technology (JAMSTEC), by NASA through grant No. NNX07AG53G, and by NOAA through grant No. NA09OAR4320075, which sponsor research at the International Pacific Research Center (IPRC). The numerical experiments were run on the high performance computer of the Tasmanian Partnership for Advanced Computing at University of Tasmania. J. Benthuysen and H. E. Phillips acknowledge support from the ARC Centre of Excellence for Climate System Science (CE110001028). SOEST Contribution Number 9031 and IPRC Contribution Number 1024.</t>
  </si>
  <si>
    <t>0377-0265</t>
  </si>
  <si>
    <t>1872-6879</t>
  </si>
  <si>
    <t>DYNAM ATMOS OCEANS</t>
  </si>
  <si>
    <t>Dyn. Atmos. Oceans</t>
  </si>
  <si>
    <t>10.1016/j.dynatmoce.2013.10.004</t>
  </si>
  <si>
    <t>Geochemistry &amp; Geophysics; Meteorology &amp; Atmospheric Sciences; Oceanography</t>
  </si>
  <si>
    <t>AE2HN</t>
  </si>
  <si>
    <t>WOS:000333794000003</t>
  </si>
  <si>
    <t>Tessone, A; Fernández, PM; Bellelli, C; Panarello, H</t>
  </si>
  <si>
    <t>Tessone, Augusto; Marcelo Fernandez, Pablo; Bellelli, Cristina; Panarello, Hector</t>
  </si>
  <si>
    <t>δ13C and δ15N Characterization of Modern Huemul (Hippocamelus bisulcus) from the Patagonian Andean Forest. Scope and Limitations of Their Use as a Geographical Marker</t>
  </si>
  <si>
    <t>INTERNATIONAL JOURNAL OF OSTEOARCHAEOLOGY</t>
  </si>
  <si>
    <t>hunter-gatherer; steppe; Holocene; nitrogen; Lama guanicoe; Hippocamelus bisulcus; Patagonian Andean forest; carbon</t>
  </si>
  <si>
    <t>CARBON-ISOTOPE RATIOS; STABLE-ISOTOPES; RAINFALL GRADIENT; FOLIAR DELTA-N-15; NITROGEN; COLLAGEN; BONE; ECOLOGY; VALUES; PLANTS</t>
  </si>
  <si>
    <t>This paper presents an isotopic characterization (delta C-13 and delta N-15) of modern huemul from Patagonian Andean forest. This deer is considered an endemic species, now inhabiting the sub-Antarctic forest of Chile and Argentina. We analyse if the isotopic signals of the modern huemuls can be used as geographic markers on two distinct spatial scales. Firstly, on the intra-forest level, we analyse the relation between the delta C-13 and delta N-15 of the huemul and the annual precipitation in the place in which the sample was collected. Secondly, on the inter-environmental level, we evaluate to what extent the huemul's isotopic signal differs from that of the guanaco (Lama guanicoe), an herbivore that occupies Patagonia's continental steppe. The results reveal that, on the one hand, there is no relation between the isotopic values of modern huemules and precipitation levels, whereas on the other hand, the modern huemul is different from the guanaco in both isotopes. We believe that this difference between the herbivores is associated with the isotopic signals at the base trophic chain, which is influenced by the precipitation gradient. In this way, even though for now, these isotopic markers turn out not to be useful for differentiating between huemuls coming from sectors of the forest with marked differences in precipitation, it is possible to distinguish herbivores coming from the forest and steppe of continental Patagonia, enabling the use of delta C-13 and delta N-15 as geographic markers. The isotopic characterization of delta C-13 and delta N-15 of the modern huemuls and its relation to the Patagonian Andean forest has strong implications for paleoecological and archaeological aspects of this environment, including the biogeographical history of the huemul, and in order to the test the models of use and exploitation of the forest by hunter-gatherers in the past. Copyright (c) 2013 John Wiley &amp; Sons, Ltd.</t>
  </si>
  <si>
    <t>[Tessone, Augusto; Panarello, Hector] UBA, CONICET, INGEIS, Buenos Aires, DF, Argentina; [Marcelo Fernandez, Pablo; Bellelli, Cristina] UBA, CONICET, INAPL, Buenos Aires, DF, Argentina</t>
  </si>
  <si>
    <t>University of Buenos Aires; Consejo Nacional de Investigaciones Cientificas y Tecnicas (CONICET); University of Buenos Aires; Consejo Nacional de Investigaciones Cientificas y Tecnicas (CONICET)</t>
  </si>
  <si>
    <t>Tessone, A (corresponding author), UBA, CONICET, INGEIS, Buenos Aires, DF, Argentina.</t>
  </si>
  <si>
    <t>atessone@ingeis.uba.ar</t>
  </si>
  <si>
    <t>Fernandez, Pablo Marcelo/I-2734-2019; Tessone, Augusto/JOZ-4460-2023</t>
  </si>
  <si>
    <t>Fernandez, Pablo Marcelo/0000-0002-3874-6305; Tessone, Augusto/0000-0001-9722-1480</t>
  </si>
  <si>
    <t>1047-482X</t>
  </si>
  <si>
    <t>1099-1212</t>
  </si>
  <si>
    <t>INT J OSTEOARCHAEOL</t>
  </si>
  <si>
    <t>Int. J. Osteoarchaeol.</t>
  </si>
  <si>
    <t>10.1002/oa.2336</t>
  </si>
  <si>
    <t>Anthropology; Archaeology</t>
  </si>
  <si>
    <t>Social Science Citation Index (SSCI); Arts &amp; Humanities Citation Index (A&amp;HCI)</t>
  </si>
  <si>
    <t>AE2MX</t>
  </si>
  <si>
    <t>WOS:000333808300007</t>
  </si>
  <si>
    <t>Warrier, AK; Shankar, R; Sandeep, K</t>
  </si>
  <si>
    <t>Warrier, Anish Kumar; Shankar, R.; Sandeep, K.</t>
  </si>
  <si>
    <t>Sedimentological and carbonate data evidence for lake level variations during the past 3700 years from a southern Indian lake</t>
  </si>
  <si>
    <t>Particle size; Lake sediments; Rock magnetism; Paleoclimate; Lake level; Southern India</t>
  </si>
  <si>
    <t>ASIAN SOUTHWEST MONSOON; INNER-MONGOLIA; CLIMATE-CHANGE; GRAIN-SIZE; ENVIRONMENTAL RECORDS; ARABIAN SEA; HOLOCENE; SEDIMENTS; PRECIPITATION; VARIABILITY</t>
  </si>
  <si>
    <t>Over the years, several proxies have been developed to reconstruct rainfall variability. However, most rely on indirect approaches to provide qualitative paleorainfall estimate. In an attempt to obtain a more direct measure of paleorainfall, Shankar et al. (2006) explored the rock magnetic properties of lake sediments from Thimmannanayakanakere (TK) in tropical southern India. They proposed the use of magnetic susceptibility as a proxy for rainfall in the tropics. Warner and Shankar (2009) provided geochemical evidence in support of this proposition. Here, sedimentological and carbonate data is provided as further evidence to bolster Shankar et al.'s (2006) proposition. High (low) values of chi(if) indicate high (low) rainfall in the region of TK during the past 3700 years. Particle size variations suggest that the sand % was high (low) during arid (humid) periods, when the TK(lake level was low (high). Hence, a negative correlation is documented between sand % and;cif along with other rock magnetic parameters. HIRIVI (an indicator of magnetically hard minerals like haematite and goethite) is suggestive of a relatively arid climate; the high (low) HIRM values in TK sediments indicate arid (humid) conditions. For this reason, sand % is positively correlated with HIRM. By contrast, fine silt and clay contents are low during low-rainfall periods and vice versa. Thus, both fine silt and clay contents are positively correlated with;of and other rock magnetic parameters, but negatively correlated with HIRM. Magnetic minerals reside principally in the fine silt fraction of TK sediments as evidenced from the positive correlation between fine silt content and magnetic susceptibility. Carbonate content too is indicative of paleorainfall conditions, being high (low) during arid (humid) climatic conditions. Based on the chi(if), sand % and carbonate % data, we have inferred lake level variations in TK during the past 3700 years. (C) 2013 Elsevier B.V. All rights reserved.</t>
  </si>
  <si>
    <t>[Warrier, Anish Kumar; Shankar, R.; Sandeep, K.] Mangalore Univ, Dept Marine Geol, Mangalagangothri 574199, India</t>
  </si>
  <si>
    <t>Mangalore University</t>
  </si>
  <si>
    <t>Warrier, AK (corresponding author), Govt India, Minist Earth Sci, Natl Ctr Antarctic &amp; Ocean Res, Headland Sada 403804, Vasco Da Gama, India.</t>
  </si>
  <si>
    <t>akwarrier@gmail.com</t>
  </si>
  <si>
    <t>Kizhur, Sandeep/A-1213-2017; Warrier, Anish Kumar/AAW-8890-2020</t>
  </si>
  <si>
    <t>Kizhur, Sandeep/0000-0003-2217-8697; Warrier, Anish Kumar/0000-0003-0044-6224</t>
  </si>
  <si>
    <t>Department of Space, Government of India [9/5/2/2004-II]; University Grants Commission (UGC), Government of India</t>
  </si>
  <si>
    <t>Department of Space, Government of India(Department of Space (DoS), Government of India); University Grants Commission (UGC), Government of India(University Grants Commission, India)</t>
  </si>
  <si>
    <t>We thank the Department of Space, Government of India, for supporting this work through a research project to RS (Paleoclimate of the past few centuries from lake- and tank-bed sediments of Southern India; ISRO-GBP/WG-1 letter No. 9/5/2/2004-II) under the Geosphere-Biosphere Program. AKW and KS thank the Department of Space, the Council of Scientific and Industrial Research (CSIR), and the University Grants Commission (UGC), Government of India for junior and Senior Research Fellowships. We also thank Mr. Sarathchandraprasad for his help with particle size analysis and Dr. Avinash Kumar for preparing the location map. We are grateful to the two anonymous referees and the Guest Editors, whose comments helped us in improving the manuscript.</t>
  </si>
  <si>
    <t>10.1016/j.palaeo.2013.05.026</t>
  </si>
  <si>
    <t>AD8CT</t>
  </si>
  <si>
    <t>WOS:000333494800006</t>
  </si>
  <si>
    <t>Oreiro, FA; D'Onofrio, E; Grismeyer, W; Fiore, M; Saraceno, M</t>
  </si>
  <si>
    <t>Oreiro, Fernando A.; D'Onofrio, Enrique; Grismeyer, Walter; Fiore, Monica; Saraceno, Martin</t>
  </si>
  <si>
    <t>Comparison of tide model outputs for the northern region of the Antarctic Peninsula using satellite altimeters and tide gauge data</t>
  </si>
  <si>
    <t>POLAR SCIENCE</t>
  </si>
  <si>
    <t>Sea-surface height; Tide modeling; Antarctic Peninsula; Coastal satellite altimetry</t>
  </si>
  <si>
    <t>OCEAN TIDES; VARIABILITY; DISSIPATION; WEDDELL; ENERGY; SHELF</t>
  </si>
  <si>
    <t>This study compares the common harmonic constants of the O-1, K-1, P-1, Q(1), M-2, S-2, N-2, and K-2 tidal constituents from eight global and four regional tide models with harmonic constants from satellite altimeter and tide gauge data for the northern region of the Antarctic Peninsula (58 degrees S-66 degrees S, 53 degrees W-66 degrees W). To obtain a more representative comparison, the study area was divided into three zones with different physical characteristics but similar maximum tidal amplitude variations: Zone I (north of 62 degrees S), Zone II (south of 62 degrees S and west of the Antarctic Peninsula), and Zone III (between 62 degrees S and 64.3 degrees S, and east of 58.5 degrees W). Root sum square (RSS) values are less than or equal to 3.0, 4.2, and 8.4 cm for zones I, II, and III, respectively. No single model shows superior performance in all zones. Because there are insufficient satellite altimetry observations in the vicinity of Matienzo Base (64.9761 degrees S, 60.0683 degrees W), this station was analyzed separately and presents the greatest values of both root mean square misfit and RSS. The maximum, minimum, and average amplitude values of the constituents that follow in importance after the eight common tidal constituents, and which have amplitudes greater than 1 cm, are also analyzed. (C) 2013 Elsevier B.V. and NIPR. All rights reserved.</t>
  </si>
  <si>
    <t>[Oreiro, Fernando A.; D'Onofrio, Enrique; Grismeyer, Walter; Fiore, Monica] Minist Def, Serv Hidrog Naval, Buenos Aires, DF, Argentina; [Oreiro, Fernando A.; D'Onofrio, Enrique; Fiore, Monica] Univ Buenos Aires, Inst Geodesia &amp; Geofis Aplicadas, RA-1053 Buenos Aires, DF, Argentina; [Saraceno, Martin] Consejo Nacl Invest Cient &amp; Tecn, Ctr Invest Mar &amp; Atmosfera, RA-1033 Buenos Aires, DF, Argentina; [Saraceno, Martin] Univ Buenos Aires, Dept Ciencias Atmosfera &amp; Oceanos, RA-1053 Buenos Aires, DF, Argentina; [Saraceno, Martin] UBA, CONICET, CNRS, IFAECI, Buenos Aires, DF, Argentina</t>
  </si>
  <si>
    <t>Servicio de Hidrografia Naval; University of Buenos Aires; Consejo Nacional de Investigaciones Cientificas y Tecnicas (CONICET); University of Buenos Aires; Consejo Nacional de Investigaciones Cientificas y Tecnicas (CONICET); University of Buenos Aires</t>
  </si>
  <si>
    <t>Oreiro, FA (corresponding author), Minist Def, Serv Hidrog Naval, Av Montes de Oca 2124 C1270ABV, Buenos Aires, DF, Argentina.</t>
  </si>
  <si>
    <t>foreiro@hidro.gov.ar; mareas@hidro.gov.ar</t>
  </si>
  <si>
    <t>Saraceno, Martin/AAS-1231-2020</t>
  </si>
  <si>
    <t>Saraceno, Martin/0000-0002-5657-4420; Oreiro, Fernando Ariel/0000-0003-3575-1106</t>
  </si>
  <si>
    <t>UBACyT Science and Technological Division, University of Buenos Aires (UBACYT) [20020100100840]; Ministry of Defense, Naval Hydrographic Service [PID-DEF 42/10]</t>
  </si>
  <si>
    <t>UBACyT Science and Technological Division, University of Buenos Aires (UBACYT); Ministry of Defense, Naval Hydrographic Service</t>
  </si>
  <si>
    <t>This research comprises part of the 20020100100840 UBACyT 2011-2014 Science and Technological Division, University of Buenos Aires (UBACYT) Project and is a contribution to the PID-DEF 42/10 projects (Ministry of Defense, Naval Hydrographic Service).</t>
  </si>
  <si>
    <t>1873-9652</t>
  </si>
  <si>
    <t>1876-4428</t>
  </si>
  <si>
    <t>POLAR SCI</t>
  </si>
  <si>
    <t>Polar Sci.</t>
  </si>
  <si>
    <t>10.1016/j.polar.2013.12.001</t>
  </si>
  <si>
    <t>Ecology; Geosciences, Multidisciplinary</t>
  </si>
  <si>
    <t>AE1GK</t>
  </si>
  <si>
    <t>WOS:000333717600002</t>
  </si>
  <si>
    <t>Arenas, FA; Pugin, B; Henríquez, NA; Arenas-Salinas, MA; Díaz-Vásquez, WA; Pozo, MF; Muñoz, CM; Chasteen, TG; Pérez-Donoso, JM; Vásquez, CC</t>
  </si>
  <si>
    <t>Arenas, Felipe A.; Pugin, Benoit; Henriquez, Nicole A.; Arenas-Salinas, Mauricio A.; Diaz-Vasquez, Waldo A.; Pozo, Maria F.; Munoz, Claudia M.; Chasteen, Thomas G.; Perez-Donoso, Jose M.; Vasquez, Claudio C.</t>
  </si>
  <si>
    <t>Isolation, identification and characterization of highly tellurite-resistant, tellurite-reducing bacteria from Antarctica</t>
  </si>
  <si>
    <t>Tellurite reduction; Tellurite resistance; Antarctic strains; Tellurium nanostructures; Metalloids</t>
  </si>
  <si>
    <t>NEIGHBOR-JOINING METHOD; ESCHERICHIA-COLI; POTASSIUM TELLURITE; OXIDATIVE STRESS; SENSITIVE METHOD; CYSTEINE; MICROORGANISMS; DETERMINANTS; REDUCTASES; REDUCTION</t>
  </si>
  <si>
    <t>The tellurium oxyanion, tellurite, is extremely noxious to most living organisms. Its toxicity has been mainly related to the generation of reactive oxygen species (ROS) as well as to an unbalancing of the thiol:redox buffering system. Nevertheless, a few bacteria are capable of thriving at high tellurite concentrations. One mechanism of resistance is the enzymatic and non-enzymatic reduction of tellurite to the less toxic elemental tellurium. This reduction generates nano- to micrometric tellurium crystals that display different shapes and sizes. To date, a very limited number of highly tellurite-resistant and tellurite-reducing bacterial species are available from international culture collections. In this work, we decided to look for tellurite-reducing bacteria from an extreme environment, Antarctica. This environment exhibits a combination of several extreme factors such as high UV-radiation and desiccation and freezing conditions that impact directly on the local biodiversity. Since, as does, all these factors induce ROS formation, we hypothesized that Antarctic bacteria could also exhibit tellurite-resistance. In this context, we isolated 123 tellurite-resistant bacteria, and characterized six new tellurite-resistant and tellurite-reducing bacterial strains from samples collected in Antarctica. These strains were identified according to their 16S rRNA gene sequence as Staphylococcus hameolyticus, Staphylococcus sciuri, Acinetobacter haemolyticus, Pseudomonas lini, and two strains of Psychrobacter immobilis. The isolates display tellurite-resistance about 35- to 500-fold higher than Escherichia coli (Te-sensitive organism), and a high level of tellurite reduction which might be interesting for an application in the field of bioremediation or nanoparticle biosynthesis. (C) 2014 Elsevier B.V. and NIPR. All rights reserved.</t>
  </si>
  <si>
    <t>[Arenas, Felipe A.; Pugin, Benoit; Henriquez, Nicole A.; Diaz-Vasquez, Waldo A.; Pozo, Maria F.; Munoz, Claudia M.; Vasquez, Claudio C.] Univ Santiago Chile, Fac Quim &amp; Biol, Dept Biol, Santiago, Chile; [Arenas-Salinas, Mauricio A.] Univ Talca, Ctr Bioinformat &amp; Simulac Mol, Talca, Chile; [Diaz-Vasquez, Waldo A.] Univ San Sebastian, Fac Ciencia, Santiago, Chile; [Chasteen, Thomas G.] Sam Houston State Univ, Dept Chem, Huntsville, TX 77340 USA; [Chasteen, Thomas G.] Sam Houston State Univ, Texas Res Inst Environm Studies, Huntsville, TX 77340 USA; [Perez-Donoso, Jose M.] Univ Andres Bello, Bionanotechnol &amp; Microbiol Lab, CBIB, Fac Ciencias Biol, Santiago, Chile</t>
  </si>
  <si>
    <t>Universidad de Santiago de Chile; Universidad de Talca; Universidad San Sebastian; Texas State University System; Sam Houston State University; Texas State University System; Sam Houston State University; Universidad Andres Bello</t>
  </si>
  <si>
    <t>Vásquez, CC (corresponding author), Univ Santiago Chile, Fac Quim &amp; Biol, Dept Biol, Santiago, Chile.</t>
  </si>
  <si>
    <t>claudio.vasquez@usach.cl</t>
  </si>
  <si>
    <t>Pérez-Donoso, José M./G-3668-2013; Chasteen, Thomas G/B-6601-2009; Pugin, Benoit/X-2984-2018</t>
  </si>
  <si>
    <t>Pérez-Donoso, José M./0000-0002-9506-1716; Pugin, Benoit/0000-0001-7132-9477</t>
  </si>
  <si>
    <t>Fondecyt (Fondo Nacional de Ciencia y Tecnologia) [1130362]; Fondecyt Postdoctorado [3120049]; INACH (Instituto Antartico de Chile) [T-19_11]; MECESUP (Mejoramiento de la Calidad y Equidad de la Educacion Superior), Chile</t>
  </si>
  <si>
    <t>Fondecyt (Fondo Nacional de Ciencia y Tecnologia)(Comision Nacional de Investigacion Cientifica y Tecnologica (CONICYT)CONICYT FONDECYT); Fondecyt Postdoctorado(Comision Nacional de Investigacion Cientifica y Tecnologica (CONICYT)CONICYT FONDECYT); INACH (Instituto Antartico de Chile); MECESUP (Mejoramiento de la Calidad y Equidad de la Educacion Superior), Chile</t>
  </si>
  <si>
    <t>This work was supported by grants from Fondecyt (Fondo Nacional de Ciencia y Tecnologia) Regular # 1130362 and Fondecyt Postdoctorado # 3120049 to C.C.V. and F.A.S., respectively, and from INACH (Instituto Antartico de Chile) # T-19_11 to J.M.P. The authors also thank Mr. Luis Bustamante and University of Talca for assistance with electron microscopy. B.P. was supported by a doctoral fellowship from MECESUP (Mejoramiento de la Calidad y Equidad de la Educacion Superior), Chile.</t>
  </si>
  <si>
    <t>10.1016/j.polar.2014.01.001</t>
  </si>
  <si>
    <t>WOS:000333717600004</t>
  </si>
  <si>
    <t>Fruth, T; Cabrera, J; Csizmadia, S; Dreyer, C; Eigmüller, P; Erikson, A; Kabath, P; Pasternacki, T; Rauer, H; Titz-Weider, R; Abe, L; Agabi, A; Gonçalves, I; Guillot, T; Mékarnia, D; Rivet, JP; Crouzet, N; Chini, R; Lemke, R; Murphy, M</t>
  </si>
  <si>
    <t>Fruth, T.; Cabrera, J.; Csizmadia, Sz.; Dreyer, C.; Eigmueller, P.; Erikson, A.; Kabath, P.; Pasternacki, T.; Rauer, H.; Titz-Weider, R.; Abe, L.; Agabi, A.; Goncalves, I.; Guillot, T.; Mekarnia, D.; Rivet, J. -P.; Crouzet, N.; Chini, R.; Lemke, R.; Murphy, M.</t>
  </si>
  <si>
    <t>Transit Search from Antarctica and Chile-Comparison and Combination</t>
  </si>
  <si>
    <t>PUBLICATIONS OF THE ASTRONOMICAL SOCIETY OF THE PACIFIC</t>
  </si>
  <si>
    <t>Astronomical Instrumentation</t>
  </si>
  <si>
    <t>PERIODIC VARIABLE-STARS; COROT TARGET FIELDS; TIME-SERIES OBSERVATIONS; DOME-C; ORBITAL PERIOD; IDENTIFICATION; TELESCOPE; CATALOG; DETECTABILITY; EXOPLANETS</t>
  </si>
  <si>
    <t>Observing sites at the east-Antarctic plateau are considered to provide exceptional conditions for astronomy. The aim of this work is to assess its potential for detecting transiting extrasolar planets through a comparison and combination of photometric data from Antarctica with time series from a midlatitude site. During 2010, the two small aperture telescopes ASTEP 400 (Dome C) and BEST II (Chile) together performed an observing campaign of two target fields and the transiting planet WASP-18b. For the latter, a bright star, Dome C appears to yield an advantageous signal-to-noise ratio. For field surveys, both Dome C and Chile appear to be of comparable photometric quality. However, within two weeks, observations at Dome C yield a transit detection efficiency that typically requires a whole observing season in Chile. For the first time, data from Antarctica and Chile have been combined to extent the observational duty cycle. This approach is both feasible in practice and favorable for transit search, as it increases the detection yield by 12-18%.</t>
  </si>
  <si>
    <t>[Fruth, T.; Cabrera, J.; Csizmadia, Sz.; Dreyer, C.; Eigmueller, P.; Erikson, A.; Kabath, P.; Pasternacki, T.; Rauer, H.; Titz-Weider, R.] Deutsch Zentrum Luft &amp; Raumfahrt, Inst Planetenforsch, D-12489 Berlin, Germany; [Dreyer, C.; Rauer, H.] Tech Univ Berlin, Zentrum Astron &amp; Astrophys, D-10623 Berlin, Germany; [Kabath, P.] European So Observ, Santiago 19, Chile; [Abe, L.; Agabi, A.; Goncalves, I.; Guillot, T.; Mekarnia, D.; Rivet, J. -P.] Univ Nice Sophia Antipolis, CNRS, UMR7293, Lab Lagrange,Observ Cote Azur, F-06304 Nice 4, France; [Crouzet, N.] Space Telescope Sci Inst, Baltimore, MD 21218 USA; [Chini, R.; Lemke, R.] Ruhr Univ Bochum, Astron Inst, D-44780 Bochum, Germany; [Chini, R.] Univ Catolica Norte, Inst Astron, Antofagasta, Chile; [Murphy, M.] Univ Catolica Norte, Dept Fis, Antofagasta, Chile</t>
  </si>
  <si>
    <t>Helmholtz Association; German Aerospace Centre (DLR); Technical University of Berlin; European Southern Observatory; Universite Cote d'Azur; Observatoire de la Cote d'Azur; Centre National de la Recherche Scientifique (CNRS); Space Telescope Science Institute; Ruhr University Bochum; Universidad Catolica del Norte; Universidad Catolica del Norte</t>
  </si>
  <si>
    <t>Fruth, T (corresponding author), Deutsch Zentrum Luft &amp; Raumfahrt, Inst Planetenforsch, Rutherfordstr 2, D-12489 Berlin, Germany.</t>
  </si>
  <si>
    <t>thomas.fruth@dlr.de</t>
  </si>
  <si>
    <t>Chini, Rolf/GRO-2373-2022; Kabath, Petr/B-8850-2008; Eigmüller, Philipp/D-9330-2013</t>
  </si>
  <si>
    <t>Cabrera, Juan/0000-0001-6653-5487; Kabath, Petr/0000-0002-1623-5352; Eigmuller, Philipp/0000-0003-4096-0594; Guillot, Tristan/0000-0002-7188-8428</t>
  </si>
  <si>
    <t>Deutsches Zentrum fur Luft- und Raumfahrt; Nordrhein-Westfalische Akademie der Wissenschaften; Institut Paul Emile Victor</t>
  </si>
  <si>
    <t>Deutsches Zentrum fur Luft- und Raumfahrt(Helmholtz AssociationGerman Aerospace Centre (DLR)); Nordrhein-Westfalische Akademie der Wissenschaften; Institut Paul Emile Victor</t>
  </si>
  <si>
    <t>This work was funded by Deutsches Zentrum fur Luft- und Raumfahrt and partly by the Nordrhein-Westfalische Akademie der Wissenschaften. The ASTEP project is supervised by the Observatoire de la Cote d'Azur and installed at the Concordia station, Antarctica, with support from the Institut Paul Emile Victor. Our research made use of the UCAC3, USNO-B1.0, 2MASS (Two Micron All Sky Survey), and GSC2.2 catalogs and the Besancon model of the Galaxy.</t>
  </si>
  <si>
    <t>0004-6280</t>
  </si>
  <si>
    <t>1538-3873</t>
  </si>
  <si>
    <t>PUBL ASTRON SOC PAC</t>
  </si>
  <si>
    <t>Publ. Astron. Soc. Pac.</t>
  </si>
  <si>
    <t>10.1086/675684</t>
  </si>
  <si>
    <t>AE1OO</t>
  </si>
  <si>
    <t>WOS:000333739000003</t>
  </si>
  <si>
    <t>Damiani, A; Cordero, RR; Cabrera, S; Laurenza, M; Rafanelli, C</t>
  </si>
  <si>
    <t>Damiani, A.; Cordero, R. R.; Cabrera, S.; Laurenza, M.; Rafanelli, C.</t>
  </si>
  <si>
    <t>Cloud cover and UV index estimates in Chile from satellite-derived and ground-based data</t>
  </si>
  <si>
    <t>ATMOSPHERIC RESEARCH</t>
  </si>
  <si>
    <t>Satellite; Radiometer; UV radiation; Clouds</t>
  </si>
  <si>
    <t>SOLAR ULTRAVIOLET-RADIATION; TOTAL OZONE; IRRADIANCE; SURFACE; VARIABILITY; TRENDS; OMI; TRANSMITTANCE; PRODUCTS; SANTIAGO</t>
  </si>
  <si>
    <t>Data of Lambertian equivalent reflectivity (LER) in ultraviolet (UV)-A range recorded by Total Ozone Mapping Spectrometer (TOMS) series aboard Nimbus 7 and Earth Probe and by Ozone Monitoring Instrument (OMI) on EOS Aura have been analyzed over eight Chilean locations spanning from about 18 degrees to 62 degrees S (i.e. including Profesor Julio Escudero station, Antarctic peninsula), covering years 1978-2011. Generally the distribution of the reflectivity is similar for both TOMS datasets. A slightly better agreement has been found for the most southern locations while a small discordance appears for northern locations. The latter could be partly due to actual differences in the cloud cover conditions. On the other hand, OMI LER data differ from TOMS ones in almost all locations. Daily cloud modification factor (CMF) values from ground-based global solar irradiance measurements have been compared with OMI LER-based CMF data. The northernmost and southernmost locations characterized by prevalent clear sky and winter snow conditions, respectively, showed the worse agreement with a correlation coefficient r = 0.63 and 0.71, while other stations showed a better correlation (i.e. r = 0.83 and r = 85). Clear sky ground UV index values for Santiago de Chile have been estimated for years 1979-2011 by means of an empirical reconstruction model based on data recorded by a multichannel radiometer. It allowed computing a ground-based CMF for years 1996-2011 and comparing it with satellite data. Results show that OMI CMF based on gridded cell LER data introduces significant differences with respect to equivalent TOMS CMF. On the contrary, the use of overpass LER data allows to evaluate changes in cloudiness and, by using the model, reconstructing the actual UV index. Nevertheless, LER CMF overestimates actual cloud cover conditions in winter. The trend in reconstructed satellite (ground) based UV index during summer months is +3.3 +/- 0.9% ( +11.9 +/- 2.5%)/decade for years 1979-2011 (1997-2011). Further comparisons concerning the Total Cloud Fraction product of Modem-Era Retrospective analysis for Research and Applications (MERRA) suggest that it could be used a further proxy of cloudiness for UV reconstruction models; nevertheless additional analysis is necessary. (C) 2013 Elsevier B.V. All rights reserved.</t>
  </si>
  <si>
    <t>[Damiani, A.; Cordero, R. R.] Univ Santiago Chile, Dept Fis, Santiago, Chile; [Cabrera, S.] Univ Chile, Inst Ciencias Biomed, Santiago, Chile; [Laurenza, M.] Inst Space Astrophys &amp; Planetol INAF, Rome, Italy; [Rafanelli, C.] CNR Inst Acoust &amp; Sensors OM Corbino, Int Ctr Earth Sci, Rome, Italy</t>
  </si>
  <si>
    <t>Universidad de Santiago de Chile; Universidad de Chile; Consiglio Nazionale delle Ricerche (CNR); Istituto di Acustica e Sensoristica Orso Mario Corbino (IDASC-CNR)</t>
  </si>
  <si>
    <t>Damiani, A (corresponding author), Univ Santiago Chile, Dept Fis, Santiago, Chile.</t>
  </si>
  <si>
    <t>alessandro.damiani@usach.cl</t>
  </si>
  <si>
    <t>Laurenza, Monica/HMD-8729-2023; Damiani, Alessandro/X-4677-2019; Cordero, Raul R/M-7979-2017</t>
  </si>
  <si>
    <t>Laurenza, Monica/0000-0001-5481-4534; Damiani, Alessandro/0000-0003-3014-6193; Cordero, Raul R./0000-0001-7607-7993</t>
  </si>
  <si>
    <t>CONICYT-ANILLOS [Preis ACT98]; FONDECYT [Preis 3110159, Preis 1120639]; UTFSM [DGIP 251125]</t>
  </si>
  <si>
    <t>CONICYT-ANILLOS(Comision Nacional de Investigacion Cientifica y Tecnologica (CONICYT)CONICYT PIA/ANILLOS); FONDECYT(Comision Nacional de Investigacion Cientifica y Tecnologica (CONICYT)CONICYT FONDECYT); UTFSM</t>
  </si>
  <si>
    <t>The support of CONICYT-ANILLOS (Preis ACT98), FONDECYT (Preis 3110159 and Preis 1120639), and UTFSM (DGIP 251125) is gratefully acknowledged. Moreover, thanks are due to the principal investigators whose satellite data have been used and to the World Radiation Data Center (WRDC) and to Goddard Earth Sciences Data and Information Services Center (GES DISC).</t>
  </si>
  <si>
    <t>0169-8095</t>
  </si>
  <si>
    <t>1873-2895</t>
  </si>
  <si>
    <t>ATMOS RES</t>
  </si>
  <si>
    <t>Atmos. Res.</t>
  </si>
  <si>
    <t>10.1016/j.atmosres.2013.11.006</t>
  </si>
  <si>
    <t>AD8GK</t>
  </si>
  <si>
    <t>WOS:000333504300011</t>
  </si>
  <si>
    <t>Quilty, P</t>
  </si>
  <si>
    <t>Quilty, Patrick</t>
  </si>
  <si>
    <t>Antarctica: a Biography</t>
  </si>
  <si>
    <t>AUSTRALIAN JOURNAL OF POLITICS AND HISTORY</t>
  </si>
  <si>
    <t>Book Review</t>
  </si>
  <si>
    <t>[Quilty, Patrick] Univ Tasmania, Inst Marine &amp; Antarctic Studies, Hobart, Tas 7001, Australia</t>
  </si>
  <si>
    <t>Quilty, P (corresponding author), Univ Tasmania, Inst Marine &amp; Antarctic Studies, Hobart, Tas 7001, Australia.</t>
  </si>
  <si>
    <t>WILEY-BLACKWELL</t>
  </si>
  <si>
    <t>0004-9522</t>
  </si>
  <si>
    <t>1467-8497</t>
  </si>
  <si>
    <t>AUST J POLIT HIST</t>
  </si>
  <si>
    <t>Aust. J. Polit. Hist.</t>
  </si>
  <si>
    <t>History; Political Science</t>
  </si>
  <si>
    <t>Arts &amp; Humanities Citation Index (A&amp;HCI)</t>
  </si>
  <si>
    <t>History; Government &amp; Law</t>
  </si>
  <si>
    <t>AD3NI</t>
  </si>
  <si>
    <t>WOS:000333152400030</t>
  </si>
  <si>
    <t>Zhang, Q; Xu, H; Zhao, J; Zeng, RY</t>
  </si>
  <si>
    <t>Zhang, Qian; Xu, Hui; Zhao, Jing; Zeng, Runying</t>
  </si>
  <si>
    <t>Expression and characterization of a thermostable penicillin G acylase from an environmental metagenomic library</t>
  </si>
  <si>
    <t>BIOTECHNOLOGY LETTERS</t>
  </si>
  <si>
    <t>Characterization; Gene expression; Metagenomic library; Penicillin G acylase</t>
  </si>
  <si>
    <t>ANTARCTIC DESERT SOIL; MOLECULAR-CLONING; ARTHROBACTER-VISCOSUS; BACILLUS-MEGATERIUM; ESCHERICHIA-COLI; GENE; PURIFICATION; ESTERASE; SEDIMENT</t>
  </si>
  <si>
    <t>One clone (ACPGA001) exhibiting penicillin G acylase (PGA) activity was screened from a metagenomic library by using a medium containing penicillin G. A novel PGA gene from the inserted fragment of ACPGA001 was obtained by sequencing. The amino acid sequence of ACPGA001 PGA exhibited &lt; 33 % similarity to PGAs retrieved from GenBank. This gene was expressed in Escherichia coli M15 and the recombinant protein was purified and characterized. The ACPGA001 PGA exhibited a maximum activity at 60 A degrees C and showed high activity at pH 4-10 with an optimum pH of 8.0. This enzyme was stable at 40 A degrees C for 70 min with a half-life of 60 min at 55 A degrees C. These beneficial characteristics of ACPGA001 PGA provide some advantages for the potential application of ACPGA001 PGA in industry.</t>
  </si>
  <si>
    <t>[Zhang, Qian] Univ Hawaii Manoa, Dept Civil &amp; Environm Engn, Honolulu, HI 96822 USA; [Xu, Hui; Zhao, Jing; Zeng, Runying] SOA, Inst Oceanog 3, State Key Lab Breeding Base, Key Lab Marine Genet Resource, Xiamen 361005, Peoples R China</t>
  </si>
  <si>
    <t>University of Hawaii System; University of Hawaii Manoa; Third Institute of Oceanography, Ministry of Natural Resources</t>
  </si>
  <si>
    <t>Zeng, RY (corresponding author), SOA, Inst Oceanog 3, State Key Lab Breeding Base, Key Lab Marine Genet Resource, Daxue Rd 178, Xiamen 361005, Peoples R China.</t>
  </si>
  <si>
    <t>zq@hawaii.edu; hxu@bgsu.edu; sunnyzhaoj@163.com; zengrunying@126.com</t>
  </si>
  <si>
    <t>Zhang, Qian/JPK-7486-2023</t>
  </si>
  <si>
    <t>Zhang, Qian/0000-0002-1222-308X; Xu, Hui/0000-0003-2927-8797</t>
  </si>
  <si>
    <t>Hi-Tech Research and Development Program of China (863 program of China) [2012AA092103]; China Ocean Mineral Resources RD Association [DY125-15-T-06]; Marine Scientific Research Special Foundation for Public Sector Program [201005032]</t>
  </si>
  <si>
    <t>Hi-Tech Research and Development Program of China (863 program of China)(National High Technology Research and Development Program of China); China Ocean Mineral Resources RD Association; Marine Scientific Research Special Foundation for Public Sector Program</t>
  </si>
  <si>
    <t>This work was financially supported by Hi-Tech Research and Development Program of China (863 program of China; 2012AA092103), China Ocean Mineral Resources R&amp;D Association (DY125-15-T-06) and Marine Scientific Research Special Foundation for Public Sector Program (201005032).</t>
  </si>
  <si>
    <t>0141-5492</t>
  </si>
  <si>
    <t>1573-6776</t>
  </si>
  <si>
    <t>BIOTECHNOL LETT</t>
  </si>
  <si>
    <t>Biotechnol. Lett.</t>
  </si>
  <si>
    <t>10.1007/s10529-013-1403-3</t>
  </si>
  <si>
    <t>AD6EX</t>
  </si>
  <si>
    <t>WOS:000333349300025</t>
  </si>
  <si>
    <t>Selbmann, L; Isola, D; Egidi, E; Zucconi, L; Gueidan, C; de Hoog, GS; Onofri, S</t>
  </si>
  <si>
    <t>Selbmann, L.; Isola, D.; Egidi, E.; Zucconi, L.; Gueidan, C.; de Hoog, G. S.; Onofri, S.</t>
  </si>
  <si>
    <t>Mountain tips as reservoirs for new rock-fungal entities: Saxomyces gen. nov and four new species from the Alps</t>
  </si>
  <si>
    <t>FUNGAL DIVERSITY</t>
  </si>
  <si>
    <t>Microcolonial fungi; Dothideomycetes; Extremotolerance; Multilocus phylogeny</t>
  </si>
  <si>
    <t>MICROCOLONIAL FUNGI; BLACK FUNGI; MARBLE; SURVIVAL; SARCINOMYCES; LIFE; BIODETERIORATION; MICROORGANISMS; MYCOSPORINES; CONIOSPORIUM</t>
  </si>
  <si>
    <t>As part of a worldwide sampling nine black fungi were isolated from rocks collected in four distinct sites of the Alps at high altitudes. Based on a nucSSU, nucLSU and mtSSU multi-locus phylogeny, seven of them were found to cluster into a distinct and well-supported clade in a basal position within the Class Dothideomycetes. As in other rock fungi these new groups of isolates were characterized by a meristematic growth and a scarcely differentiated morphology with highly melanized and thick-walled toruloid hyphae. Nonetheless, few peculiar characters were also observed as convoluted hyphal tips and the production of spherical propagules. The new genus and species Saxomyces alpinus and S. penninicus, are here described based on morphological and molecular data, in a yet to be defined order of the Dothideomycetes. The remaining two black fungi clustered in Cryomyces, a genus previously exclusively found in rocks from the McMurdo Dry Valleys in Antarctica. These two isolates were genetically distant from other Antarctic Cryomyces species based on ITS sequences, and they showed a peculiar morphology; they are here described as the new species C. montanus and C. funiculosus. Implications of our results on the evolution, adaptation and dispersal of rock-inhabiting fungi under extreme conditions are discussed.</t>
  </si>
  <si>
    <t>[Selbmann, L.; Isola, D.; Egidi, E.; Zucconi, L.; Onofri, S.] Univ Tuscia, DEB, Viterbo, Italy; [Gueidan, C.] Nat Hist Museum, Div Genom &amp; Microbial Div, Dept Life Sci, London SW7 5BD, England; [Egidi, E.; de Hoog, G. S.] CBS KNAW Fungal Biodivers Ctr, NL-3584 CT Utrecht, Netherlands</t>
  </si>
  <si>
    <t>Tuscia University; Natural History Museum London; Royal Netherlands Academy of Arts &amp; Sciences; Westerdijk Fungal Biodiversity Institute (KNAW)</t>
  </si>
  <si>
    <t>Selbmann, L (corresponding author), Univ Tuscia, DEB, Viterbo, Italy.</t>
  </si>
  <si>
    <t>selbmann@unitus.it</t>
  </si>
  <si>
    <t>Zucconi, L./U-9781-2018; Isola, Daniela/AAX-5814-2020; Gueidan, Cecile/C-8803-2014; Egidi, Eleonora/AAG-7513-2020</t>
  </si>
  <si>
    <t>Zucconi, L./0000-0001-9793-2303; Isola, Daniela/0000-0002-5069-6056; Gueidan, Cecile/0000-0001-9295-9996; Egidi, Eleonora/0000-0002-1211-2355; ONOFRI, Silvano/0000-0001-8872-1440</t>
  </si>
  <si>
    <t>MIUR-PRIN [prot. 2008AR8MX9]; PNRA (Italian National Program for Antarctic Research); Italian National Antarctic Museum Felice Ippolito</t>
  </si>
  <si>
    <t>MIUR-PRIN(Ministry of Education, Universities and Research (MIUR)Research Projects of National Relevance (PRIN)); PNRA (Italian National Program for Antarctic Research); Italian National Antarctic Museum Felice Ippolito</t>
  </si>
  <si>
    <t>MIUR-PRIN 2008 (prot. 2008AR8MX9) is gratefully acknowledged for financial support. The authors thank the PNRA (Italian National Program for Antarctic Research) and the Italian National Antarctic Museum Felice Ippolito for funding CCFEE (Culture Collection of Fungi From Extreme Environments). The Alpine guide A. Serafini is kindly acknowledged for collecting rock samples from the Alps.</t>
  </si>
  <si>
    <t>ONE NEW YORK PLAZA, SUITE 4600, NEW YORK, NY, UNITED STATES</t>
  </si>
  <si>
    <t>1560-2745</t>
  </si>
  <si>
    <t>1878-9129</t>
  </si>
  <si>
    <t>FUNGAL DIVERS</t>
  </si>
  <si>
    <t>Fungal Divers.</t>
  </si>
  <si>
    <t>10.1007/s13225-013-0234-9</t>
  </si>
  <si>
    <t>Mycology</t>
  </si>
  <si>
    <t>AD4YO</t>
  </si>
  <si>
    <t>WOS:000333258100009</t>
  </si>
  <si>
    <t>Pereira, JQ; Lopes, FC; Petry, MV; Medina, LFD; Brandelli, A</t>
  </si>
  <si>
    <t>Pereira, Jamile Queiroz; Lopes, Fernanda Cortez; Petry, Maria Virginia; da Costa Medina, Luis Fernando; Brandelli, Adriano</t>
  </si>
  <si>
    <t>Isolation of three novel Antarctic psychrotolerant feather-degrading bacteria and partial purification of keratinolytic enzyme from Lysobacter sp A03</t>
  </si>
  <si>
    <t>Antarctic; Bioprospection; Protease; Keratinase; Psychrotolerant bacteria; Enzyme</t>
  </si>
  <si>
    <t>SERINE-PROTEASE; SP NOV.; DIVERSITY; STRAIN; SOIL; KERATINASES; IB-9374</t>
  </si>
  <si>
    <t>Three psychrotolerant bacteria (designated as A03, A08 and A17U) were isolated from penguin feathers collected in the Elephant Island, Antarctic. They were able to grow in feather meal as sole carbon and nitrogen source at 9 degrees C, 20 degrees C and 30 degrees C. Based on 16S rDNA sequencing, the strains were identified as belonging to the genera Lysobacter, Arthrobacter and Chryseobacterium, respectively. The isolate Lysobacter sp. A03 was capable to degrade feather meal almost completely in 7 days of cultivation at 20 degrees C, which was also the optimal growth temperature for Arthrobacter sp. A08 and Chryseobacterium sp. A17U. Despite the optimum growth temperature of the isolates was in the range of psychrotolerant microorganisms, the enzyme extracts showed maximum caseinolytic and keratinolytic activities under temperatures between 15 and 20 degrees C above that point, which is expected when enzymes are isolated from their source organism. For Lysobacter sp. A03, proteolytic activity was strongly inhibited by serine protease inhibitor PMSF, while for Arthrobacter sp. A08 and Chryseobacterium sp. A17U the enzymatic activity was inhibited by EDTA and partially inhibited by PMSF and 1,10-phenantroline. These results were in agreement with those found in zymograms. The protease of Lysobacter sp. A03, partially purified by two-step ion exchange chromatography, was only inhibited by PMSF. The peptide bands,were analyzed by mass spectrometry resulting in the absence of significant homology to other Lysobacter proteins or microbial proteases of NCBI database. The production of keratinolytic proteases by these cold-adapted bacteria can be valuable for the reduction of energy costs in the application of enzymes in industrial processes as an alternative to mesophilic and thermophilic microorganisms. (C) 2013 Elsevier Ltd. All rights reserved.</t>
  </si>
  <si>
    <t>[Pereira, Jamile Queiroz; Lopes, Fernanda Cortez; Brandelli, Adriano] Univ Fed Rio Grande do Sul, Dept Ciencia Alimentos ICTA, Lab Bioquim &amp; Microbiol Aplicada, BR-91501970 Porto Alegre, RS, Brazil; [Petry, Maria Virginia] Univ Vale Rio dos Sinos, Lab Ornitol &amp; Anim Marinhos, BR-93022000 Sao Leopoldo, Brazil; [da Costa Medina, Luis Fernando] Univ Vale Rio dos Sinos, Mol Biol Lab, BR-93022000 Sao Leopoldo, Brazil</t>
  </si>
  <si>
    <t>Universidade Federal do Rio Grande do Sul; Universidade do Vale do Rio dos Sinos (Unisinos); Universidade do Vale do Rio dos Sinos (Unisinos)</t>
  </si>
  <si>
    <t>Brandelli, A (corresponding author), Univ Fed Rio Grande do Sul, Dept Ciencia Alimentos ICTA, Lab Bioquim &amp; Microbiol Aplicada, Av Bento Goncalves 9500, BR-91501970 Porto Alegre, RS, Brazil.</t>
  </si>
  <si>
    <t>abrand@ufrgs.br</t>
  </si>
  <si>
    <t>Lopes, Fernanda C/G-6254-2015; Petry, Maria Virginia/AAG-5333-2021; petry, maria/K-8410-2013; Lopes, Fernanda/J-2110-2012</t>
  </si>
  <si>
    <t>petry, maria/0000-0002-7870-7394; Lopes, Fernanda/0000-0003-1718-3467</t>
  </si>
  <si>
    <t>10.1016/j.ibiod.2013.11.012</t>
  </si>
  <si>
    <t>AB6TI</t>
  </si>
  <si>
    <t>WOS:000331922000001</t>
  </si>
  <si>
    <t>Picard, D; Zuev, D</t>
  </si>
  <si>
    <t>Picard, David; Zuev, Dennis</t>
  </si>
  <si>
    <t>The tourist plot: Antarctica and the modernity of nature</t>
  </si>
  <si>
    <t>ANNALS OF TOURISM RESEARCH</t>
  </si>
  <si>
    <t>Antarctica; Tourist performance; Plot; Modern culture; Nature</t>
  </si>
  <si>
    <t>The work explores contemporary Antarctic tourism practices through the lens of the dramaturgic concept of 'plot'. Plot refers to a socially construed narrative structure that allows social actors to frame their participation in social life through socially held scenarios, stories and cosmologies. Drawing on fieldwork carried out in the Argentinian harbor town of Ushuaia, the authors demonstrate that Antarctic tourists, despite the variety of their experiences, existences and travel motifs, follow, to a very large degree, the same 'plot'. This leads them through a dialectical journey, departing from a 'modern' life-world of home towards and beyond the presumed boundaries of 'civilization', to become immersed in a magical, weird, and wonderful ur-nature found in the White continent, and then back home. The authors argue that this plot, through its specific dramaturgic configuration and settings, pulls to the surface a wider ontological and cosmological order underlying modern tourism and social life at large. (C) 2013 Elsevier Ltd. All rights reserved.</t>
  </si>
  <si>
    <t>[Picard, David] CRIA FCSH Univ Nova Lisboa, Lisbon, Portugal; [Picard, David] CEG IGOT Univ Lisboa, Lisbon, Portugal; [Zuev, Dennis] CIES ISCTE IUL Lisbon Univ Inst, Lisbon, Portugal</t>
  </si>
  <si>
    <t>Universidade Nova de Lisboa; Instituto Universitario de Lisboa</t>
  </si>
  <si>
    <t>Picard, D (corresponding author), CRIA FCSH Univ Nova Lisboa, Lisbon, Portugal.</t>
  </si>
  <si>
    <t>piccccc@gmail.com</t>
  </si>
  <si>
    <t>Zuev, Dennis/AFV-4507-2022; Picard, David/I-5654-2013</t>
  </si>
  <si>
    <t>Zuev, Dennis/0000-0001-8322-9748; Picard, David/0000-0001-6677-4197</t>
  </si>
  <si>
    <t>0160-7383</t>
  </si>
  <si>
    <t>ANN TOURISM RES</t>
  </si>
  <si>
    <t>Ann. Touris. Res.</t>
  </si>
  <si>
    <t>10.1016/j.annals.2013.12.002</t>
  </si>
  <si>
    <t>Hospitality, Leisure, Sport &amp; Tourism; Sociology</t>
  </si>
  <si>
    <t>Social Sciences - Other Topics; Sociology</t>
  </si>
  <si>
    <t>AC8TI</t>
  </si>
  <si>
    <t>WOS:000332807300008</t>
  </si>
  <si>
    <t>McGowan, HA; Neil, DT; Speirs, JC</t>
  </si>
  <si>
    <t>McGowan, Hamish A.; Neil, David T.; Speirs, Johanna C.</t>
  </si>
  <si>
    <t>A reinterpretation of geomorphological evidence for Glacial Lake Victoria, McMurdo Dry Valleys, Antarctica</t>
  </si>
  <si>
    <t>Victoria Valley; Antarctic; Shorelines; Mass movement; LiDAR; Glacier</t>
  </si>
  <si>
    <t>TAYLOR VALLEY; RANGE; LAND; MOUNTAINS; DEPOSITS; SYSTEM; REGION; WARM</t>
  </si>
  <si>
    <t>The largely snow and ice free McMurdo Dry Valleys of Antarctica are one of the coldest and driest locations on Earth. It has been proposed that during the Last Glacial Maximum (LGM) to the early Holocene large lakes up to 200 m deep and 100 km2 in area occupied these valleys. We present the first topographic survey of features reported to be shorelines from one such lake, Glacial Lake Victoria, in Victoria Valley. In combination with the analysis of laser altimetry data obtained from the NASA Airborne Topographic Mapper system and cosmogenic dating of granite boulders we show that the features previously thought to be shorelines are not horizontally or linearly continuous. Rather, we conclude that they are scars from ancient slope mass movement deposits. 108e cosmogenic dating indicates that their formation is on timescales of at least 160 ka before present and not 20 ka as the LGM mega-lake hypothesis suggests. We conclude that the geomorphic features believed to be shorelines and which underpin the LGM mega-lake hypothesis in Victoria Valley are mass movement deposits and not lake shorelines. Our results support an emerging body of literature unable to find evidence to verify the McMurdo Dry Valleys LGM mega-lake hypothesis. Accordingly we suggest caution in invoking such significant landscape features in discussions of the environmental past of this unique region until such time as further research provides an unequivocal history of the region's geomorphic past. (C) 2013 Elsevier B.V. All rights reserved.</t>
  </si>
  <si>
    <t>[McGowan, Hamish A.; Speirs, Johanna C.] Univ Queensland, Sch Geog Planning &amp; Environm Management, Climate Res Grp, Brisbane, Qld 4072, Australia; [Neil, David T.] Univ Queensland, Sch Geog Planning &amp; Environm Management, Brisbane, Qld 4072, Australia; [Speirs, Johanna C.] Snowy Hydro Ltd, Sydney, NSW, Australia</t>
  </si>
  <si>
    <t>University of Queensland; University of Queensland</t>
  </si>
  <si>
    <t>McGowan, HA (corresponding author), Univ Queensland, Sch Geog Planning &amp; Environm Management, Climate Res Grp, Brisbane, Qld 4072, Australia.</t>
  </si>
  <si>
    <t>h.mcgowan@uq.edu.au</t>
  </si>
  <si>
    <t>McGowan, Hamish/AAD-9607-2021</t>
  </si>
  <si>
    <t>Neil, David T/0000-0003-1786-8992; Speirs, Johanna/0000-0002-6124-1225</t>
  </si>
  <si>
    <t>Australian Antarctic Division and logistical support; [AINGRA06121]</t>
  </si>
  <si>
    <t>Australian Antarctic Division and logistical support;</t>
  </si>
  <si>
    <t>The authors thank John Orwin for his assistance in the field; Gerd Dowideit for his analysis of the LiDAR and topographic survey data, and David Fink and the Australian Nuclear Science and Technology Organisation (ANSTO) for expert assistance and the financial support for the 10Be dating of rock samples via project AINGRA06121. Financial support for field research in Victoria Valley was provided by the Australian Antarctic Division and logistical support was supplied by Antarctica New Zealand. We also thank the School of Geography, Planning and Environmental Management at the University of Queensland, Australia for their continued support of our research. The constructive reviews of our manuscript by Warren Dickinson and an anonymous reviewer are greatly appreciated.</t>
  </si>
  <si>
    <t>10.1016/j.geomorph.2013.12.005</t>
  </si>
  <si>
    <t>AC4OQ</t>
  </si>
  <si>
    <t>WOS:000332501000015</t>
  </si>
  <si>
    <t>Hartmann, DL; Ceppi, P</t>
  </si>
  <si>
    <t>Hartmann, Dennis L.; Ceppi, Paulo</t>
  </si>
  <si>
    <t>Trends in the CERES Dataset, 2000-13: The Effects of Sea Ice and Jet Shifts and Comparison to Climate Models</t>
  </si>
  <si>
    <t>JOURNAL OF CLIMATE</t>
  </si>
  <si>
    <t>Radiation budgets; Climate sensitivity; Antarctic Oscillation; Snow cover; Cloud radiative effects; Climate change</t>
  </si>
  <si>
    <t>EDDY-DRIVEN JET; POLEWARD SHIFT; SOUTHERN; VARIABILITY; TEMPERATURE; CIRCULATION; CONSISTENT; CLOUDS; SYSTEM</t>
  </si>
  <si>
    <t>The Clouds and the Earth's Radiant Energy System (CERES) observations of global top-of-atmosphere radiative energy fluxes for the period March 2000-February 2013 are examined for robust trends and variability. The trend in Arctic ice is clearly evident in the time series of reflected shortwave radiation, which closely follows the record of ice extent. The data indicate that, for every 10(6) km(2) decrease in September sea ice extent, annual-mean absorbed solar radiation averaged over 75 degrees-90 degrees N increases by 2.5 W m(-2), or about 6 W m(-2) between 2000 and 2012. CMIP5 models generally show a much smaller change in sea ice extent over the 1970-2012 period, but the relationship of sea ice extent to reflected shortwave is in good agreement with recent observations. Another robust trend during this period is an increase in reflected shortwave radiation in the zonal belt from 45 degrees to 65 degrees S. This trend is mostly related to increases in sea ice concentrations in the Southern Ocean and less directly related to cloudiness trends associated with the annular variability of the Southern Hemisphere. Models from phase 5 of the Coupled Model Intercomparison Project (CMIP5) produce a scaling of cloud reflection to zonal wind increase that is similar to trend observations in regions separated from the direct effects of sea ice. Atmospheric Model Intercomparison Project (AMIP) model responses over the Southern Ocean are not consistent with each other or with the observed shortwave trends in regions removed from the direct effect of sea ice.</t>
  </si>
  <si>
    <t>[Hartmann, Dennis L.; Ceppi, Paulo] Univ Washington, Dept Atmospher Sci, Seattle, WA 98195 USA</t>
  </si>
  <si>
    <t>University of Washington; University of Washington Seattle</t>
  </si>
  <si>
    <t>Hartmann, DL (corresponding author), Univ Washington, Dept Atmospher Sci, Box 351640, Seattle, WA 98195 USA.</t>
  </si>
  <si>
    <t>dennis@atmos.washington.edu</t>
  </si>
  <si>
    <t>Ceppi, Paulo/N-2282-2016; Keyes, Dennis/AAZ-9285-2021</t>
  </si>
  <si>
    <t>Ceppi, Paulo/0000-0002-3754-3506;</t>
  </si>
  <si>
    <t>NSF [AGS-0960497]; NASA [NNX09AH73G]; Directorate For Geosciences; Div Atmospheric &amp; Geospace Sciences [0960497] Funding Source: National Science Foundation</t>
  </si>
  <si>
    <t>NSF(National Science Foundation (NSF)); NASA(National Aeronautics &amp; Space Administration (NASA)); Directorate For Geosciences; Div Atmospheric &amp; Geospace Sciences(National Science Foundation (NSF)NSF - Directorate for Geosciences (GEO))</t>
  </si>
  <si>
    <t>The authors thank Kevin Grise, Norman Loeb, Angie Pendergrass, and an anonymous reviewer for helpful suggestions. The CERES data were obtained from the NASA Langley Research Center Atmospheric Science Data Center. Reanalysis data were obtained from NOAA and ECMWF web resources. The authors were supported by NSF Grant AGS-0960497 and NASA Grant NNX09AH73G.</t>
  </si>
  <si>
    <t>0894-8755</t>
  </si>
  <si>
    <t>1520-0442</t>
  </si>
  <si>
    <t>J CLIMATE</t>
  </si>
  <si>
    <t>J. Clim.</t>
  </si>
  <si>
    <t>10.1175/JCLI-D-13-00411.1</t>
  </si>
  <si>
    <t>AC7CO</t>
  </si>
  <si>
    <t>WOS:000332684800015</t>
  </si>
  <si>
    <t>Kulkarni, HM; Swamy, CVB; Jagannadham, MV</t>
  </si>
  <si>
    <t>Kulkarni, Heramb M.; Swamy, Ch V. B.; Jagannadham, Medicharla V.</t>
  </si>
  <si>
    <t>Molecular Characterization and Functional Analysis of Outer Membrane Vesicles from the Antarctic Bacterium Pseudomonas syringae Suggest a Possible Response to Environmental Conditions</t>
  </si>
  <si>
    <t>JOURNAL OF PROTEOME RESEARCH</t>
  </si>
  <si>
    <t>outer membrane vesicles; proteomics; lipidomics; Antarctic bacterium; MALDI-TOF/TOF; ESI-MS/MS; antibiotic activity; OMV biogenesis</t>
  </si>
  <si>
    <t>PSYCHROTOLERANT BACTERIUM; ANTIBIOTIC-RESISTANCE; AERUGINOSA PAO1; BETA-LACTAMASE; LIPOPOLYSACCHARIDE; STRESS; PROTEOMICS; RELEASE; DNA; IDENTIFICATION</t>
  </si>
  <si>
    <t>Outer membrane vesicles (OMVs) of Gram-negative bacteria form an important aspect of bacterial physiology as they are involved in various functions essential for their survival. The OMVs of the Antarctic bacterium Pseudomonas syringae Lz4W were isolated, and the proteins and lipids they contain were identified. The matrix-assisted laser desorption/ionization time of flight (MALDI-TOF/TOF) analysis revealed that phosphatidylethanolamines and phosphatidylglycerols are the main lipid components. The proteins of these vesicles were identified by separating them by one-dimensional gel electrophoresis and liquid chromatography coupled to electrospray ionization tandem mass spectrometry (ESI-MS/MS). They are composed of outer membrane and periplasmic proteins according to the subcellular localization predictions by Psortb v.3 and Cello V2.5. The functional annotation and gene ontology of these proteins provided hints for various functions attributed to OMVs and suggested a potential mechanism to respond to the extracellular environmental changes. The OMVs were found to protect the producer organism against the membrane active antibiotics colistin and melittin but not from streptomycin. The 1-N-phenylnapthylamine (NPN)-uptake assay revealed that the OMVs protect the bacterium from membrane active antibiotics by scavenging them and also showed that membrane and protein packing of the OMVs was similar to the parent bacterium. The sequestering depends on the composition and organization of lipids and proteins in the OMVs.</t>
  </si>
  <si>
    <t>[Kulkarni, Heramb M.; Swamy, Ch V. B.; Jagannadham, Medicharla V.] Ctr Cellular &amp; Mol Biol, CSIR, Hyderabad 500007, Andhra Pradesh, India</t>
  </si>
  <si>
    <t>Council of Scientific &amp; Industrial Research (CSIR) - India; CSIR - Centre for Cellular &amp; Molecular Biology (CCMB)</t>
  </si>
  <si>
    <t>Jagannadham, MV (corresponding author), Ctr Cellular &amp; Mol Biol, CSIR, Hyderabad 500007, Andhra Pradesh, India.</t>
  </si>
  <si>
    <t>jagan@ccmb.res.in</t>
  </si>
  <si>
    <t>Kulkarni, Heamb/JMC-4945-2023; Jagannadham, Medicharla V. V./AAW-6773-2021</t>
  </si>
  <si>
    <t>Department of Science and Technology (DST), New Delhi; CSIR</t>
  </si>
  <si>
    <t>Department of Science and Technology (DST), New Delhi(Department of Science &amp; Technology (India)); CSIR(Council of Scientific &amp; Industrial Research (CSIR) - India)</t>
  </si>
  <si>
    <t>We thank the Department of Science and Technology (DST), New Delhi, for financial support to carry out this research work. H.M.K. is a recipient of CSIR Senior research fellowship. We acknowledge the help from the proteomics facility of CCMB, Hyderabad, for the help in mass spectrometry. We thank the PRIDE team in their help to deposit our data. We thank Dr. Shashi Singh for help in EM studies, and Dr. C Sivakama Sundari and Dr. M. K. Chattopadhyay for comments and criticism on the manuscript.</t>
  </si>
  <si>
    <t>AMER CHEMICAL SOC</t>
  </si>
  <si>
    <t>1155 16TH ST, NW, WASHINGTON, DC 20036 USA</t>
  </si>
  <si>
    <t>1535-3893</t>
  </si>
  <si>
    <t>1535-3907</t>
  </si>
  <si>
    <t>J PROTEOME RES</t>
  </si>
  <si>
    <t>J. Proteome Res.</t>
  </si>
  <si>
    <t>10.1021/pr4009223</t>
  </si>
  <si>
    <t>Biochemical Research Methods</t>
  </si>
  <si>
    <t>Biochemistry &amp; Molecular Biology</t>
  </si>
  <si>
    <t>AC8AV</t>
  </si>
  <si>
    <t>WOS:000332756300017</t>
  </si>
  <si>
    <t>Volonterio, O; Brewin, PE</t>
  </si>
  <si>
    <t>Volonterio, Odile; Brewin, Paul E.</t>
  </si>
  <si>
    <t>A new species of Allogenus (Tricladida, Maricola, Uteriporidae) from South Georgia, Sub-Antarctica</t>
  </si>
  <si>
    <t>JOURNAL OF THE MARINE BIOLOGICAL ASSOCIATION OF THE UNITED KINGDOM</t>
  </si>
  <si>
    <t>Tricladida; Maricola; Uteriporidae; Allogenus; South Georgia</t>
  </si>
  <si>
    <t>ENVIRONMENTAL TOLERANCES; INTERTIDAL COMMUNITIES; CRUSTACEA; DIVERSITY; HUSVIK</t>
  </si>
  <si>
    <t>South Georgia is a remote sub-Antarctic island, considered a marine biodiversity hotspot' in the Southern Ocean. During a survey along the north coast of South Georgia several marine planarians were found. One of the specimens was a new species of Allogenus (Uteriporidae), which is described here as Allogenus sluysi sp. nov. The new species has the characteristics of the genus and can be distinguished from the type and only known species, Allogenus kerguelensis, by its smaller size, blackish-brown pigmentation, presence of three retinal cells in each eye cup, position of its testes half-way between the ventral and dorsal body surfaces or at a slightly more ventral position, and by having an ejaculatory duct that opens centrally at the tip of the penis papilla. The presently known geographical distribution of Allogenus, the heterogeneous marine planarian species composition in South Georgia, and the distribution of these species in this region are in agreement with a previously proposed vicariance hypothesis, albeit that dispersal cannot be ruled out.</t>
  </si>
  <si>
    <t>[Volonterio, Odile] Univ Republica, Fac Ciencias, Secc Zool Invertebrados, Montevideo, Uruguay; [Brewin, Paul E.] Shallow Marine Surveys Grp, Falkland Isl FIQQ 1ZZ, South Atlantic, England; [Brewin, Paul E.] Falkland Isl Govt, Dept Nat Resources Fisheries, Falkland Isl FIQQ 1ZZ, South Atlantic, England</t>
  </si>
  <si>
    <t>Universidad de la Republica, Uruguay</t>
  </si>
  <si>
    <t>Volonterio, O (corresponding author), Univ Republica, Fac Ciencias, Secc Zool Invertebrados, Igua 4225,Piso 8 Sur, Montevideo, Uruguay.</t>
  </si>
  <si>
    <t>o.volonterio@outlook.com</t>
  </si>
  <si>
    <t>Volonterio, Odile/GOK-2869-2022</t>
  </si>
  <si>
    <t>, Paul/0000-0002-0261-9646</t>
  </si>
  <si>
    <t>Government of South Georgia and South Sandwich Islands; South Georgia Heritage Trust; Falkland Islands Government Fisheries Department; Joint Nature Conservation Committee (UK), a Darwin Initiative Grant; British Antarctic Survey</t>
  </si>
  <si>
    <t>We wish to thank The Government of South Georgia and South Sandwich Islands, The South Georgia Heritage Trust, and the Falkland Islands Government Fisheries Department for logistic and financial support. O.V. gratefully acknowledges a SCAR Fellowship facilitating collaborative research with the Shallow Marine Surveys Group through the British Antarctic Survey. P.B. was supported by the Joint Nature Conservation Committee (UK), a Darwin Initiative Grant, and the British Antarctic Survey.</t>
  </si>
  <si>
    <t>0025-3154</t>
  </si>
  <si>
    <t>1469-7769</t>
  </si>
  <si>
    <t>J MAR BIOL ASSOC UK</t>
  </si>
  <si>
    <t>J. Mar. Biol. Assoc. U.K.</t>
  </si>
  <si>
    <t>10.1017/S0025315413001628</t>
  </si>
  <si>
    <t>AC8JR</t>
  </si>
  <si>
    <t>WOS:000332779800008</t>
  </si>
  <si>
    <t>Beu, A; Taviani, M</t>
  </si>
  <si>
    <t>Beu, Alan; Taviani, Marco</t>
  </si>
  <si>
    <t>EARLY MIOCENE MOLLUSCA FROM MCMURDO SOUND, ANTARCTICA ( ANDRILL 2A DRILL CORE), WITH A REVIEW OF ANTARCTIC OLIGOCENE AND NEOGENE PECTINIDAE ( BIVALVIA)</t>
  </si>
  <si>
    <t>PALAEONTOLOGY</t>
  </si>
  <si>
    <t>Antarctica; Miocene; new genera; new species; palaeotemperatures; Pectinidae</t>
  </si>
  <si>
    <t>TERRA-NOVA BAY; SCALLOP ADAMUSSIUM-COLBECKI; COCKBURN ISLAND FORMATION; KING-GEORGE-ISLAND; PLIOCENE SORSDAL FORMATION; PRINCE-CHARLES-MOUNTAINS; JAMES-ROSS-ISLAND; GLACIAL HISTORY; VESTFOLD HILLS; DIATOM BIOSTRATIGRAPHY</t>
  </si>
  <si>
    <t>Retrotapes andrillorum sp. nov., Hiatella cf. arctica (Linnaeus, 1767), ?Yoldia sp. (internal mould) and six taxa of Pectinidae are reported from the Burdigalian section of the ANDRILL 2A core, drilled in McMurdo Sound, Ross Sea. The pectinids are Adamussium cf. jonkersi Quaglio etal., 2010, Antarctipecten gen. nov. alanbeui (Jonkers, 2003), Austrochlamys forticosta sp. nov., Austrochlamys cf. marisrossensis Jonkers, 2003, Ruthipecten gen. nov., sp. nov. (not named) and a fragmentary specimen representing an unnamed genus and species. In a revision of Antarctic Pectinidae, Austrochlamys Jonkers, 2003, Ruthipecten gen. nov. (proposed for Chlamys (Zygochlamys) tuftsensis Turner, 1967, reported only from Wright Valley and the Vestfold Hills, not present in ANDRILL 2A), Leoclunipecten gen. nov. (proposed for Austrochlamys gazdzickii Jonkers, 2003, reported only from Oligocene rocks of King George Island, not present in ANDRILL 2A) and the unnamed genus in ANDRILL 2A are assigned to subfamily Chlamydinae, tribe Chlamydini, whereas Adamussium Thiele, 1934 and Antarctipecten gen. nov. are assigned to subfamily Palliolinae, tribe Adamussiini. The diverse Pectinidae in ANDRILL 2A suggest sea temperatures roughly 5 degrees C warmer than at present in the Ross Sea during Early Miocene time.</t>
  </si>
  <si>
    <t>[Beu, Alan] GNS Sci, Lower Hutt 5040, New Zealand; [Taviani, Marco] CNR, Ist Sci Marine, I-40129 Bologna, Italy; [Taviani, Marco] Woods Hole Oceanog Inst, Woods Hole, MA 02543 USA</t>
  </si>
  <si>
    <t>GNS Science - New Zealand; Consiglio Nazionale delle Ricerche (CNR); Istituto di Scienze Marine (ISMAR-CNR); Woods Hole Oceanographic Institution</t>
  </si>
  <si>
    <t>Beu, A (corresponding author), GNS Sci, POB 30368, Lower Hutt 5040, New Zealand.</t>
  </si>
  <si>
    <t>a.beu@gns.cri.nz; marco.taviani@bo.ismar.cnr.it</t>
  </si>
  <si>
    <t>Taviani, Marco/AAF-2168-2020; CNR, Ismar/P-1247-2014</t>
  </si>
  <si>
    <t>Taviani, Marco/0000-0003-0414-4274; CNR, Ismar/0000-0001-5351-1486</t>
  </si>
  <si>
    <t>Italian National Antarctic Program; ANDRILL Project (GNS Science GCT Programme)</t>
  </si>
  <si>
    <t>We thank the ANDRILL on-ice team for cooperative work during the drilling operations in 2007 and the ANDRILL Steering Committee for access to core, permission to select samples and access to the archival half of the core 430.54-430.68 mbsf. R. Levy (GNS) provided data on ages and sequences in the ANDRILL log and prepared Figure 1. MT thanks the Italian National Antarctic Program for partial funding, and AGB thanks the ANDRILL Project (GNS Science GCT Programme) for funding. We are grateful to J. A. Crame (BAS) and T. R. Waller (USNM) for references and helpful comments on the manuscript and to M. Florence (USNM) for repository data. P. G. Quilty (Dept. of Earth Sciences, University of Tasmania) discussed the fossils and age of Sorsdal Formation, sent photographs of his material, provided references and commented on the manuscript. A. Ceregato (Istituto di Scienze Marine, Bologna) helped with fossil preparation and handling. J.-P. Rocroi and V. Heros (Museum National d'Histoire Naturelle, Paris) supplied the reference by Fleuriau-Bellevue. T. A. Darragh and R. Schmidt (NMV) loaned Sorsdal Formation material and advised on new names. A. Baldinger (MCZ) supplied the photograph of the holotype of Ruthipecten gen. nov. tuftsensis, and P. Bucktrout (BAS) supplied the photograph of a paratype of Leoclunipecten gen. nov. gazdzickii. We are grateful to F. Quaglio (Instituto de Geosciencias, Universidade de Sao Paulo) for many improvements to the manuscript. We thank K. Garbett (GNS) for references, M. Terezow (GNS) for photography and P. Carthew (GNS) for preparing Figures 2-9. This is ISMAR-CNR Bologna scientific contribution 1756.</t>
  </si>
  <si>
    <t>0031-0239</t>
  </si>
  <si>
    <t>1475-4983</t>
  </si>
  <si>
    <t>10.1111/pala.12067</t>
  </si>
  <si>
    <t>AC8IL</t>
  </si>
  <si>
    <t>WOS:000332776600005</t>
  </si>
  <si>
    <t>Jacobs, SJ; Pezza, AB; Barras, V; Bye, J</t>
  </si>
  <si>
    <t>Jacobs, Stephanie J.; Pezza, Alexandre B.; Barras, Vaughan; Bye, John</t>
  </si>
  <si>
    <t>A new 'bio-comfort' perspective for Melbourne based on heat stress, air pollution and pollen</t>
  </si>
  <si>
    <t>INTERNATIONAL JOURNAL OF BIOMETEOROLOGY</t>
  </si>
  <si>
    <t>Apparent temperature; Heat stress; PM10; Air pollution; Pollen; Thermal comfort</t>
  </si>
  <si>
    <t>AIRBORNE GRASS-POLLEN; HOSPITAL ADMISSIONS; CASE-CROSSOVER; EXTREME HEAT; MORTALITY; TEMPERATURE; IMPACT; CITIES; AUSTRALIA; WAVES</t>
  </si>
  <si>
    <t>Humans are at risk from exposure to extremes in their environment, yet there is no consistent way to fully quantify and understand the risk when considering more than just meteorological variables. An outdoor 'bio-comfort' threshold is defined for Melbourne, Australia using a combination of heat stress, air particulate concentration and grass pollen count, where comfortable conditions imply an ideal range of temperature, humidity and wind speed, acceptable levels of air particulates and a low pollen count. This is a new approach to defining the comfort of human populations. While other works have looked into the separate impacts of different variables, this is the first time that a unified bio-comfort threshold is suggested. Composite maps of surface pressure are used to illustrate the genesis and evolution of the atmospheric structures conducive to an uncomfortable day. When there is an uncomfortable day due to heat stress conditions in Melbourne, there is a high pressure anomaly to the east bringing warm air from the northern interior of Australia. This anomaly is part of a slow moving blocking high originating over the Indian Ocean. Uncomfortable days due to high particulate levels have an approaching cold front. However, for air particulate cases during the cold season there are stable atmospheric conditions enhanced by a blocking high emanating from Australia and linking with the Antarctic continent. Finally, when grass pollen levels are high, there are northerly winds carrying the pollen from rural grass lands to Melbourne, due to a stationary trough of low pressure inland. Analysis into days with multiple types of stress revealed that the atmospheric signals associated with each type of discomfort are present regardless of whether the day is uncomfortable due to one or multiple variables. Therefore, these bio-comfort results are significant because they offer a degree of predictability for future uncomfortable days in Melbourne.</t>
  </si>
  <si>
    <t>[Jacobs, Stephanie J.; Pezza, Alexandre B.; Bye, John] Univ Melbourne, Sch Earth Sci, Melbourne, Vic 3010, Australia; [Barras, Vaughan] Bur Meteorol, Ctr Australian Weather &amp; Climate Res, Docklands, Vic 3008, Australia</t>
  </si>
  <si>
    <t>University of Melbourne; Melbourne Bioinformatics; Commonwealth Scientific &amp; Industrial Research Organisation (CSIRO); Bureau of Meteorology - Australia</t>
  </si>
  <si>
    <t>Jacobs, SJ (corresponding author), Univ Melbourne, Sch Earth Sci, Melbourne, Vic 3010, Australia.</t>
  </si>
  <si>
    <t>stephanie.jacobs89@gmail.com; apezza@unimelb.edu.au; v.barras@bom.gov.au; jbye@unimelb.edu.au</t>
  </si>
  <si>
    <t>Australian Research Council</t>
  </si>
  <si>
    <t>The authors would like to thank the three anonymous reviewers whose comments and suggestions greatly improved the text. We would also like to thank the Environmental Protection Agency of Victoria and the Australian Bureau of Meteorology for providing PM10 and meteorological data, respectively. We also thank Prof. Ed Newbigin from the School of Botany at the University of Melbourne for useful suggestions and discussions, and for sending the pollen data for Melbourne. A. B. Pezza would like to acknowledge the Australian Research Council for funding parts of this work.</t>
  </si>
  <si>
    <t>0020-7128</t>
  </si>
  <si>
    <t>1432-1254</t>
  </si>
  <si>
    <t>INT J BIOMETEOROL</t>
  </si>
  <si>
    <t>Int. J. Biometeorol.</t>
  </si>
  <si>
    <t>10.1007/s00484-013-0636-0</t>
  </si>
  <si>
    <t>Biophysics; Environmental Sciences; Meteorology &amp; Atmospheric Sciences; Physiology</t>
  </si>
  <si>
    <t>Biophysics; Environmental Sciences &amp; Ecology; Meteorology &amp; Atmospheric Sciences; Physiology</t>
  </si>
  <si>
    <t>AC2IP</t>
  </si>
  <si>
    <t>WOS:000332324000016</t>
  </si>
  <si>
    <t>Ogurtsov, MG; Oinonen, M</t>
  </si>
  <si>
    <t>Ogurtsov, M. G.; Oinonen, M.</t>
  </si>
  <si>
    <t>Evidence of the solar Gleissberg cycle in the nitrate concentration in polar ice</t>
  </si>
  <si>
    <t>JOURNAL OF ATMOSPHERIC AND SOLAR-TERRESTRIAL PHYSICS</t>
  </si>
  <si>
    <t>Nitrate; Solar activity; Cosmic rays; Paleoclimatology</t>
  </si>
  <si>
    <t>GREENLAND ICE; MIDDLE ATMOSPHERE; PROTON EVENTS; BE-10; CORE; CLIMATE; INDICATOR; PARTICLES; RECORDS</t>
  </si>
  <si>
    <t>Two sets of nitrate (NO3-) concentration data, obtained from Central Greenland and East Antarctic (Dronning Maud Land) ice cores, were analyzed statistically. Distinct century-scale (50-150 yr) variability was revealed in both data sets during AD 1576-1990. It was found that century-type variation in Greenland and Antarctic nitrate correlates fairly significantly with the corresponding Gleissberg cycle: (a) in sunspot number over 1700-1970 AD; (b) in Be-10 concentration in Central and South Greenland over 1576-1970 AD. Thus, presence of century-scale relationship between polar nitrate and solar activity was confirmed over the last 4 centuries. That proves that NO3- concentration in polar ice caps could serve as indicator of long-term solar variability. (C) 2014 Elsevier Ltd. All rights reserved.</t>
  </si>
  <si>
    <t>[Ogurtsov, M. G.] Ioffe Physicotech Inst, St Petersburg 194021, Russia; [Ogurtsov, M. G.] Russian Acad Sci, Cent Astron Observ, St Petersburg 196140, Russia; [Oinonen, M.] Univ Helsinki, Finnish Museum Nat Hist LUOMUS, Helsinki, Finland</t>
  </si>
  <si>
    <t>Russian Academy of Sciences; St. Petersburg Scientific Centre of the Russian Academy of Sciences; Ioffe Physical Technical Institute; Russian Academy of Sciences; St. Petersburg Scientific Centre of the Russian Academy of Sciences; Pulkovo Observatory; University of Helsinki</t>
  </si>
  <si>
    <t>Ogurtsov, MG (corresponding author), Ioffe Physicotech Inst, St Petersburg 194021, Russia.</t>
  </si>
  <si>
    <t>maxim.ogurtsov@mail.ioffe.ru</t>
  </si>
  <si>
    <t>Ogurtsov, Maxim/H-9486-2014</t>
  </si>
  <si>
    <t>Oinonen, Markku/0000-0002-0881-7643</t>
  </si>
  <si>
    <t>exchange program between the Russian and Finnish Academies [16]; Presidium of RAS [22]; RFBR [10-05-00129, 11-02-00755, 13-02-00277, 13-02-00783]</t>
  </si>
  <si>
    <t>exchange program between the Russian and Finnish Academies; Presidium of RAS(Russian Academy of Sciences); RFBR(Russian Foundation for Basic Research (RFBR))</t>
  </si>
  <si>
    <t>M. G. Ogurtsov expresses his thanks to the exchange program between the Russian and Finnish Academies (project No. 16), to the program of the Presidium of RAS No 22, and to RFBR grants 10-05-00129, 11-02-00755, 13-02-00277, 13-02-00783 for financial support Authors are grateful to the anonymous referees for constructive comments on an earlier version of the paper, which greatly helped to improve it.</t>
  </si>
  <si>
    <t>1364-6826</t>
  </si>
  <si>
    <t>1879-1824</t>
  </si>
  <si>
    <t>J ATMOS SOL-TERR PHY</t>
  </si>
  <si>
    <t>J. Atmos. Sol.-Terr. Phys.</t>
  </si>
  <si>
    <t>10.1016/j.jastp.2013.12.017</t>
  </si>
  <si>
    <t>Geochemistry &amp; Geophysics; Meteorology &amp; Atmospheric Sciences</t>
  </si>
  <si>
    <t>AC3QI</t>
  </si>
  <si>
    <t>WOS:000332435900006</t>
  </si>
  <si>
    <t>Levitan, MA; Leichenkov, GL</t>
  </si>
  <si>
    <t>Levitan, M. A.; Leichenkov, G. L.</t>
  </si>
  <si>
    <t>Cenozoic glaciation of Antarctica and sedimentation in the Southern Ocean</t>
  </si>
  <si>
    <t>LITHOLOGY AND MINERAL RESOURCES</t>
  </si>
  <si>
    <t>CIRCUMPOLAR CURRENT; CONTINENTAL-MARGIN; ICE-SHEET; SCOTIA SEA; PENINSULA; HISTORY; MIOCENE; CLIMATE; RECORD; EOCENE</t>
  </si>
  <si>
    <t>Literature pertaining to history of the Cenozoic glaciation in Antarctica and its influence on sedimentation in marginal areas of the continent and deep-water domains of the Southern Ocean are reviewed. Original data obtained by G.L. Leichenkov on seismostratigraphy of the East Antarctica margin are also used. Particular attention is paid to the history of silica accumulation, ice-rafted material deposition, and formation of contourites. The results make it possible to define the following main stages of Antarctic glaciation in the Cenozoic: (1) middle-late Eocene; (2) Oligocene; (3) early Miocene; (4) middle Miocene; (5) late Miocene-early Pliocene; and (6) late Pliocene-Holocene.</t>
  </si>
  <si>
    <t>[Levitan, M. A.] Russian Acad Sci, VI Vernadskii Inst Geochem &amp; Analyt Chem, Moscow 119991, Russia; [Leichenkov, G. L.] All Russia Res Inst Geol &amp; Mineral Resources Worl, St Petersburg 190121, Russia</t>
  </si>
  <si>
    <t>Russian Academy of Sciences; Vernadsky Institute of Geochemistry &amp; Analytical Chemistry; A.P. Karpinsky Russian Geological Research Institute (VSEGEI)</t>
  </si>
  <si>
    <t>Levitan, MA (corresponding author), Russian Acad Sci, VI Vernadskii Inst Geochem &amp; Analyt Chem, Ul Kosygina 19, Moscow 119991, Russia.</t>
  </si>
  <si>
    <t>m-levitan@mail.ru</t>
  </si>
  <si>
    <t>Leitchenkov, German/G-2221-2015</t>
  </si>
  <si>
    <t>Norwegian Petroleum Directorate; Bergen University; Russian Academy of Sciences [24]; Earth Sciences Division of the Russian Academy of Sciences [14]; Russian Foundation for Basic Research [08-05-00221, 11-05-00356]</t>
  </si>
  <si>
    <t>Norwegian Petroleum Directorate; Bergen University; Russian Academy of Sciences(Russian Academy of Sciences); Earth Sciences Division of the Russian Academy of Sciences(Russian Academy of Sciences); Russian Foundation for Basic Research(Russian Foundation for Basic Research (RFBR)Spanish Government)</t>
  </si>
  <si>
    <t>M.A. Levitan is sincerely grateful to G. Kuhn and R. Stein for the discussion of some aspects in the paper. G. L Leichenkov thanks the Norwegian Petroleum Directorate and Bergen University for their support of field investigations. This work was supported by the Presidium of the Russian Academy of Sciences (Basic Research Program no. 24), the Earth Sciences Division of the Russian Academy of Sciences (program no. 14), and the Russian Foundation for Basic Research (project nos. 08-05-00221 and 11-05-00356).</t>
  </si>
  <si>
    <t>PLEIADES PUBLISHING INC</t>
  </si>
  <si>
    <t>MOSCOW</t>
  </si>
  <si>
    <t>PLEIADES PUBLISHING INC, MOSCOW, 00000, RUSSIA</t>
  </si>
  <si>
    <t>0024-4902</t>
  </si>
  <si>
    <t>1608-3229</t>
  </si>
  <si>
    <t>LITHOL MINER RESOUR+</t>
  </si>
  <si>
    <t>Lithol. Miner. Resour.</t>
  </si>
  <si>
    <t>10.1134/S0024490214020060</t>
  </si>
  <si>
    <t>Geochemistry &amp; Geophysics; Geology; Mineralogy</t>
  </si>
  <si>
    <t>AC5TA</t>
  </si>
  <si>
    <t>WOS:000332582400001</t>
  </si>
  <si>
    <t>Bol'shiyanov, DY; Bakunov, NA; Makarov, AS</t>
  </si>
  <si>
    <t>Bol'shiyanov, D. Yu.; Bakunov, N. A.; Makarov, A. S.</t>
  </si>
  <si>
    <t>137Cs in sediments of deep lakes</t>
  </si>
  <si>
    <t>Sedimentation rate of suspensions (0.3-18.2 mm/yr) was determined on the basis of layer-by-layer distribution of Cs-137 (global and Chernobyl) in the cores of bottom sediments (BS) from 16 lakes located in the high and moderate latitudes of the Northern Hemisphere. Profiles of Cs-137 concentration in the BS cores were analyzed. Sedimentation rates in the limnic zones of deep-water lakes were calculated using Cs-137 accumulated in the finely-dispersed component of mineral suspension.</t>
  </si>
  <si>
    <t>[Bol'shiyanov, D. Yu.; Bakunov, N. A.; Makarov, A. S.] Arctic &amp; Antarctic Res Inst, St Petersburg 199397, Russia</t>
  </si>
  <si>
    <t>Arctic &amp; Antarctic Research Institute</t>
  </si>
  <si>
    <t>Bol'shiyanov, DY (corresponding author), Arctic &amp; Antarctic Res Inst, Ul Beringa 38, St Petersburg 199397, Russia.</t>
  </si>
  <si>
    <t>Bolshiyanov@aari.u</t>
  </si>
  <si>
    <t>Bakunov, Nikolay/AAB-4832-2019</t>
  </si>
  <si>
    <t>Russian Foundation for Basic Research [11-05-00881-a, 10-05-00727-a]</t>
  </si>
  <si>
    <t>Russian Foundation for Basic Research(Russian Foundation for Basic Research (RFBR)Spanish Government)</t>
  </si>
  <si>
    <t>This work was supported by the Russian Foundation for Basic Research (project nos. 11-05-00881-a and 10-05-00727-a).</t>
  </si>
  <si>
    <t>10.1134/S0024490214020023</t>
  </si>
  <si>
    <t>WOS:000332582400004</t>
  </si>
  <si>
    <t>Yin, YZ; Luo, Y; Xiao, FJ; Lang, XM</t>
  </si>
  <si>
    <t>Yin YiZhou; Luo Yong; Xiao FengJing; Lang XianMei</t>
  </si>
  <si>
    <t>Yearly tropical cyclone potential impact index in China</t>
  </si>
  <si>
    <t>SCIENCE CHINA-EARTH SCIENCES</t>
  </si>
  <si>
    <t>tropical cyclone; potential impact; short-term climate prediction</t>
  </si>
  <si>
    <t>WESTERN NORTH PACIFIC; ABSOLUTE DEVIATION REGRESSION; ANTARCTIC OSCILLATION; TYPHOON FREQUENCY; CLIMATE; MODEL; PREDICTION; SIMULATION; LANDFALL; VORTICES</t>
  </si>
  <si>
    <t>A new composite index called the yearly tropical cyclone potential impact (YTCPI) is introduced. The relationship between YTCPI and activities of tropical cyclones (TCs) in China, disaster loss, and main ambient fields are investigated to show the potential of YTCPI as a new tool for short-term climate prediction of TCs. YTCPI can indicate TC activity and potential disaster loss. As correlation coefficients between YTCPI and frequency of landfalling TCs, the frequency of TCs traversing or forming inside a 24 h warning line in China from 1971 to 2010 are 0.58 and 0.56, respectively (both are at a statistically significant level, above alpha = 0.001). Furthermore, three simple indexes are used to compare with YTCPI. They all have very close relationships with it, with correlation coefficients 0.75, 0.82 and 0.78. For economic loss and YTCPI, the correlation coefficient is 0.57 for 1994-2009. Information on principal ambient fields (sea surface temperature, 850 and 500 hPa geopotential heights) during the previous winter is reflected in the relationship with YTCPI. Spatial and temporal variabilities of ambient fields are extracted through empirical orthogonal function (EOF) analysis. Spatial distributions of correlation coefficient between YTCPI and ambient fields match the EOF main mode. Correlation coefficients between YTCPI and the EOF time array for the three ambient fields are 0.46, 0.44 and 0.4, respectively, all statistically significant, above alpha = 0.01. The YTCPI has the overall potential to be an improved prediction tool.</t>
  </si>
  <si>
    <t>[Yin YiZhou; Luo Yong] Tsinghua Univ, Ctr Earth Syst Sci, Beijing 100084, Peoples R China; [Xiao FengJing] China Meteorol Adm, Natl Climate Ctr, Beijing 100081, Peoples R China; [Lang XianMei] Chinese Acad Sci, Inst Atmospher Phys, Int Ctr Climate &amp; Environm Sci, Beijing 100029, Peoples R China</t>
  </si>
  <si>
    <t>Tsinghua University; China Meteorological Administration; Chinese Academy of Sciences; Institute of Atmospheric Physics, CAS</t>
  </si>
  <si>
    <t>Yin, YZ (corresponding author), Tsinghua Univ, Ctr Earth Syst Sci, Beijing 100084, Peoples R China.</t>
  </si>
  <si>
    <t>ship2001691@sohu.com</t>
  </si>
  <si>
    <t>ZHANG, XUCHEN/KBB-7989-2024</t>
  </si>
  <si>
    <t>National Science &amp; Technology Pillar Program [2007BAC29B05]; Chinese Academy of Sciences [KZCX2-YW-Q03-3]; National Natural Science Foundation of China [41001021]</t>
  </si>
  <si>
    <t>National Science &amp; Technology Pillar Program; Chinese Academy of Sciences(Chinese Academy of Sciences); National Natural Science Foundation of China(National Natural Science Foundation of China (NSFC))</t>
  </si>
  <si>
    <t>This work was supported by the National Science &amp; Technology Pillar Program during the 11th Five-Year Plan Period (Grant No. 2007BAC29B05), and the Knowledge Innovation Project of the Chinese Academy of Sciences (Grant No. KZCX2-YW-Q03-3), and the National Natural Science Foundation of China (Grant No. 41001021). We wish to thank two anonymous reviewers for their comments and suggestions.</t>
  </si>
  <si>
    <t>1674-7313</t>
  </si>
  <si>
    <t>1869-1897</t>
  </si>
  <si>
    <t>SCI CHINA EARTH SCI</t>
  </si>
  <si>
    <t>Sci. China-Earth Sci.</t>
  </si>
  <si>
    <t>10.1007/s11430-013-4765-4</t>
  </si>
  <si>
    <t>AC6VA</t>
  </si>
  <si>
    <t>WOS:000332662000018</t>
  </si>
  <si>
    <t>Quan, XW; Hoerling, MP; Perlwitz, J; Diaz, HF; Xu, TY</t>
  </si>
  <si>
    <t>Quan, Xiao-Wei; Hoerling, Martin P.; Perlwitz, Judith; Diaz, Henry F.; Xu, Taiyi</t>
  </si>
  <si>
    <t>How Fast Are the Tropics Expanding?</t>
  </si>
  <si>
    <t>Forcing; Climate models; Trends; Ozone; Hadley circulation; Moisture/moisture budget</t>
  </si>
  <si>
    <t>HADLEY CIRCULATION; POLEWARD EXPANSION; REANALYSES; CMIP5; ERA</t>
  </si>
  <si>
    <t>Diagnosing the sensitivity of the tropical belt provides one framework for understanding how global precipitation patterns may change in a warming world. This paper seeks to understand boreal winter rates of subtropical dry zone expansion since 1979, and explores physical mechanisms. Various reanalysis estimates based on the latitude where zonal mean precipitation P exceeds evaporation E and the zero crossing latitude for the zonal mean meridional streamfunction () yield tropical width expansion rates in each hemisphere ranging from near zero to over 1 degrees latitude decade(-1). Comparisons with 30-yr trends computed from unforced climate model simulations indicate that the range among reanalyses is nearly an order of magnitude greater than the standard deviation of internal climate variability. Furthermore, comparisons with forced climate models indicate that this range is an order of magnitude greater than the forced change signal since 1979. Rapid widening rates during 1979-2009 derived from some reanalyses are thus viewed to be unreliable. The intercomparison of models and reanalyses supports the prevailing view of a tropical widening, but the forced component of tropical widening has likely been only about 0.1 degrees-0.2 degrees latitude decade(-1), considerably less than has generally been assumed based on inferences drawn from observations and reanalyses. Climate model diagnosis indicates that the principal mechanism for forced tropical widening since 1979 has been atmospheric sensitivity to warming oceans. The magnitude of this widening and its potential detectability has been greater in the Southern Hemisphere than in the Northern Hemisphere during boreal winter, in part owing to Antarctic stratospheric ozone depletion.</t>
  </si>
  <si>
    <t>[Quan, Xiao-Wei; Hoerling, Martin P.; Perlwitz, Judith; Diaz, Henry F.; Xu, Taiyi] NOAA, Earth Syst Res Lab, Boulder, CO 80305 USA; [Quan, Xiao-Wei; Perlwitz, Judith; Diaz, Henry F.; Xu, Taiyi] Univ Colorado, CIRES, Boulder, CO 80305 USA</t>
  </si>
  <si>
    <t>National Oceanic Atmospheric Admin (NOAA) - USA; University of Colorado System; University of Colorado Boulder</t>
  </si>
  <si>
    <t>Quan, XW (corresponding author), Univ Colorado, CIRES, Boulder, CO 80305 USA.</t>
  </si>
  <si>
    <t>quan.xiao-wei@noaa.gov</t>
  </si>
  <si>
    <t>Perlwitz, Judith/B-7201-2008</t>
  </si>
  <si>
    <t>Perlwitz, Judith/0000-0003-4061-2442</t>
  </si>
  <si>
    <t>NOAA's Climate Program Office; NOAA's Super-Computing System</t>
  </si>
  <si>
    <t>NOAA's Climate Program Office(National Oceanic Atmospheric Admin (NOAA) - USA); NOAA's Super-Computing System</t>
  </si>
  <si>
    <t>The authors thank Dr. Ramakrishna Nemani for his interest in this work and for sponsoring some of the computing resources used in model simulations performed on the NASA AMES computing system. The authors also thank Sean Davis for providing the reanalysis trend estimates based on DR12. The paper has benefited from the comments by Dr. Lorenzo Polvani on an earlier draft, and also from comments by an anonymous reviewer. We gratefully acknowledge NOAA's Climate Program Office and NOAA's Super-Computing System for support.</t>
  </si>
  <si>
    <t>10.1175/JCLI-D-13-00287.1</t>
  </si>
  <si>
    <t>AB3KO</t>
  </si>
  <si>
    <t>WOS:000331689900007</t>
  </si>
  <si>
    <t>Baccolo, G; Baroni, C; Clemenza, M; Delmonte, B; Maggi, V; Motta, A; Nastasi, M; Previtali, E; Salvatore, MC</t>
  </si>
  <si>
    <t>Baccolo, G.; Baroni, C.; Clemenza, M.; Delmonte, B.; Maggi, V.; Motta, A.; Nastasi, M.; Previtali, E.; Salvatore, M. C.</t>
  </si>
  <si>
    <t>Neutron activation analysis on sediments from Victoria Land, Antarctica: multi-elemental characterization of potential atmospheric dust sources</t>
  </si>
  <si>
    <t>JOURNAL OF RADIOANALYTICAL AND NUCLEAR CHEMISTRY</t>
  </si>
  <si>
    <t>INAA; Gamma spectrometry; Antartica; Ice core; Atmospheric dust sources; Multivariate analysis; PCA; REE; ICE</t>
  </si>
  <si>
    <t>EAST ANTARCTICA; TALOS DOME; AEOLIAN DUST; ICE CORE; CLIMATE; ELEMENTS; REACTOR; VALLEY</t>
  </si>
  <si>
    <t>The elemental composition of 40 samples of mineral sediments collected in Victoria Land, Antarctica, in correspondence of ice-free sites, is presented. Concentration of 36 elements was determined by instrumental neutron activation analysis, INAA. The selection of 6 standard reference materials and the development of a specific analytical procedure allowed to reduce measurements uncertainties and to verify the reproducibility of the results. The decision to analyze sediment samples from Victoria Land ice-free areas is related to recent investigations regarding mineral dust content in the TALos Dome ICE core (159 degrees 11'E; 72 degrees 49'S, East Antarctica, Victoria Land), in which a coarse local fraction of dust was recognized. The characterization of Antarctic potential source areas of atmospheric mineral dust is the first step to identify the active sources of dust for the Talos Dome area and to reconstruct the atmospheric pathways followed by air masses in this region during different climatic periods. Principal components analysis was used to identify elements and samples correlations; attention was paid specially to rare earth elements (REE) and incompatible/compatible elements (ICE) in respect to iron, which proved to be the most discriminating elemental groups. The analysis of REE and ICE concentration profiles supported evidences of chemical weathering in ice-free areas of Victoria Land, whereas cold and dry climate conditions of the Talos Dome area and in general of East Antarctica.</t>
  </si>
  <si>
    <t>[Baccolo, G.; Delmonte, B.; Maggi, V.] Univ Milano Bicocca, Dipartimento Sci Ambiente &amp; Terr &amp; Sci Terra, Milan, Italy; [Baccolo, G.; Clemenza, M.; Maggi, V.; Motta, A.; Nastasi, M.; Previtali, E.] Ist Nazl Fis Nucl, Sez Milano Bicocca, I-20133 Milan, Italy; [Baroni, C.; Salvatore, M. C.] Univ Pisa, Dipartimento Sci Terra, Pisa, Italy; [Baroni, C.] CNR, Ist Geosci &amp; Georisorse, I-56100 Pisa, Italy; [Clemenza, M.; Motta, A.; Nastasi, M.; Previtali, E.] Univ Milano Bicocca, Dipartimento Fis, Milan, Italy</t>
  </si>
  <si>
    <t>University of Milano-Bicocca; Istituto Nazionale di Fisica Nucleare (INFN); University of Pisa; Consiglio Nazionale delle Ricerche (CNR); Istituto di Geoscienze e Georisorse (IGG-CNR); University of Milano-Bicocca</t>
  </si>
  <si>
    <t>Clemenza, M (corresponding author), Ist Nazl Fis Nucl, Sez Milano Bicocca, Via Celoria 16, I-20133 Milan, Italy.</t>
  </si>
  <si>
    <t>massimiliano.clemenza@mib.infn.it</t>
  </si>
  <si>
    <t>Maggi, Valter/E-1878-2014; Clemenza, Massimiliano/HMD-8636-2023; Delmonte, Barbara/L-2555-2015; Baccolo, Giovanni/J-9543-2019; Maggi, Valter/AAX-5728-2020; Salvatore, Maria Cristina/AAS-4000-2020; Baroni, Carlo/D-8184-2012; Clemenza, Massimiliano/ABA-2565-2021</t>
  </si>
  <si>
    <t>Clemenza, Massimiliano/0000-0002-8064-8936; Delmonte, Barbara/0000-0002-9074-2061; Baccolo, Giovanni/0000-0002-1246-8968; Maggi, Valter/0000-0001-6287-1213; Salvatore, Maria Cristina/0000-0002-1590-7284; Baroni, Carlo/0000-0001-5905-4650;</t>
  </si>
  <si>
    <t>0236-5731</t>
  </si>
  <si>
    <t>1588-2780</t>
  </si>
  <si>
    <t>J RADIOANAL NUCL CH</t>
  </si>
  <si>
    <t>J. Radioanal. Nucl. Chem.</t>
  </si>
  <si>
    <t>10.1007/s10967-013-2851-x</t>
  </si>
  <si>
    <t>Chemistry, Analytical; Chemistry, Inorganic &amp; Nuclear; Nuclear Science &amp; Technology</t>
  </si>
  <si>
    <t>Chemistry; Nuclear Science &amp; Technology</t>
  </si>
  <si>
    <t>AB8IU</t>
  </si>
  <si>
    <t>WOS:000332034400060</t>
  </si>
  <si>
    <t>Casanova-Katny, A; Palfner, G; Torres-Mellado, GA; Cavieres, LA</t>
  </si>
  <si>
    <t>Casanova-Katny, Angelica; Palfner, Goetz; Torres-Mellado, Gustavo A.; Cavieres, Lohengrin A.</t>
  </si>
  <si>
    <t>Do Antarctic lichens modify microclimate and facilitate vascular plants in the maritime Antarctic? A comment to Molina-Montenegro et al. (2014)</t>
  </si>
  <si>
    <t>JOURNAL OF VEGETATION SCIENCE</t>
  </si>
  <si>
    <t>Usnea aurantiacoatra; Positive interaction; Deschampsia antarctica; Antarctica; mosses; Antarctic flora; Cushion plants; Sanionia; Usnea antarctica; Colobanthus quitensis; Nurse plants</t>
  </si>
  <si>
    <t>DESCHAMPSIA-ANTARCTICA; CONTINENTAL ANTARCTICA; COMMUNITIES; SURVIVAL; SNOW</t>
  </si>
  <si>
    <t>A recent article published by Molina-Montenegro etal. (Journal of Vegetation Science24: 463) examines the association of Antarctic native plant and lichen species to the lichen Usnea antarctica on Fildes Peninsula, King George Island, maritime Antarctica. The authors report that on two sites, five out of 13 and four out of 11 species of lichens and mosses were spatially associated with U.antarctica, suggesting positive interactions between them. Although Deschampsia antarctica does not grow naturally associated with U.antarctica, Molina-Montenegro etal. carried out a transplantation experiment to demonstrate that the macrolichen acts as a nurse plant, improving the survival of the grass. Serious conceptual and methodological discrepancies emerge from a critical evaluation of this study, challenging their conclusions. First, we suspect that the author confused some lichen taxa, and we also disagree with macrolichens being treated as cushion plants, because rootless, poikilohydric and poikilothermic thallophytes such as lichens are unable to create a stable, enclave-like microhabitat as vascular cushion plants do. Indeed, a critical evaluation of some of the micro-environmental parameters measured indicates that there are no biologically meaningful differences between the U.antarctica thalli and surrounding open areas. Second, the lack of consideration of the life history of the species under study leads to confusion when (a) referring to the succession sequence of species that colonize the studied area and (b) interpreting the putative distribution patterns promoted by Usnea versus the substrate preferences of associated species. Third, the authors intend to demonstrate experimentally that Usnea can facilitate the survival of D.antarctica plants, transplanting adult plants and not seedlings between the lichen thalli, and it is not clear how the grass was planted - between or within the lichens - as at both experimental sites the lichens grow on stones or rocks. Facilitative interactions are present in the Antarctic and may play a pivotal role in the structure and functioning of the fragile Antarctic ecosystems. However, more rigorous and well-planned research is needed to assess its presence, importance and involved mechanisms.</t>
  </si>
  <si>
    <t>[Casanova-Katny, Angelica] Univ Concepcion, Dept Microbiol, Fac Ciencias Biol, Lab Invest Agentes Antibacterianos, Concepcion, Chile; [Palfner, Goetz] Univ Concepcion, Dept Bot, Lab Micol &amp; Micorrizas, Fac Ciencias Nat &amp; Oceanog, Concepcion, Chile; [Torres-Mellado, Gustavo A.; Cavieres, Lohengrin A.] Univ Concepcion, Dept Bot, Fac Ciencias Nat &amp; Oceanog, Concepcion, Chile; [Cavieres, Lohengrin A.] Inst Ecol &amp; Biodiversidad, Santiago, Chile</t>
  </si>
  <si>
    <t>Universidad de Concepcion; Universidad de Concepcion; Universidad de Concepcion</t>
  </si>
  <si>
    <t>Casanova-Katny, A (corresponding author), Univ Concepcion, Dept Microbiol, Fac Ciencias Biol, Lab Invest Agentes Antibacterianos, Casilla 160-C, Concepcion, Chile.</t>
  </si>
  <si>
    <t>angecasanova@udec.cl; goetz.palfner@gmail.com; gustorres@udec.cl; lcaviere@udec.cl</t>
  </si>
  <si>
    <t>Casanova-Katny, Angelica/M-3994-2014; Cavieres, Lohengrin A./A-9542-2010</t>
  </si>
  <si>
    <t>Cavieres, Lohengrin A./0000-0001-9122-3020</t>
  </si>
  <si>
    <t>1100-9233</t>
  </si>
  <si>
    <t>1654-1103</t>
  </si>
  <si>
    <t>J VEG SCI</t>
  </si>
  <si>
    <t>J. Veg. Sci.</t>
  </si>
  <si>
    <t>10.1111/jvs.12122</t>
  </si>
  <si>
    <t>Plant Sciences; Ecology; Forestry</t>
  </si>
  <si>
    <t>Plant Sciences; Environmental Sciences &amp; Ecology; Forestry</t>
  </si>
  <si>
    <t>AB3LW</t>
  </si>
  <si>
    <t>WOS:000331693300026</t>
  </si>
  <si>
    <t>Molina-Montenegro, MA; Torres-Díaz, C; Gianoli, E</t>
  </si>
  <si>
    <t>Molina-Montenegro, Marco A.; Torres-Diaz, Cristian; Gianoli, Ernesto</t>
  </si>
  <si>
    <t>Antarctic macrolichen modifies microclimate and facilitates vascular plants in the maritime Antarctica - a reply to Casanova-Katny et al. (2014)</t>
  </si>
  <si>
    <t>Antarctica; Deschampsia Antarctica; Nurse effect; Facilitation; Positive interactions</t>
  </si>
  <si>
    <t>POSITIVE INTERACTIONS; LICHEN; ANDES; EDGE</t>
  </si>
  <si>
    <t>In a current article in the Journal of Vegetation Science, Casanova-Katny etal. addressed a comment about an article by Molina-Montenegro etal., which demonstrated the climate modification induced by the macrolichen Usnea antarctica and its role as facilitator. They provided useful corrections concerning species identification and pointed out several issues that, in their view, weakened our study. They indicated that the role of U.antarctica as a facilitative species in the maritime Antarctica is merely philosophical and has no ecological relevance. In this commentary, we argue why these critiques are unsubstantial, and provide evidence that the macrolichen can modify the microclimate, ameliorating the harsh conditions prevailing in Antarctica, establishing positive interactions and eventually facilitating vascular species. Thus, the macrolichen U.antarctica would act as a 'nurse species', playing a key role in structuring the maritime Antarctic plant community.</t>
  </si>
  <si>
    <t>[Molina-Montenegro, Marco A.] Univ Catolica Norte, CEAZA, Fac Ciencias Mar, Coquimbo, Chile; [Torres-Diaz, Cristian] Univ Bio Bio, Dept Ciencias Basicas, LGB, Chillan, Chile; [Gianoli, Ernesto] Univ La Serena, Dept Biol, La Serena, Chile; [Gianoli, Ernesto] Univ Concepcion, Dept Bot, Concepcion, Chile</t>
  </si>
  <si>
    <t>Universidad Catolica del Norte; Universidad del Bio-Bio; Universidad de La Serena; Universidad de Concepcion</t>
  </si>
  <si>
    <t>Molina-Montenegro, MA (corresponding author), Univ Catolica Norte, CEAZA, Fac Ciencias Mar, Coquimbo, Chile.</t>
  </si>
  <si>
    <t>marco.molina@ceaza.cl; crtorres@ubiobio.cl; egianoli@gmail.com</t>
  </si>
  <si>
    <t>; Gianoli, Ernesto/A-7984-2015</t>
  </si>
  <si>
    <t>Molina-Montenegro, Marco/0000-0001-6801-8942; Gianoli, Ernesto/0000-0003-4246-8640; Torres Diaz, Cristian/0000-0002-5741-5288</t>
  </si>
  <si>
    <t>10.1111/jvs.12141</t>
  </si>
  <si>
    <t>WOS:000331693300027</t>
  </si>
  <si>
    <t>Hay, WW</t>
  </si>
  <si>
    <t>Hay, William W.</t>
  </si>
  <si>
    <t>The accelerating rate of global change</t>
  </si>
  <si>
    <t>RENDICONTI LINCEI-SCIENZE FISICHE E NATURALI</t>
  </si>
  <si>
    <t>Global warming; Carbon dioxide; Anthropocene; Arctic; Climate; Feedbacks</t>
  </si>
  <si>
    <t>The Earth's surface temperature represents a balance between incoming solar energy, partial reflection (planetary albedo) and reradiation from the planet modified by the greenhouse effect of atmospheric gases having three or more atoms per molecule. Over the past 6,000 years the Earth's surface temperatures have remained remarkably stable. However during the last century it became increasingly apparent that human activities, especially the burning of fossil fuels were affecting the planet and causing global warming. The perturbation of climate brought on by humans has been recognized by the proposal of the terms Anthropocene or Anthropogene for the period since the beginning of the industrial revolution or even earlier, when CO2 levels began to rise rather than decline after the beginning of the current interglacial. There are four major greenhouse gases in Earth's lower atmospheric layer, the troposphere: water vapor, carbon dioxide, methane, and nitrous oxide. The atmospheric content of water vapor is controlled by temperature, so its distribution is restricted to the tropics and subtropics and lower part of the troposphere. Methane and nitrous oxide both have short atmospheric lifetimes of a decade or two. However, CO2 introduced into the atmosphere has a lifetime of tens of thousands of years or more. Burning of fossil fuels has increased the level of atmospheric CO2 by about 45 % over the level prior to the industrial revolution. The increasing greenhouse effect is augmented by a series of feedbacks, most positive (+), but a few negative (-), which have appeared in the climate system: Changes in (1) the thermohaline circulation system (+ or -); (2) the Atlantic to Pacific vapor transport (+); (3) Arctic river runoff (+); (4) melting of Arctic sea ice (+); (5) the ice-albedo feedback (+); (6) addition of methane from melting permafrost (+); (7) changes in the rate of ocean mixing (+); (8) changes in vegetation (+ or -); (9) wildfires (+); (10) soot accumulation on snow and ice (+); (11) accelerated melting of the Greenland Ice Sheet (+); (12) decay of the Antarctic Ice Sheet (+); (13) expansion of Southern Ocean sea ice (-), and perhaps an additional potential feedback, (14) slowing the rate of organic matter sinking into the deep ocean (+). 'Global dimming' refers to a decrease in insolation reaching the surface of the Earth as a result of introduction of aerosols into the atmosphere, resulting in pauses in the general greenhouse warming. The increasingly chaotic weather is an indication that the Earth's climate system is becoming unstable in response to the ongoing perturbation.</t>
  </si>
  <si>
    <t>Univ Colorado, Boulder, CO 80309 USA</t>
  </si>
  <si>
    <t>University of Colorado System; University of Colorado Boulder</t>
  </si>
  <si>
    <t>Hay, WW (corresponding author), Univ Colorado, Boulder, CO 80309 USA.</t>
  </si>
  <si>
    <t>whay@gmx.de</t>
  </si>
  <si>
    <t>SPRINGER-VERLAG ITALIA SRL</t>
  </si>
  <si>
    <t>MILAN</t>
  </si>
  <si>
    <t>VIA DECEMBRIO, 28, MILAN, 20137, ITALY</t>
  </si>
  <si>
    <t>2037-4631</t>
  </si>
  <si>
    <t>1720-0776</t>
  </si>
  <si>
    <t>REND LINCEI-SCI FIS</t>
  </si>
  <si>
    <t>Rend. Lincei.-Sci. Fis. Nat.</t>
  </si>
  <si>
    <t>10.1007/s12210-014-0287-z</t>
  </si>
  <si>
    <t>AB9HS</t>
  </si>
  <si>
    <t>WOS:000332103200005</t>
  </si>
  <si>
    <t>Velasco-Castrillón, A; Stevens, MI</t>
  </si>
  <si>
    <t>Velasco-Castrillon, Alejandro; Stevens, Mark I.</t>
  </si>
  <si>
    <t>Morphological and molecular diversity at a regional scale: A step closer to understanding Antarctic nematode biogeography</t>
  </si>
  <si>
    <t>SOIL BIOLOGY &amp; BIOCHEMISTRY</t>
  </si>
  <si>
    <t>COI gene; Continental Antarctica; Diversity; Glaciation; Nematoda; Maritime Antarctica; Refugia</t>
  </si>
  <si>
    <t>DRONNING-MAUD-LAND; RECURRENT EVOLUTION; COMMUNITY STRUCTURE; SPECIES-DIVERSITY; VICTORIA LAND; N-SP; DNA; SOIL; BIODIVERSITY; PHYLOGENY</t>
  </si>
  <si>
    <t>Antarctica is one of the harshest environments on earth and yet life has managed to persist on the continent for millions of years. While most of the continent is covered by snow and ice, in some coastal and mountain regions that do not have permanent cover terrestrial invertebrate fauna dominate. Nematodes are one of the most common taxa present in these environments, but despite their abundance very little work on diversity and distribution has been performed for the Phylum across the Antarctic continent. We examined nematodes from 123 limno-terrestrial samples from the vicinity of the Australian Antarctic Stations (62.8 degrees E-110.5 degrees E) using the mitochondrial cytochrome c oxidase subunit I (COI) gene, and morphological analyses. We identified the nematodes Plectus murrayi, Pl.cf. frigophilus, Scottnema cf. lindsayae, Halomonhystera cf. halophila, H. cf. continentalis and Eudorylaimus spp. The distribution of these species appears to be determined by habitat type and salinity. We also made comparisons using the COI gene with nematodes from localised sampling from Dronning Maud Land, Francis Island (Antarctic Peninsula), and Tierra del Fuego (TF), and also with COI sequences from other worldwide locations. Contrasting levels of COI sequence divergence were identified among genera and species, ranging from low levels for Pl. murrayi (&lt;= 0.5%), medium levels for S. cf. lindsayae (&lt;= 2.1%) and Halomonhystera (&lt;= 4.3%), and high within Pl.cf. frigophilus (&lt;= 8.4%). Distribution ranges varied according to the species, with widespread ranges within Antarctica for Pl. murrayi and Scottnema cf. lindsayae (a range of over 2000 km); and distribution beyond Antarctica to TF for Pl.cf. frigophilus. Our results reveal the presence of cryptic species even when conservative approaches are applied in species delimitation. (C) 2013 Elsevier Ltd. All rights reserved.</t>
  </si>
  <si>
    <t>[Velasco-Castrillon, Alejandro] Univ Adelaide, Sch Earth &amp; Environm Sci, Australian Ctr Evolutionary Biol &amp; Biodivers, Adelaide, SA 5005, Australia; [Stevens, Mark I.] S Australian Museum, Adelaide, SA 5000, Australia; [Stevens, Mark I.] Univ S Australia, Sch Pharm &amp; Med Sci, Adelaide, SA 5001, Australia</t>
  </si>
  <si>
    <t>University of Adelaide; University of South Australia</t>
  </si>
  <si>
    <t>Velasco-Castrillón, A (corresponding author), Univ Adelaide, Sch Earth &amp; Environm Sci, Australian Ctr Evolutionary Biol &amp; Biodivers, Adelaide, SA 5005, Australia.</t>
  </si>
  <si>
    <t>macalusio@yahoo.com</t>
  </si>
  <si>
    <t>Australian Antarctic Division [ASAC 2355]; University of Adelaide; South Australian Museum Mawson Trust</t>
  </si>
  <si>
    <t>Australian Antarctic Division; University of Adelaide; South Australian Museum Mawson Trust</t>
  </si>
  <si>
    <t>This research was partially supported and funded by the Australian Antarctic Division (http://www.antarctica.gov.au/) Project (ASAC 2355 to MIS). We thank the University of Adelaide (http://www.sciences.adelaide.edu.au/) for a PhD scholarship to AVC and the South Australian Museum Mawson Trust for providing funding for the Sir Douglas Mawson Doctoral Scholarship (http://www.samuseum.sa.gov.au/). We deeply thank Mark Schultz and the Australian Antarctic Stations leaders and field personnel who contributed in logistics and support of field work in Antarctica. We are extremely grateful to the DNA sequencing agencies BOLD and the Canadian Centre for DNA Barcoding (CCDB). We also thank Rebecca Stonor, Maria Manjarrez, Pauline Glocke and Tanya Matic (The University of Adelaide) for their ongoing laboratory support. We are also grateful to John Gibson, Steve Cooper, Byron Adams and for their intellectual contributions. We thank John Gibson and Kerrie Davies for examining nematode specimens and confirming generic identifications. We also thank Cyrille D'Haese (MNHN), Paul Czechowski (The University of Adelaide), Chester Sands, Peter Convey, Paul Geissler (British Antarctic Survey) for providing soil samples from AP and DML. We are very greatful to Allan Green, Leopoldo Sancho, Ana Pintado and Maria Arroniz-Crespo (Complutense University of Madrid) for providing soil samples and assistance in sorting nematodes from TF. We also want to thank the Corporacion Nacional Forestal (CONAF) from the Chilean government to grant permits to Dr. Leopoldo Sancho to collect soil samples in TF.</t>
  </si>
  <si>
    <t>0038-0717</t>
  </si>
  <si>
    <t>1879-3428</t>
  </si>
  <si>
    <t>SOIL BIOL BIOCHEM</t>
  </si>
  <si>
    <t>Soil Biol. Biochem.</t>
  </si>
  <si>
    <t>10.1016/j.soilbio.2013.12.016</t>
  </si>
  <si>
    <t>Soil Science</t>
  </si>
  <si>
    <t>Agriculture</t>
  </si>
  <si>
    <t>AC3RV</t>
  </si>
  <si>
    <t>WOS:000332439800033</t>
  </si>
  <si>
    <t>Simpson, MJR; Breili, K; Kierulf, HP</t>
  </si>
  <si>
    <t>Simpson, Matthew J. R.; Breili, Kristian; Kierulf, Halfdan P.</t>
  </si>
  <si>
    <t>Estimates of twenty-first century sea-level changes for Norway</t>
  </si>
  <si>
    <t>CLIMATE DYNAMICS</t>
  </si>
  <si>
    <t>Sea-level projections; Glacial isostatic adjustment; Norway</t>
  </si>
  <si>
    <t>GLACIAL ISOSTATIC-ADJUSTMENT; CLIMATE MODEL; ICE-SHEET; VELOCITY-FIELD; COUPLED MODEL; OCEAN; RISE; VARIABILITY; SIMULATION; SATELLITE</t>
  </si>
  <si>
    <t>In this work we establish a framework for estimating future regional sea-level changes for Norway. Following recently published works, we consider how different physical processes drive non-uniform sea-level changes by accounting for spatial variations in (1) ocean density and circulation (2) ice and ocean mass changes and associated gravitational effects on sea level and (3) vertical land motion arising from past surface loading change and associated gravitational effects on sea level. An important component of past and present sea-level change in Norway is glacial isostatic adjustment. Central to our study, therefore, is a reassessment of vertical land motion using a far larger set of new observations from a permanent GNSS network. Our twenty-first century sea-level estimates are split into two parts. Firstly, we show regional projections largely based on findings from the Fourth Assessment Report of the Intergovernmental Panel on Climate Change (IPCC AR4) and dependent on the emission scenarios A2, A1B and B1. These indicate that twenty-first century relative sea-level changes in Norway will vary between -0.2 to 0.3 m (1-sigma +/- A 0.13 m). Secondly, we explore a high-end scenario, in which a global atmospheric temperature rise of up to 6 A degrees C and emerging collapse for some areas of the Antarctic ice sheets are assumed. Using this approach twenty-first century relative sea-level changes in Norway are found to vary between 0.25 and 0.85 m (min/max +/- A 0.45 m). We attach no likelihood to any of our projections owing to the lack of understanding of some of the processes that cause sea-level change.</t>
  </si>
  <si>
    <t>[Simpson, Matthew J. R.; Breili, Kristian; Kierulf, Halfdan P.] Norwegian Mapping Author, Geodet Inst, Honefoss, Norway; [Kierulf, Halfdan P.] Univ Oslo, Dept Geosci, Oslo, Norway</t>
  </si>
  <si>
    <t>University of Oslo</t>
  </si>
  <si>
    <t>Simpson, MJR (corresponding author), Norwegian Mapping Author, Geodet Inst, Honefoss, Norway.</t>
  </si>
  <si>
    <t>Matthew.Simpson@kartverket.no</t>
  </si>
  <si>
    <t>Office of Science, U.S. Department of Energy</t>
  </si>
  <si>
    <t>Office of Science, U.S. Department of Energy(United States Department of Energy (DOE))</t>
  </si>
  <si>
    <t>First and foremost we thank A. Slangen for providing data on the ice mass changes. We acknowledge the modeling groups, the Program for Climate Model Diagnosis and Intercomparison (PCMDI) and the WCRP's Working Group on Coupled Modelling (WGCM) for their roles in making available the WCRP CMIP3 multi-model dataset. Support of this dataset is provided by the Office of Science, U.S. Department of Energy. All figures were produced using the GMT software.</t>
  </si>
  <si>
    <t>0930-7575</t>
  </si>
  <si>
    <t>1432-0894</t>
  </si>
  <si>
    <t>CLIM DYNAM</t>
  </si>
  <si>
    <t>Clim. Dyn.</t>
  </si>
  <si>
    <t>5-6</t>
  </si>
  <si>
    <t>10.1007/s00382-013-1900-z</t>
  </si>
  <si>
    <t>AB7KV</t>
  </si>
  <si>
    <t>WOS:000331969800019</t>
  </si>
  <si>
    <t>Gall, ML; Rymer, P; Edgar, G; Byrne, M; Holmes, SP</t>
  </si>
  <si>
    <t>Gall, Mailie L.; Rymer, Paul; Edgar, Graham; Byrne, Maria; Holmes, Sebastian P.</t>
  </si>
  <si>
    <t>Characterisation of thirteen polymorphic microsatellite markers for the red sea urchin Heliocidaris tuberculata (Lamarck, 1816) developed using a 454-sequencing approach</t>
  </si>
  <si>
    <t>CONSERVATION GENETICS RESOURCES</t>
  </si>
  <si>
    <t>Heliocidaris tuberculata; Microsatellite loci; Population genetics; 454-sequencing</t>
  </si>
  <si>
    <t>PRIMERS</t>
  </si>
  <si>
    <t>The sea urchin Heliocidaris tuberculata, is valued by commercial fisheries because of the high quality of its roe. Declines in abundance following a peak in the Australian fishery around the millennium, suggests that recruitment and hence the subsequent recovery of populations in this species, may be low. Despite this, because of its high commercial value the species continues to be exploited with little knowledge of sources and sinks for recruits between populations. Following nuclear microsatellite identification using a 454-sequencing approach, a set of 13 novel markers were optimised for H. tuberculata. The loci show clear banding patterns, with 2-14 alleles per locus and observed heterozygosity values ranging from 0.12 to 0.73. These markers will be used to assess genetic diversity and connectivity between populations across the geographical range of the species.</t>
  </si>
  <si>
    <t>[Gall, Mailie L.; Holmes, Sebastian P.] Univ Western Sydney, Sch Sci &amp; Hlth, Penrith, NSW 2751, Australia; [Rymer, Paul] Univ Western Sydney, Hawkesbury Inst Environm, Penrith, NSW 2751, Australia; [Edgar, Graham] Univ Tasmania, Inst Marine &amp; Antarctic Studies, Hobart, Tas 7001, Australia; [Byrne, Maria] Univ Sydney, Sch Biol Sci, Sydney, NSW 2006, Australia</t>
  </si>
  <si>
    <t>Western Sydney University; Western Sydney University; University of Tasmania; University of Sydney</t>
  </si>
  <si>
    <t>Gall, ML (corresponding author), Univ Western Sydney, Sch Sci &amp; Hlth, Locked Bag 1797, Penrith, NSW 2751, Australia.</t>
  </si>
  <si>
    <t>m.gall@uws.edu.au</t>
  </si>
  <si>
    <t>Byrne, Maria/K-6355-2016; Edgar, Graham/AAY-3797-2020; Edgar, Graham/C-8341-2013; Holmes, Sebastian/IQU-1261-2023</t>
  </si>
  <si>
    <t>Byrne, Maria/0000-0002-8902-9808; Edgar, Graham/0000-0003-0833-9001; Edgar, Graham/0000-0003-0833-9001; Holmes, Sebastian/0000-0003-2101-376X; Rymer, Paul/0000-0003-0988-4351; Gall, Mailie/0000-0001-7018-2426</t>
  </si>
  <si>
    <t>1877-7252</t>
  </si>
  <si>
    <t>1877-7260</t>
  </si>
  <si>
    <t>CONSERV GENET RESOUR</t>
  </si>
  <si>
    <t>Conserv. Genet. Resour.</t>
  </si>
  <si>
    <t>10.1007/s12686-013-0069-4</t>
  </si>
  <si>
    <t>Biodiversity Conservation; Genetics &amp; Heredity</t>
  </si>
  <si>
    <t>Biodiversity &amp; Conservation; Genetics &amp; Heredity</t>
  </si>
  <si>
    <t>AB3RQ</t>
  </si>
  <si>
    <t>WOS:000331708300064</t>
  </si>
  <si>
    <t>Robinson, RS; Etourneau, J; Martinez, PM; Schneider, R</t>
  </si>
  <si>
    <t>Robinson, Rebecca S.; Etourneau, Johan; Martinez, Philippe M.; Schneider, Ralph</t>
  </si>
  <si>
    <t>Expansion of pelagic denitrification during early Pleistocene cooling</t>
  </si>
  <si>
    <t>EARTH AND PLANETARY SCIENCE LETTERS</t>
  </si>
  <si>
    <t>nitrogen isotopes; oxygen minimum zone; denitrification; Plio-Pleistocene</t>
  </si>
  <si>
    <t>WATER-COLUMN DENITRIFICATION; ARABIAN SEA DENITRIFICATION; GEOCHEMICAL EVIDENCE; LAST DEGLACIATION; EXPORT PRODUCTION; SOUTHERN-OCEAN; NITROGEN; PACIFIC; CLIMATE; NUTRIENT</t>
  </si>
  <si>
    <t>Bioavailable nitrogen is removed from the oceans in oxygen-deficient benthic and pelagic environments by denitrification. Future warming is predicted to reduce ocean oxygenation and to cause hypoxic regions to expand, potentially accelerating denitrification. A compilation of high-resolution sedimentary nitrogen isotope (delta N-15) records from the eastern tropical Pacific, North Pacific, and the Arabian Sea, and a global multi-site survey are presented as evidence for weak pelagic denitrification at the end of the Pliocene warm period. Mean delta N-15 values increased in the major oxygen minimum zones (OMZs) between 2.1 and 1.5 Ma. Pelagic denitrification strengthened during a period of long term global cooling, despite solubility driven increases in initial oxygen contents of Antarctic intermediate and Subantarctic mode waters ventilating the OMZs. This trend is opposite to the predicted mean trend for a cooling ocean as well as to the observed glacial-interglacial variation. Several alternatives to explain the shift are proposed, including a rise in net respiration, a progressive increase in the ventilation age of the deep ocean associated with million year scale, secular cooling, and a shoaling of the remotely ventilated thermocline to shallow depths corresponding to the zone of peak subsurface respiration. Given no evidence for a net increase in production, we assert that large-scale, climate-driven changes in ocean circulation regulate long timescale variations in the extent of pelagic denitrification. Additional data and modeling are required to fully explain the observations. (C) 2013 Elsevier B.V. All rights reserved.</t>
  </si>
  <si>
    <t>[Robinson, Rebecca S.] Univ Rhode Isl, Grad Sch Oceanog, Narragansett, RI 02882 USA; [Etourneau, Johan] Univ Paris 06, UMR CNRS UPMC IRD MNHN LOCEAN 7159, F-75252 Paris, France; [Martinez, Philippe M.] Univ Bordeaux 1, UMR CNRS EPOC 5805, F-33405 Talence, France; [Schneider, Ralph] Univ Kiel, Inst Geowissensch, Kiel, Germany</t>
  </si>
  <si>
    <t>University of Rhode Island; Museum National d'Histoire Naturelle (MNHN); Sorbonne Universite; Universite de Bordeaux; Centre National de la Recherche Scientifique (CNRS); University of Kiel</t>
  </si>
  <si>
    <t>Robinson, RS (corresponding author), Univ Rhode Isl, Grad Sch Oceanog, Narragansett, RI 02882 USA.</t>
  </si>
  <si>
    <t>rebeccar@gso.uri.edu; jelod@locean-ipsl.upmc.fr; philippe.martinez@u-bordeaux1.fr; schneider@gpi.uni-kiel.de</t>
  </si>
  <si>
    <t>Martinez, Philippe/0000-0002-9825-2032; Robinson, Rebecca/0000-0002-8072-1603; Schneider, Ralph/0000-0003-1453-9181</t>
  </si>
  <si>
    <t>USSSAC post-cruise support; NSF-MGG [1060779]; CNRS-ECLIPSE</t>
  </si>
  <si>
    <t>USSSAC post-cruise support; NSF-MGG; CNRS-ECLIPSE</t>
  </si>
  <si>
    <t>This work was funded by USSSAC post-cruise support and NSF-MGG (1060779) to R.S.R. and by CNRS-ECLIPSE to Ph.M.M. and R.S.R. R.S.R. thanks Universite Bordeaux 1 and EPOC for support during the writing phase of the project and P. Meyers for encouraging an exploration of the Pliocene N cycle. A. Becker and V. Yuan assisted with the isotope analyses at URI. The paper was significantly improved by comments from anonymous reviewers and EPSL Editor Gideon Henderson.</t>
  </si>
  <si>
    <t>0012-821X</t>
  </si>
  <si>
    <t>1385-013X</t>
  </si>
  <si>
    <t>EARTH PLANET SC LETT</t>
  </si>
  <si>
    <t>Earth Planet. Sci. Lett.</t>
  </si>
  <si>
    <t>10.1016/j.epsl.2013.12.022</t>
  </si>
  <si>
    <t>AB6TW</t>
  </si>
  <si>
    <t>WOS:000331923400006</t>
  </si>
  <si>
    <t>Waugh, CA; Nichols, PD; Schlabach, M; Noad, M; Nash, SB</t>
  </si>
  <si>
    <t>Waugh, Courtney A.; Nichols, Peter D.; Schlabach, Martin; Noad, Michael; Nash, Susan Bengtson</t>
  </si>
  <si>
    <t>Vertical distribution of lipids, fatty acids and organochlorine contaminants in the blubber of southern hemisphere humpback whales (Megaptera novaeangliae)</t>
  </si>
  <si>
    <t>MARINE ENVIRONMENTAL RESEARCH</t>
  </si>
  <si>
    <t>Southern hemisphere humpback whales; Blubber stratification; Lipids; Fatty acids; Persistent organic pollutants; Antarctica</t>
  </si>
  <si>
    <t>PERSISTENT ORGANIC POLLUTANTS; BALAENOPTERA-PHYSALUS; WEIGHT-LOSS; SEALS; STRATIFICATION; PUP; MOBILIZATION; EXPOSURE; BURDENS; MOTHER</t>
  </si>
  <si>
    <t>Persistent organic pollutants (POPs), such as toxic lipophilic organochlorine (OC) compounds, accumulate in the blubber tissue of marine mammals. Toxicological sampling methods most frequently target only the superficial blubber layer. Vertical distribution of these contaminants through the blubber mantle may, however, not be homogenous and could reflect any dissemination of lipids and fatty acids (FAs). It is therefore critical to assess stratification patterns in a species of interest as a quality control measure for interpretation of toxicological data. Here, we analysed and compared the distribution of lipids, FAs, and OCs in the outermost and innermost blubber layer of southern hemisphere humpback whales. FA stratification was evident for short-chain (&lt;= 18) monounsaturated fatty acids (SC-MUFA), which were concentrated in the outer layer, consistent with the thermoregulatory role of this blubber layer. This stratification was, however, not reflected in OC distribution, which was similar in the inner and outer blubber layers of male humpback whales. By comparison, a noticeable gradient in total blubber lipid from the outer to the inner layer was observed in two lactating females, which coincided with higher lipid normalised contaminant levels in the inner layer. This study contains the most comprehensive assessment of humpback whale blubber stratification to date, however, further investigation of biological and ecological influencing factors is required. (C) 2013 Elsevier Ltd. All rights reserved.</t>
  </si>
  <si>
    <t>[Waugh, Courtney A.] Univ Queensland, Natl Res Ctr Environm Toxicol, Brisbane, Qld 4108, Australia; [Nichols, Peter D.] CSIRO Marine &amp; Atmospher Res, Wealth Oceans Flagship, Hobart, Tas 7000, Australia; [Schlabach, Martin] Norwegian Inst Air Res NILU, Kjeller, Norway; [Noad, Michael] Univ Queensland, CEAL, Sch Vet Sci, Gatton, Qld 4343, Australia; [Nash, Susan Bengtson] Griffith Univ, Sch Environm, Southern Ocean Persistent Organ Pollutants Progra, Nathan, Qld 4111, Australia</t>
  </si>
  <si>
    <t>University of Queensland; Commonwealth Scientific &amp; Industrial Research Organisation (CSIRO); NILU; University of Queensland; Griffith University</t>
  </si>
  <si>
    <t>Waugh, CA (corresponding author), Queensland Univ Technol, Inst Hlth &amp; Biomed Innovat, 60 Musk Ave, Kelvin Grove, Qld 4059, Australia.</t>
  </si>
  <si>
    <t>c.waugh@uq.edu.au</t>
  </si>
  <si>
    <t>Nichols, Peter D/C-5128-2011; Bengtson Nash, Susan/GMX-4611-2022; Bengtson Nash, Susan/I-3942-2015; Schlabach, Martin/J-3348-2013; Noad, Michael/D-7975-2013</t>
  </si>
  <si>
    <t>Bengtson Nash, Susan/0000-0001-5928-0850; Bengtson Nash, Susan/0000-0001-5928-0850; Schlabach, Martin/0000-0003-3705-7943; Waugh, Courtney/0000-0001-5234-4137; Noad, Michael/0000-0002-2799-8320</t>
  </si>
  <si>
    <t>University of Queensland</t>
  </si>
  <si>
    <t>University of Queensland(University of Queensland)</t>
  </si>
  <si>
    <t>Dr. Peter Baker (School of Medicine, The University of Queensland) is recognised for statistical assistance. Dr Nick Gales and Dr. Mike Double (Australian Antarctic Division and the Australian Marine Mammal Center) are acknowledged for meaningful discussions and for performing genetic sexing of the animals. Dr. Courtney Waugh acknowledges an Australian Postgraduate Award from the University of Queensland. The National Research Centre for Environmental Toxicology is a partnership between the University of Queensland and Queensland.</t>
  </si>
  <si>
    <t>0141-1136</t>
  </si>
  <si>
    <t>1879-0291</t>
  </si>
  <si>
    <t>MAR ENVIRON RES</t>
  </si>
  <si>
    <t>Mar. Environ. Res.</t>
  </si>
  <si>
    <t>10.1016/j.marenvres.2013.11.004</t>
  </si>
  <si>
    <t>Environmental Sciences; Marine &amp; Freshwater Biology; Toxicology</t>
  </si>
  <si>
    <t>Environmental Sciences &amp; Ecology; Marine &amp; Freshwater Biology; Toxicology</t>
  </si>
  <si>
    <t>AB3IM</t>
  </si>
  <si>
    <t>WOS:000331684500004</t>
  </si>
  <si>
    <t>Huang, JP; Swain, AK; Andersen, DT; Bej, AK</t>
  </si>
  <si>
    <t>Huang, Jonathan P.; Swain, Ashit K.; Andersen, Dale T.; Bej, Asim K.</t>
  </si>
  <si>
    <t>Bacterial diversity within five unexplored freshwater lakes interconnected by surface channels in East Antarctic Dronning Maud Land (Schirmacher Oasis) using amplicon pyrosequencing</t>
  </si>
  <si>
    <t>Antarctic freshwater lakes; Biodiversity; Qiime; 16S rRNA; Lake Tawani(P); Heterotrophs</t>
  </si>
  <si>
    <t>HILLS</t>
  </si>
  <si>
    <t>The Schimacher Oasis, an ice-free plateau in East Antarctic Dronning Maud Land, consists of over 120 freshwater lakes. These lakes are connected largely through four major surface channels. The bacterial diversity in these lake ecosystems remains largely unexplored. In this study, we compared the bacterial diversity in five freshwater lakes (L42, L46, L47, L50, and L51) interconnected by two surface channels using bacterial tag-encoded FLX amplicon pyrosequencing (bTEFAP) method. We further compared the resultant bacterial composition from these five lakes with another freshwater lake in the Schirmacher Oasis, Lake Tawani(P), which is not connected through the same surface channels. Using bTEFAP, we differentiated nine different phyla with the phyla Proteobacteria (especially the class Alphaproteobacteria) and Bacteroidetes (the class Sphingobacteria) dominating in lakes interconnected by surface channel 1, while the phyla Chloroflexi and Firmicutes were highly abundant in lakes interconnected by surface channel 2. The operational taxonomic unit (OTU) network and Principle Coordinate Analysis (PCoA) plot based on unweighted UNIFRAC determined that the bacterial assemblages found in these five lakes are different than the bacterial composition residing in Lake Tawani(P). The distribution and the diversity of the bacterial communities in Schirmacher Oasis freshwater lakes that are connected through surface channels may provide an insight into the role of the extreme physico-chemical parameters that help shape microbially driven functional ecosystems in other oases on this icy continent.</t>
  </si>
  <si>
    <t>[Huang, Jonathan P.; Bej, Asim K.] Univ Alabama Birmingham, Dept Biol, Birmingham, AL 35294 USA; [Swain, Ashit K.] Geol Survey India, NIT, Polar Studies Div, Faridabad 121001, Haryana, India; [Andersen, Dale T.] SETI Inst, Carl Sagan Ctr, Mountain View, CA 94043 USA</t>
  </si>
  <si>
    <t>University of Alabama System; University of Alabama Birmingham; Geological Survey India</t>
  </si>
  <si>
    <t>Bej, AK (corresponding author), Univ Alabama Birmingham, Dept Biol, 1300 Univ Blvd,CH464, Birmingham, AL 35294 USA.</t>
  </si>
  <si>
    <t>ashit.swain@gsi.gov.in; dandersen@carlsagancenter.org; abej@uab.edu</t>
  </si>
  <si>
    <t>Andersen, Dale T/B-4816-2013</t>
  </si>
  <si>
    <t>Andersen, Dale T/0000-0001-8827-1259; /0000-0003-3060-1088</t>
  </si>
  <si>
    <t>Department of Biology, UAB; NASA's Astrobiology grant program</t>
  </si>
  <si>
    <t>We thank Col. (IL) J.N. Pritzker ARNG (Retired), Tawani Foundation (Chicago) for supporting the Tawani 2008 International Antarctic Scientific Expedition; Marty Kress, VCSI, Inc./NASA; NASA's Astrobiology grant program; 2008-2009 Maitri and Novolazarevskaya Station staffs; Maitri Cdrs. A. Chaturvedi, and Dr. P. Malhotra; former NCAOR director Dr. Rasik Ravindra, and Department of Biology, UAB for the support. We also thank John Delton Hanson of Research and Testing Laboratory, TX for assisting us with the bTEFAP of the samples.</t>
  </si>
  <si>
    <t>10.1007/s00300-013-1436-z</t>
  </si>
  <si>
    <t>AB3WN</t>
  </si>
  <si>
    <t>WOS:000331721000006</t>
  </si>
  <si>
    <t>Miya, T; Gon, O; Mwale, M; Cheng, CHC</t>
  </si>
  <si>
    <t>Miya, Tshoanelo; Gon, Ofer; Mwale, Monica; Cheng, C. -H. Christina</t>
  </si>
  <si>
    <t>The effect of habitat temperature on serum antifreeze glycoprotein (AFGP) activity in Notothenia rossii (Pisces: Nototheniidae) in the Southern Ocean</t>
  </si>
  <si>
    <t>AFGP levels; Atlantic Ocean sector; Freezing avoidance; Indian Ocean sector; Seawater temperature; Sub-Antarctic</t>
  </si>
  <si>
    <t>FREEZING AVOIDANCE; FISHES; DIVERSIFICATION; GLYCOPEPTIDES</t>
  </si>
  <si>
    <t>The marble notothen, Notothenia rossii, is widely distributed around the waters of sub-Antarctic islands in the Southern Ocean and is exposed to different temperatures that range from -1.5 to 8 A degrees C. This study investigates whether the different environmental conditions experienced by N. rossii at different latitudes in the Southern Ocean affect the levels of its blood serum antifreeze glycoprotein (AFGP). N. rossii specimens were collected from four localities, including the Ob' Seamount in the Indian Ocean sector, and South Georgia Island, South Shetland Islands and Dallman Bay in the Atlantic Ocean sector. Serum AFGP activity was determined in terms of thermal hysteresis, i.e. the difference between the equilibrium melting and non-equilibrium freezing points (f.p.s.). Among the four populations, the Ob' Seamount specimen had the lowest serum AFGP activity (0.44 A degrees C) and concentration (4.88 mg/mL), and the highest non-equilibrium f.p. (-1.39 A degrees C). These results are consistent with the warmer, ice-free waters around the Ob' Seamount. The other three higher latitude populations have 2-3 times greater serum AFGP activity and concentration, and much lower non-equilibrium f.p.s. In contrast, the physiological profiles of serum AFGP size isoforms revealed that all N. rossii populations, including the Ob' Seamount specimen, possess an extensive complements of AFGP proteins. Isoform variation was observed, especially in the large size isoforms (AFGPs 1-5), when compared to AFGP of the high Antarctic Dissostichus mawsoni. The lower levels of AFGP and the absence of some of the large isoforms are likely responsible for higher non-equilibrium f.p.s. of the Ob' seamount specimen.</t>
  </si>
  <si>
    <t>[Miya, Tshoanelo] Rhodes Univ, Dept Ichthyol &amp; Fisheries, ZA-6140 Grahamstown, South Africa; [Miya, Tshoanelo; Gon, Ofer; Mwale, Monica] South African Inst Aquat Biodivers, Grahamstown, South Africa; [Cheng, C. -H. Christina] Univ Illinois, Dept Anim Biol, Urbana, IL 61801 USA</t>
  </si>
  <si>
    <t>Rhodes University; National Research Foundation - South Africa; South African Institute for Aquatic Biodiversity; University of Illinois System; University of Illinois Urbana-Champaign</t>
  </si>
  <si>
    <t>Miya, T (corresponding author), Rhodes Univ, Dept Ichthyol &amp; Fisheries, 9 Somerset St, ZA-6140 Grahamstown, South Africa.</t>
  </si>
  <si>
    <t>t.moloi@saiab.ac.za</t>
  </si>
  <si>
    <t>Miya, Tshoanelo/AAK-1660-2020; Mwale, Monica/O-4735-2019; Miya, Tshoanelo/GLV-6732-2022</t>
  </si>
  <si>
    <t>Mwale, Monica/0000-0003-2180-8917; Miya, Tshoanelo/0000-0002-4356-7344</t>
  </si>
  <si>
    <t>US NSF Office of Polar Programs [OPP-0132032]; South African National Antarctic Program/National Research Foundation (SANAP/NRF) [SNA 2006042100003]; USNSF-OPP [ANT 0636696, ANT 1142158]; Office of Polar Programs (OPP); Directorate For Geosciences [1142158] Funding Source: National Science Foundation</t>
  </si>
  <si>
    <t>US NSF Office of Polar Programs(National Science Foundation (NSF)); South African National Antarctic Program/National Research Foundation (SANAP/NRF); USNSF-OPP; Office of Polar Programs (OPP); Directorate For Geosciences(National Science Foundation (NSF)NSF - Directorate for Geosciences (GEO))</t>
  </si>
  <si>
    <t>We thank the crew of the Shinsei Maru 3 (2010) and David Japp and Christopher Heinecken of CapFish CC, Cape town, for donating the Ob' Seamount specimen, and Eric Anderson who was part of the ICEFISH 2004 cruise. We are indebted to our late colleague Bruce Sidell for the South Georgia Island N. rossii samples he collected on the ICEFISH2004 cruise headed by H. William Detrich and funded by US NSF Office of Polar Programs award OPP-0132032. Additional gratitude goes to Arthur DeVries for providing us with more data and Kevin Bilyk for the assistance he provided. This work is based on research supported by the South African National Antarctic Program/National Research Foundation (SANAP/NRF) Grant SNA 2006042100003 to Ofer Gon, and USNSF-OPP Grants ANT 0636696 and ANT 1142158 to Chi-Hing Christina Cheng.</t>
  </si>
  <si>
    <t>10.1007/s00300-013-1437-y</t>
  </si>
  <si>
    <t>WOS:000331721000007</t>
  </si>
  <si>
    <t>Magnúsdóttir, EE; Rasmussen, MH; Lammers, MO; Svavarsson, J</t>
  </si>
  <si>
    <t>Magnusdottir, Edda Elisabet; Rasmussen, Marianne H.; Lammers, Marc O.; Svavarsson, Jorundur</t>
  </si>
  <si>
    <t>Humpback whale songs during winter in subarctic waters</t>
  </si>
  <si>
    <t>Humpback whale; Megaptera novaeangliae; Songs; Non-songs; Subarctic waters</t>
  </si>
  <si>
    <t>MEGAPTERA-NOVAEANGLIAE; ANTARCTIC PENINSULA; ACOUSTIC DETECTIONS; ATLANTIC-OCEAN; NORTH PACIFIC; WEST-INDIES; MIGRATION; HAWAIIAN; POPULATIONS; BEHAVIOR</t>
  </si>
  <si>
    <t>The songs of the male humpback whales (Megaptera novaeangliae) have traditionally been associated with mating at tropical and subtropical mating grounds during winter. However, songs also occur out of mating season, both on feeding grounds in spring, late summer and fall. This study provides the first report of humpback whale singing behaviour in the subarctic waters of Northeast Iceland (Skjalfandi Bay) using long-term bottom-moored acoustic recorders during September 2008-February 2009 and from April to September 2009. Singing started in late November and peaked in February, within the breeding season. No songs were detected from spring to fall, despite visual detections of humpback whales. Non-song sound signals from humpback whales were detected during all recording months. Songs were partly composed of fundamental units common with other known mating grounds, and partly of song units likely unique to the study area. The variety of song unit types in the songs increased at the end of the winter recordings, indicating a gradual change in the songs throughout the winter season; as has been shown on traditional mating grounds. The relative proportion of songs compared with non-song signals was higher during dark hours than daylight hours. The short light periods of the winter, and where food is available, likely influence the daily occurrence of humpback whales' songs in the subarctic.</t>
  </si>
  <si>
    <t>[Magnusdottir, Edda Elisabet; Rasmussen, Marianne H.] Univ Iceland, Res Ctr Husavik, IS-640 Husavik, Iceland; [Magnusdottir, Edda Elisabet; Svavarsson, Jorundur] Univ Iceland, Dept Life &amp; Environm Sci, IS-101 Reykjavik, Iceland; [Lammers, Marc O.] Hawaii Inst Marine Biol, Kaneohe, HI 96744 USA</t>
  </si>
  <si>
    <t>University of Iceland; University of Iceland</t>
  </si>
  <si>
    <t>Magnúsdóttir, EE (corresponding author), Univ Iceland, Res Ctr Husavik, IS-640 Husavik, Iceland.</t>
  </si>
  <si>
    <t>eem@hi.is</t>
  </si>
  <si>
    <t>Svavarsson, Jorundur/0000-0003-1842-7515</t>
  </si>
  <si>
    <t>University of Iceland Research Fund</t>
  </si>
  <si>
    <t>The study was funded by the University of Iceland Research Fund. We thank David K. Mellinger and his team at the Hatfield Marine Science Center for valuable guidance in sound detection and species identification, Snaebjorn Palsson for statistical advice, Rangyn Lim for various help and North Sailing and Gentle Giants for assistance in the field.</t>
  </si>
  <si>
    <t>10.1007/s00300-014-1448-3</t>
  </si>
  <si>
    <t>WOS:000331721000013</t>
  </si>
  <si>
    <t>Barrat, JA; Zanda, B; Jambon, A; Bollinger, C</t>
  </si>
  <si>
    <t>Barrat, J. A.; Zanda, B.; Jambon, A.; Bollinger, C.</t>
  </si>
  <si>
    <t>The lithophile trace elements in enstatite chondrites</t>
  </si>
  <si>
    <t>GEOCHIMICA ET COSMOCHIMICA ACTA</t>
  </si>
  <si>
    <t>RARE-EARTH-ELEMENTS; COMPOSITIONAL CLASSIFICATION; CUMBERLAND FALLS; HAGGOUNIA 001; REE PATTERNS; METEORITES; OLDHAMITE; CHEMISTRY; ORIGIN; EH3</t>
  </si>
  <si>
    <t>We report on the abundances of a selected set of lithophile trace elements (namely REEs, Y, Rb, Ba, Sr, Zr, Hf, Nb, Th, U) in a comprehensive suite of enstatite chondrites (EC-13 EH and 11 EL). EH3 and EL3 display only minor deviations from chondritic distributions for these elements. In most metamorphosed EC, a wide range of compositions is observed and suggests a mobility of many of the elements studied during the history of these rocks. For example, EL6 chondrites exhibit lightREE and Nb depletions, negative Eu anomalies, and positive Y anomalies. More important trace element fractionations are observed in metamorphosed EH like St Marks (Rb depletion), LAP 02225 (Rb, Nb, Zr, Eu, light REE depletions) and Galim (b), which displays large Ba, Sr, Eu, Nb and light REE depletions. Leaching experiments were undertaken to investigate the contributions of sulfides in the whole rock budgets. These phases control not only the REE budget, but also important fractions of all the other elements we studied. These fractions strongly depend on the type of the rock (EH or EL, and metamorphic grade). For many elements, the sulfide contributions increase with the metamorphic grades. The trace element abundances of silicate residues are extremely variable. Negative Sm and Yb anomalies are observed in EL3 and EH3 residues, and are certainly the results of early nebular processes. Such anomalies are lacking in residues obtained with most metamorphosed EC, underlining the importance of trace element redistributions during metamorphism. In addition, EL6 residues display distinctive positive Y anomalies that could be potentially ascribed to a less chalcophile behavior than Ho in the conditions that prevailed during EL metamorphism. (C) 2013 Elsevier Ltd. All rights reserved.</t>
  </si>
  <si>
    <t>[Barrat, J. A.] UBO IUEM, CNRS UMR Domaines Ocean 6538, F-29280 Plouzane, France; [Zanda, B.] Museum Natl Hist Nat, Lab Mineral, F-75005 Paris, France; [Zanda, B.] Cosmochim Museum, CNRS, UMR7202, F-75005 Paris, France; [Jambon, A.] Univ Paris 06, ISTeP, CNRS UMR 7193, F-75252 Paris 05, France; [Bollinger, C.] CNRS, UMS 3113, IUEM, F-29280 Plouzane, France</t>
  </si>
  <si>
    <t>Centre National de la Recherche Scientifique (CNRS); CNRS - National Institute for Earth Sciences &amp; Astronomy (INSU); Universite de Bretagne Occidentale; Museum National d'Histoire Naturelle (MNHN); Centre National de la Recherche Scientifique (CNRS); Sorbonne Universite; Centre National de la Recherche Scientifique (CNRS); CNRS - National Institute for Earth Sciences &amp; Astronomy (INSU); Universite de Bretagne Occidentale; Institut Universitaire Europeen de la Mer (IUEM)</t>
  </si>
  <si>
    <t>Barrat, JA (corresponding author), UBO IUEM, CNRS UMR Domaines Ocean 6538, Pl Nicolas Copernic, F-29280 Plouzane, France.</t>
  </si>
  <si>
    <t>barrat@univ-brest.fr</t>
  </si>
  <si>
    <t>IMPMC, ROCKS @/U-8478-2017; Zanda, Brigitte/D-6787-2015; Barrat, Jean Alix/C-8416-2017</t>
  </si>
  <si>
    <t>Zanda, Brigitte/0000-0002-4210-7151; Barrat, Jean Alix/0000-0003-3158-3109</t>
  </si>
  <si>
    <t>NSF; NASA; Programme National de Planetologie (CNRS-INSU)</t>
  </si>
  <si>
    <t>NSF(National Science Foundation (NSF)); NASA(National Aeronautics &amp; Space Administration (NASA)); Programme National de Planetologie (CNRS-INSU)(Centre National de la Recherche Scientifique (CNRS))</t>
  </si>
  <si>
    <t>The samples analyzed during the course of this study were kindly provided by Museum National d'Histoire Naturelle (Paris), the Universite Pierre et Marie Curie, and the NASA meteorite working group.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We thank Stefan Weyer for the editorial handling, Carsten Munker and two anonymous reviewers for constructive comments, and Pascale Barrat for her help. We gratefully acknowledge the Programme National de Planetologie (CNRS-INSU) for financial support. This research has made use of NASA's Astrophysics Data System Abstract Service.</t>
  </si>
  <si>
    <t>0016-7037</t>
  </si>
  <si>
    <t>1872-9533</t>
  </si>
  <si>
    <t>GEOCHIM COSMOCHIM AC</t>
  </si>
  <si>
    <t>Geochim. Cosmochim. Acta</t>
  </si>
  <si>
    <t>10.1016/j.gca.2013.11.042</t>
  </si>
  <si>
    <t>AA4ZR</t>
  </si>
  <si>
    <t>WOS:000331105700006</t>
  </si>
  <si>
    <t>Seo, S; Lee, YS; Yoon, SH; Kim, SJ; Cho, JY; Hahn, BS; Koo, BS; Lee, CM</t>
  </si>
  <si>
    <t>Seo, Sohyeon; Lee, Young-Seok; Yoon, Sang-Hong; Kim, Soo-Jin; Cho, Jae Youl; Hahn, Bum-Soo; Koo, Bon-Sung; Lee, Chang-Muk</t>
  </si>
  <si>
    <t>Characterization of a novel cold-active esterase isolated from swamp sediment metagenome</t>
  </si>
  <si>
    <t>Esterase; Metagenome; Cold-active; Swamp</t>
  </si>
  <si>
    <t>ANTARCTIC DESERT SOIL; BACTERIAL LIPASES; LOW-TEMPERATURES; IDENTIFICATION; CLASSIFICATION; BIOCATALYSIS; PREDICTION; LIBRARY; ENZYME; FAMILY</t>
  </si>
  <si>
    <t>A functional screen of a metagenomic library from Upo swamp sediment in Korea identified a gene EstL28, the product of which displayed lipolytic properties on a tributyrin-supplemented medium. The EstL28 sequence encodes a 290 amino acid protein (designated as EstL28), with a predicted molecular weight of 31.3 kDa. The encoded EstL28 protein exhibited the highest sequence similarity (45 %) to a hydrolase found in Streptococcus sanguinis. Phylogenetic analysis indicated that EstL28 belongs to a currently uncharacterized family of esterases. Within the conserved alpha/beta-hydrolase 6 domain, the EstL28 retains the catalytic triad Ser(103)-Asp(248)-His(268) that is typical of esterases. The Ser(103) residue in the catalytic triad is located in the consensus pentapeptide motif GXSXG. The purified EstL28 enzyme worked optimally at 35 A degrees C and pH 8.5 and remained stable at temperatures lower than 20 A degrees C. The catalytic activity of EstL28 was maximal with p-nitrophenyl butyrate, indicating that it was an esterase. This enzyme also exhibited stable activity in the presence of methanol, ethanol, isopropanol, and dimethyl sulfoxide. Therefore, the level of stability in organic solvents and cold temperature suggests that EstL28 has potential for many biotechnological applications.</t>
  </si>
  <si>
    <t>[Seo, Sohyeon; Lee, Young-Seok; Yoon, Sang-Hong; Hahn, Bum-Soo; Koo, Bon-Sung; Lee, Chang-Muk] Rural Dev Adm, Natl Acad Agr Sci, Metab Engn Div, Suwon 441707, South Korea; [Kim, Soo-Jin] Rural Dev Adm, Natl Acad Agr Sci, Natl Agrodivers Ctr, Suwon 441707, South Korea; [Cho, Jae Youl] Sungkyunkwan Univ, Dept Genet Engn, Suwon 441707, South Korea</t>
  </si>
  <si>
    <t>Rural Development Administration (RDA); Rural Development Administration (RDA); Sungkyunkwan University (SKKU)</t>
  </si>
  <si>
    <t>Lee, CM (corresponding author), Rural Dev Adm, Natl Acad Agr Sci, Metab Engn Div, Suwon 441707, South Korea.</t>
  </si>
  <si>
    <t>changmuk@rda.go.kr</t>
  </si>
  <si>
    <t>Lee, ChangMuk/C-9988-2010</t>
  </si>
  <si>
    <t>National Academy of Agricultural Science, Rural Development Administration [PJ008604/PJ00864902]; IPET Project [110037-03-1-HD110]</t>
  </si>
  <si>
    <t>National Academy of Agricultural Science, Rural Development Administration(Rural Development Administration (RDA), Republic of Korea); IPET Project(Institute of Planning &amp; Evaluation for Technology in Food, Agriculture, Forestry, &amp; Fisheries (iPET), Republic of Korea)</t>
  </si>
  <si>
    <t>This work is supported by the grant from National Academy of Agricultural Science, Rural Development Administration (Project Number PJ008604/PJ00864902) and IPET Project Number 110037-03-1-HD110.</t>
  </si>
  <si>
    <t>10.1007/s11274-013-1496-9</t>
  </si>
  <si>
    <t>AA4XW</t>
  </si>
  <si>
    <t>WOS:000331101000010</t>
  </si>
  <si>
    <t>Laich, F; Chávez, R; Vaca, I</t>
  </si>
  <si>
    <t>Laich, Federico; Chavez, Renato; Vaca, Inmaculada</t>
  </si>
  <si>
    <t>Leucosporidium escuderoi f.a., sp nov., a basidiomycetous yeast associated with an Antarctic marine sponge</t>
  </si>
  <si>
    <t>ANTONIE VAN LEEUWENHOEK INTERNATIONAL JOURNAL OF GENERAL AND MOLECULAR MICROBIOLOGY</t>
  </si>
  <si>
    <t>Leucosporidium; New yeast species; Marine sponge; Antarctica</t>
  </si>
  <si>
    <t>GEN. NOV.; ECOLOGY</t>
  </si>
  <si>
    <t>A basidiomycetous yeast, strain E2A-C3-II, was isolated from a marine sponge (Hymeniacidon sp.) collected at a depth of 6 m in Fildes Bay, King George Island, Antarctica. The phylogenetic analysis revealed that the yeast isolated is related to Leucosporidium drummii, Leucosporidiella muscorum and to the Leucosporidium scottii group, including Leucosporidiella creatinivora and Leucosporidiella yakutica. The analysis of the nucleotide differences and the genetic distances of the D1/D2 domain of the LSU rDNA gene and 5.8S ITS regions support that strain E2A-C3-II represents a new species. The novel species can be distinguished from L. drummii by its ability to assimilate l-sorbose, l-rhamnose, lactose and ribitol. The maximum temperature for growth was 25 A degrees C. On the basis of morphological, biochemical and physiological characterization, and phylogenetic and nucleotide analysis, a novel basidiomycetous yeast species, Leucosporidium escuderoi f.a., sp. nov., is proposed. The type strain is E2A-C3-IIT (=CBS 12734(T) =CECT 13080(T)). The Mycobank (http://www.mycobank.org) accession number is MB 804654. The nucleotide sequences of D1/D2 domain of the LSU rDNA gene and 5.8S-ITS regions obtained in this work have been deposited in Genbank under the Accession numbers JN181009 and JN197600, respectively.</t>
  </si>
  <si>
    <t>[Laich, Federico] Inst Canario Invest Agrarias, Santa Cruz De Tenerife, Spain; [Laich, Federico] Univ Laica Eloy Alfaro de Manabi, Dept Cent Invest, Manta, Ecuador; [Chavez, Renato] Univ Santiago Chile USACH, Fac Quim &amp; Biol, Dept Biol, Santiago, Chile; [Vaca, Inmaculada] Univ Chile, Fac Ciencias, Dept Quim, Santiago, Chile</t>
  </si>
  <si>
    <t>Universidad Laica Eloy Alfaro De Manabi; Universidad de Santiago de Chile; Universidad de Chile</t>
  </si>
  <si>
    <t>Vaca, I (corresponding author), Univ Chile, Fac Ciencias, Dept Quim, Las Palmeras 3425, Santiago, Chile.</t>
  </si>
  <si>
    <t>inmavaca@uchile.cl</t>
  </si>
  <si>
    <t>; Vaca, Inmaculada/I-2758-2013</t>
  </si>
  <si>
    <t>Laich, Federico Salvador/0000-0002-4530-7474; Chavez, Renato/0000-0003-1754-3610; Vaca, Inmaculada/0000-0002-8952-9036</t>
  </si>
  <si>
    <t>Recursos y Tecnologias Agrarias in coordination with the Comunidades Autonomas del Plan Nacional de Investigacion Cientifica, Desarrollo e Innovacion Tecnologica program; European Social Fund; Instituto Antartico Chileno (INACH) [G_06-10]; DICYT-USACH; Fondecyt [11090192]; PBCT PDA [13]</t>
  </si>
  <si>
    <t>Recursos y Tecnologias Agrarias in coordination with the Comunidades Autonomas del Plan Nacional de Investigacion Cientifica, Desarrollo e Innovacion Tecnologica program; European Social Fund(European Social Fund (ESF)); Instituto Antartico Chileno (INACH); DICYT-USACH; Fondecyt(Comision Nacional de Investigacion Cientifica y Tecnologica (CONICYT)CONICYT FONDECYT); PBCT PDA(Comision Nacional de Investigacion Cientifica y Tecnologica (CONICYT)CONICYT PIA/PBCT)</t>
  </si>
  <si>
    <t>The authors are grateful to two anonymous reviewers for their valuable suggestions on the manuscript. F. Laich is supported by the Recursos y Tecnologias Agrarias in coordination with the Comunidades Autonomas del Plan Nacional de Investigacion Cientifica, Desarrollo e Innovacion Tecnologica 2004-2007 program, financed with the involvement of the European Social Fund. R. Chavez was supported by Instituto Antartico Chileno (INACH, Grant G_06-10) and DICYT-USACH. I. Vaca was supported by Grant Fondecyt 11090192 and PBCT PDA 13.</t>
  </si>
  <si>
    <t>0003-6072</t>
  </si>
  <si>
    <t>1572-9699</t>
  </si>
  <si>
    <t>ANTON LEEUW INT J G</t>
  </si>
  <si>
    <t>Antonie Van Leeuwenhoek</t>
  </si>
  <si>
    <t>10.1007/s10482-014-0114-7</t>
  </si>
  <si>
    <t>Microbiology</t>
  </si>
  <si>
    <t>AA2WA</t>
  </si>
  <si>
    <t>WOS:000330953700016</t>
  </si>
  <si>
    <t>Certini, G</t>
  </si>
  <si>
    <t>Certini, Giacomo</t>
  </si>
  <si>
    <t>Fire as a Soil-Forming Factor</t>
  </si>
  <si>
    <t>AMBIO</t>
  </si>
  <si>
    <t>Fire; Soil; Pedogenesis; Soil-forming factors; Charcoal; Soil organic matter</t>
  </si>
  <si>
    <t>UNIVERSAL DEFINITION; ANTARCTIC SOILS; ORGANIC-MATTER; WILDFIRE; ECOSYSTEMS; CHARCOAL; FORESTS; CARBON; LIFE</t>
  </si>
  <si>
    <t>In the span of a human generation, fire can, in theory, impact all the land covered by vegetation. Its occurrence has many important direct and indirect effects on soil, some of which are long-lasting or even permanent. As a consequence, fire must be considered a soil-forming factor, on par with the others traditionally recognized, namely: parent material, topography, time, climate, living beings not endowed with the power of reason, and humans.</t>
  </si>
  <si>
    <t>Univ Firenze, Dipartimento Sci Prod Agroalimentari &amp; Ambiente D, I-50144 Florence, Italy</t>
  </si>
  <si>
    <t>University of Florence</t>
  </si>
  <si>
    <t>Certini, G (corresponding author), Univ Firenze, Dipartimento Sci Prod Agroalimentari &amp; Ambiente D, Piazzale Cascine 28, I-50144 Florence, Italy.</t>
  </si>
  <si>
    <t>certini@unifi.it</t>
  </si>
  <si>
    <t>0044-7447</t>
  </si>
  <si>
    <t>1654-7209</t>
  </si>
  <si>
    <t>Ambio</t>
  </si>
  <si>
    <t>10.1007/s13280-013-0418-2</t>
  </si>
  <si>
    <t>Engineering, Environmental; Environmental Sciences</t>
  </si>
  <si>
    <t>Engineering; Environmental Sciences &amp; Ecology</t>
  </si>
  <si>
    <t>AA2XG</t>
  </si>
  <si>
    <t>WOS:000330956900006</t>
  </si>
  <si>
    <t>Krishnan, KP; Sinha, RK; Rajan, S</t>
  </si>
  <si>
    <t>Krishnan, Kottekkatu Padinchati; Sinha, Rupesh Kumar; Rajan, Sivaramakrishnan</t>
  </si>
  <si>
    <t>Pelagic nitrification and denitrification rates in an Arctic fjord during early spring</t>
  </si>
  <si>
    <t>ANNALS OF MICROBIOLOGY</t>
  </si>
  <si>
    <t>Kongsfjorden; Arctic; Nitrification; Denitrification; Light; Temperature</t>
  </si>
  <si>
    <t>AMMONIA OXIDATION; HYPORHEIC ZONE; PHYTOPLANKTON; INHIBITORS; BACTERIA; NITRATE; WATERS</t>
  </si>
  <si>
    <t>This study addresses factors governing nitrification and denitrification rates, along with the abundance of the bacterial groups likely involved in these activities, in Kongsfjorden, an Arctic fjord at Ny-lesund, Svalbard. The fjord was sampled three times during the month of March 2008 as day length and direct solar radiation increased. Although initially well mixed, cooler and more saline, the fjord became stratified, warmer and less saline during late March. The concentrations of NH4 (+) (4.4 +/- 1.6 to 6 +/- 1.6 mu M) and NO2 (-) (1 +/- 0.3 to 1.2 +/- 0.4 mu M) increased progressively with the decrease in NO3 (-) (6.1 +/- 1.3 to 3.8 +/- 1.5 mu M), reflecting the onset of primary productivity. Nitrification rates and the culturable population of nitrifiers decreased significantly from 1.6 +/- 0.9 to 0.4 +/- 0.1 ng at NH4 (+)-N l(-1) h(-1) and 5.1 +/- 0.3 Au 10(2) to 29 +/- 14 cells l(-1), respectively. In contrast, denitrification rates increased (2.4 +/- 0.5 to 4.6 +/- 1.3 ng-at NO3 (-)-N l(-1) h(-1)), although the abundance of culturable denitrifiers did not vary significantly. A significant correlation of nitrifiers with NO3 (-) during early March (p &lt; 0.01, r = 0.51) indicated that nitrifiers may play an important role in regulating the NO3 (-) pool and thereby in controlling the abundance of denitrifiers. However, the contribution of nitrification to the total NO3 (-) pool decreased with time. Experimental simulations were also set up to understand the impact of change in duration of light and progressive increase in temperature on these processes. The application of 24 h light inhibited nitrification, suggesting that during peak Arctic summer the contribution of nitrification to the nitrate pool is minimal. It was also observed that a brief exposure to light (a parts per thousand currency sign6 h) was enough to hamper nitrification rates. Experimental simulations suggested that a gradual increase in temperature in the fjord may enhance the magnitude of nitrification and denitrification in the fjord.</t>
  </si>
  <si>
    <t>[Krishnan, Kottekkatu Padinchati; Sinha, Rupesh Kumar; Rajan, Sivaramakrishnan] Natl Ctr Antarctic &amp; Ocean Res, Vasco Da Gama 403804, Goa, India</t>
  </si>
  <si>
    <t>Krishnan, KP (corresponding author), Natl Ctr Antarctic &amp; Ocean Res, Vasco Da Gama 403804, Goa, India.</t>
  </si>
  <si>
    <t>kpkrishnan@gmail.com</t>
  </si>
  <si>
    <t>Sinha, Rupesh/ABB-8319-2020; P, Krishnan K/ABF-8783-2020</t>
  </si>
  <si>
    <t>, K. P. Krishnan/0000-0003-1101-657X; Sinha, Rupesh Kumar/0000-0002-2080-0975</t>
  </si>
  <si>
    <t>Ministry of Earth Sciences, Government of India</t>
  </si>
  <si>
    <t>Ministry of Earth Sciences, Government of India(Ministry of Earth Science (MoES), Government of India)</t>
  </si>
  <si>
    <t>This work was supported by grants from the Ministry of Earth Sciences, Government of India. We acknowledge the NPI and KingsBay AS for their field and laboratory support. We thank Dr. C.T. Achuthankutty for his valuable comments. We are grateful to the two anonymous reviewers and Associate Editor, Dr. Lucas J. Stal for providing valuable suggestions which helped us to improve the manuscript. This is NCAOR contribution no. 09/2013.</t>
  </si>
  <si>
    <t>BMC</t>
  </si>
  <si>
    <t>CAMPUS, 4 CRINAN ST, LONDON N1 9XW, ENGLAND</t>
  </si>
  <si>
    <t>1590-4261</t>
  </si>
  <si>
    <t>1869-2044</t>
  </si>
  <si>
    <t>ANN MICROBIOL</t>
  </si>
  <si>
    <t>Ann. Microbiol.</t>
  </si>
  <si>
    <t>10.1007/s13213-013-0671-4</t>
  </si>
  <si>
    <t>Biotechnology &amp; Applied Microbiology; Microbiology</t>
  </si>
  <si>
    <t>AB2UT</t>
  </si>
  <si>
    <t>WOS:000331648300038</t>
  </si>
  <si>
    <t>De Santi, C; Tedesco, P; Ambrosino, L; Altermark, B; Willassen, NP; de Pascale, D</t>
  </si>
  <si>
    <t>De Santi, Concetta; Tedesco, Pietro; Ambrosino, Luca; Altermark, Bjorn; Willassen, Nils-Peder; de Pascale, Donatella</t>
  </si>
  <si>
    <t>A New Alkaliphilic Cold-Active Esterase from the Psychrophilic Marine Bacterium Rhodococcus sp.: Functional and Structural Studies and Biotechnological Potential</t>
  </si>
  <si>
    <t>APPLIED BIOCHEMISTRY AND BIOTECHNOLOGY</t>
  </si>
  <si>
    <t>Esterase; Cold-active; Alkaliphilic; Biotechnological applications</t>
  </si>
  <si>
    <t>ALKALINE ESTERASE; PURIFICATION; ENZYMES</t>
  </si>
  <si>
    <t>The special features of cold-adapted lipolytic biocatalysts have made their use possible in several industrial applications. In fact, cold-active enzymes are known to be able to catalyze reactions at low temperatures, avoiding side reactions taking place at higher temperatures and preserving the integrity of products. A lipolytic gene was isolated from the Arctic marine bacterium Rhodococcus sp. AW25M09 and expressed in Escherichia coli as inclusion bodies. The recombinant enzyme (hereafter called RhLip) showed interesting cold-active esterase activity. The refolded purified enzyme displayed optimal activity at 30 degrees C and was cold-active with retention of 50 % activity at 10 degrees C. It is worth noting that the optimal pH was 11, and the low relative activity below pH 10 revealed that RhLip was an alkaliphilic esterase. The enzyme was active toward short-chain p-nitrophenyl esters (C2-C6), displaying optimal activity with the butyrate (C4) ester. In addition, the enzyme revealed a good organic solvent and salt tolerance. These features make this an interesting enzyme for exploitation in some industrial applications.</t>
  </si>
  <si>
    <t>[De Santi, Concetta; Tedesco, Pietro; Ambrosino, Luca; de Pascale, Donatella] CNR, Inst Prot Biochem, I-80131 Naples, Italy; [Altermark, Bjorn; Willassen, Nils-Peder] Univ Tromso, Fac Sci &amp; Technol, Dept Chem, NorStruct, Tromso, Norway</t>
  </si>
  <si>
    <t>Consiglio Nazionale delle Ricerche (CNR); Istituto di Biochimica delle Proteine (IBP-CNR); UiT The Arctic University of Tromso</t>
  </si>
  <si>
    <t>de Pascale, D (corresponding author), CNR, Inst Prot Biochem, Via P Castellino 111, I-80131 Naples, Italy.</t>
  </si>
  <si>
    <t>d.depascale@ibp.cnr.it</t>
  </si>
  <si>
    <t>Tedesco, Pietro/AAB-5740-2021; Ambrosino, Luca/AAC-6352-2020; Willassen, Nils Peder/AAE-1843-2019; Ambrosino, Luca/K-3306-2019</t>
  </si>
  <si>
    <t>Ambrosino, Luca/0000-0003-1756-9538; Willassen, Nils Peder/0000-0002-4397-8020; Tedesco, Pietro/0000-0003-0165-5386</t>
  </si>
  <si>
    <t>P.N.R.A. (Italian National Antarctic Research Programme); National Research Council of Norway</t>
  </si>
  <si>
    <t>P.N.R.A. (Italian National Antarctic Research Programme); National Research Council of Norway(Research Council of Norway)</t>
  </si>
  <si>
    <t>This work was supported by P.N.R.A. (Italian National Antarctic Research Programme) 2009-2011. We also thank the Yggdrasil application grants 2011-2012 and 2012-2013, funded by the National Research Council of Norway, for supporting the research activities of Dr. Concetta De Santi.</t>
  </si>
  <si>
    <t>0273-2289</t>
  </si>
  <si>
    <t>1559-0291</t>
  </si>
  <si>
    <t>APPL BIOCHEM BIOTECH</t>
  </si>
  <si>
    <t>Appl. Biochem. Biotechnol.</t>
  </si>
  <si>
    <t>10.1007/s12010-013-0713-1</t>
  </si>
  <si>
    <t>Biochemistry &amp; Molecular Biology; Biotechnology &amp; Applied Microbiology</t>
  </si>
  <si>
    <t>AF0VM</t>
  </si>
  <si>
    <t>WOS:000334432400021</t>
  </si>
  <si>
    <t>McDougall, TJ; Wotherspoon, SJ</t>
  </si>
  <si>
    <t>McDougall, Trevor J.; Wotherspoon, Simon J.</t>
  </si>
  <si>
    <t>A simple modification of Newton's method to achieve convergence of order 1+√2</t>
  </si>
  <si>
    <t>APPLIED MATHEMATICS LETTERS</t>
  </si>
  <si>
    <t>Newton's method; Non-linear equations; Root-finding; Iterative methods</t>
  </si>
  <si>
    <t>POTENTIAL TEMPERATURE; 3RD-ORDER CONVERGENCE; ALGORITHMS; SEAWATER; DENSITY; VARIANT</t>
  </si>
  <si>
    <t>A simple modification to the standard Newton method for approximating the root of a univariate function is described and analyzed. For the same number of function and derivative evaluations, the modified method converges faster, with the convergence order of the method being 1 + root 2 approximate to 2.4 compared with 2 for the standard Newton method. Numerical examples demonstrate the faster convergence achieved with this modification of Newton's method. This modified Newton-Raphson method is relatively simple and is robust; it is more likely to converge to a solution than are either the higher order (4th order and 6th order) schemes or Newton's method itself. (C) 2013 The Authors. Published by Elsevier Ltd. All rights reserved.</t>
  </si>
  <si>
    <t>[McDougall, Trevor J.] Univ New S Wales, Sch Math &amp; Stat, Sydney, NSW 2052, Australia; [Wotherspoon, Simon J.] Univ Tasmania, Inst Marine &amp; Atmospher Studies, Hobart, Tas 7001, Australia; [Wotherspoon, Simon J.] Australian Antarctic Div, Kingston, Tas 7050, Australia</t>
  </si>
  <si>
    <t>University of New South Wales Sydney; University of Tasmania; Australian Antarctic Division</t>
  </si>
  <si>
    <t>McDougall, TJ (corresponding author), Univ New S Wales, Sch Math &amp; Stat, Sydney, NSW 2052, Australia.</t>
  </si>
  <si>
    <t>Trevor.McDougall@unsw.edu.au</t>
  </si>
  <si>
    <t>McDougall, Trevor J/A-6770-2013; Wotherspoon, Simon J/B-2390-2013</t>
  </si>
  <si>
    <t>Wotherspoon, Simon J/0000-0002-6947-4445</t>
  </si>
  <si>
    <t>0893-9659</t>
  </si>
  <si>
    <t>APPL MATH LETT</t>
  </si>
  <si>
    <t>Appl. Math. Lett.</t>
  </si>
  <si>
    <t>10.1016/j.aml.2013.10.008</t>
  </si>
  <si>
    <t>Mathematics, Applied</t>
  </si>
  <si>
    <t>Mathematics</t>
  </si>
  <si>
    <t>285GO</t>
  </si>
  <si>
    <t>WOS:000329382000004</t>
  </si>
  <si>
    <t>Jiménez, S; Phillips, RA; Brazeiro, A; Defeo, O; Domingo, A</t>
  </si>
  <si>
    <t>Jimenez, Sebastian; Phillips, Richard A.; Brazeiro, Alejandro; Defeo, Omar; Domingo, Andres</t>
  </si>
  <si>
    <t>Bycatch of great albatrosses in pelagic longline fisheries in the southwest Atlantic: Contributing factors and implications for management</t>
  </si>
  <si>
    <t>BIOLOGICAL CONSERVATION</t>
  </si>
  <si>
    <t>Incidental mortality; Fisheries impacts; Non-target species; Seabirds; Fishery management</t>
  </si>
  <si>
    <t>REDUCING SEABIRD BYCATCH; TRISTAN ALBATROSSES; WANDERING ALBATROSSES; MITIGATION MEASURES; GILLNET FISHERIES; PATAGONIAN SHELF; FISHING VESSELS; CATCH RATES; BY-CATCH; MORTALITY</t>
  </si>
  <si>
    <t>Pelagic longline fisheries in the southwest Atlantic are a major conservation concern for several threatened seabirds, including four species of great albatrosses: wandering albatross (Diomedea exulans), Tristan albatross (Diomedea dabbenena), southern royal albatross (Diomedea epomophora) and northern royal albatross (Diomedea sanfordi). The aim of this study was to examine the spatial and temporal variation in bycatch rates of these species, and to identify the contributing environmental and operational factors. We used data collected by observers on board pelagic longliners in the Uruguayan fleet in 2004-2011, and on Japanese vessels operating in Uruguay under an experimental fishing license in 2009-2011. Bycatch rates for northern and southern royal albatrosses were higher than expected based on previous reports, particularly over the shelf break. Wandering and Tristan albatrosses were caught predominantly in pelagic waters, where there are numerous fishing fleets from other flag states. Bycatch of great albatrosses was highest in April-November, with the peak for royal albatrosses in June-July, and for wandering and Tristan albatrosses in September-November. A range of vessel operational practices and habitat variables affected bycatch rates, among which setting time, moon phase, area and season are useful in terms of risk assessment, and in the development and improvement of conservation measures for these highly threatened species. (C) 2014 Elsevier Ltd. All rights reserved.</t>
  </si>
  <si>
    <t>[Jimenez, Sebastian; Defeo, Omar; Domingo, Andres] Direcc Nacl Recursos Acuat, Montevideo 11200, Uruguay; [Jimenez, Sebastian; Phillips, Richard A.] NERC, Cambridge CB3 0E7, England; [Jimenez, Sebastian] Ctr Invest &amp; Conservac Marina CICMAR, Proyecto Albatros &amp; Petreles Uruguay, Canelones, Uruguay; [Brazeiro, Alejandro] Univ Republica, Fac Ciencias, Inst Ecol &amp; Ciencias Ambientales, Montevideo 11400, Uruguay; [Defeo, Omar] Univ Republica, Fac Ciencias, Dept Ecol &amp; Evolut, UNDECIMAR, Montevideo 11400, Uruguay</t>
  </si>
  <si>
    <t>UK Research &amp; Innovation (UKRI); Natural Environment Research Council (NERC); Universidad de la Republica, Uruguay; Universidad de la Republica, Uruguay</t>
  </si>
  <si>
    <t>Jiménez, S (corresponding author), Direcc Nacl Recursos Acuat, Lab Recursos Pelag, Constituyente 1497, Montevideo 11200, Uruguay.</t>
  </si>
  <si>
    <t>jimenezpsebastian@gmail.com</t>
  </si>
  <si>
    <t>Jimenez, Sebastian Jimenez S/K-6168-2017; Jimenez, Sebastian/JMC-9419-2023</t>
  </si>
  <si>
    <t>Defeo, Omar/0000-0001-8318-528X; Brazeiro, Alejandro/0000-0001-8352-9900; Jimenez, Sebastian/0000-0003-3945-4619</t>
  </si>
  <si>
    <t>International Association of Antarctic Tour Operators (IAATO) [Birds Australia, and Birdlife International's Save the Albatross campaign]; Royal Society for the Protection of Birds (RSPB); BirdLife International; Graham Robertson; Natural Environment Research Council [bas0100025] Funding Source: researchfish; NERC [bas0100025] Funding Source: UKRI</t>
  </si>
  <si>
    <t>International Association of Antarctic Tour Operators (IAATO) [Birds Australia, and Birdlife International's Save the Albatross campaign]; Royal Society for the Protection of Birds (RSPB); BirdLife International; Graham Robertson; Natural Environment Research Council(UK Research &amp; Innovation (UKRI)Natural Environment Research Council (NERC)); NERC(UK Research &amp; Innovation (UKRI)Natural Environment Research Council (NERC))</t>
  </si>
  <si>
    <t>We would like to thank the observers of the Programa Nacional de Observadores de la Flota Atunera Uruguaya (PNOFA), the boat owners of the Uruguayan fleet, Japan Tuna Fisheries Co-operative Association and the crews of the vessels for their continued cooperation. Special thanks go to Martin Abreu and Rodrigo Forselledo for their invaluable cooperation in the examination of bycaught great albatrosses at the laboratory, and to Andrew Fleming and Louise Ireland for provision of the remote-sensed datasets. Andy Wood, Dieter Oschadleus, Peter Ryan, Graeme Taylor and Lyndon Perriman, kindly confirmed the specific identification of ringed albatrosses. The manuscript was improved by the helpful comments of the four referees. Part of the field work was undertaken under two programs of the Proyecto Albatros y Petreles - Uruguay, Conservation of Wandering Albatross in Western Atlantic and the Albatross Task Force, funded respectively by the International Association of Antarctic Tour Operators (IAATO) [Birds Australia, and Birdlife International's Save the Albatross campaign], and the Royal Society for the Protection of Birds (RSPB) and BirdLife International. SJ gratefully acknowledges the support by Graham Robertson and the British Embassy (Montevideo) of a long-term study visit to British Antarctic Survey where some of this work was carried out. This paper is part of the PhD thesis of SJ, who receives a scholarship from Agencia Nacional de Investigacion e Innovacion (ANII).</t>
  </si>
  <si>
    <t>0006-3207</t>
  </si>
  <si>
    <t>1873-2917</t>
  </si>
  <si>
    <t>BIOL CONSERV</t>
  </si>
  <si>
    <t>Biol. Conserv.</t>
  </si>
  <si>
    <t>10.1016/j.biocon.2013.12.035</t>
  </si>
  <si>
    <t>AG5VI</t>
  </si>
  <si>
    <t>WOS:000335486400002</t>
  </si>
  <si>
    <t>Huiskes, AHL; Gremmen, NJM; Bergstrom, DM; Frenot, Y; Hughes, KA; Imura, S; Kiefer, K; Lebouvier, M; Lee, JE; Tsujimoto, M; Ware, C; Van de Vijver, B; Chown, SL</t>
  </si>
  <si>
    <t>Huiskes, Ad H. L.; Gremmen, Niek J. M.; Bergstrom, Dana M.; Frenot, Yves; Hughes, Kevin A.; Imura, Satoshi; Kiefer, Kate; Lebouvier, Marc; Lee, Jennifer E.; Tsujimoto, Megumu; Ware, Chris; Van de Vijver, Bart; Chown, Steven L.</t>
  </si>
  <si>
    <t>Aliens in Antarctica: Assessing transfer of plant propagules by human visitors to reduce invasion risk</t>
  </si>
  <si>
    <t>Biological invasions; Propagule pressure; Risk assessment; Self-assessment; Tourism; Vessel size</t>
  </si>
  <si>
    <t>BIOLOGICAL INVASIONS; IMPACTS; BIODIVERSITY; MANAGEMENT; FRAMEWORK; POLICY; QUANTIFICATION; CONSTRUCTION; COMMUNITIES; EXTINCTION</t>
  </si>
  <si>
    <t>Despite considerable research on biological invasions, key areas remain poorly explored, especially ways to reduce unintentional propagule transfer. The Antarctic represents a microcosm of the situation, with the numbers of established non-native species growing. Information to help reduce potential impacts is therefore critical. We measured the propagule load of seeds, and fragments of bryophytes and lichens (the number of other plant or animal fragments was too low to draw any conclusions) carried in the clothing and gear of visitors to the Antarctic, during the 2007108 austral summer. Samples were collected from different categories of visitors associated with national research programs and tourism and different categories of clothing and gear, new as well as used. We also collected information about the timing of travel and the regions visitors had travelled to prior to Antarctic travel. Seeds were found in 20% and 45% of tourist and science visitor samples, respectively. For bryophyte and lichen fragments the proportions were 11% and 20%, respectively. Footwear, trousers and bags belonging to field scientists were the highest risk items, especially of those personnel which had previously visited protected areas, parklands/botanic gardens or alpine areas. Tourists who visited rural/agricultural areas prior to travel, and/or travel with national programs or on smaller tourist vessels had the highest probability of transferring plant propagules. Travel either during the boreal or austral autumn months increased the probability of propagule presence. Our assessment is applicable to other areas given evidence of propagule transfer patterns in those areas that are broadly similar to those documented here. The current work provides a sound evidence base for both self-regulation (e.g. taking care of personal equipment) and organization-based regulation (e.g. issuing guidelines and holding regular inspections) to reduce propagule transfer of plants to the Antarctic. Crown Copyright (C) 2014 Published by Elsevier Ltd.</t>
  </si>
  <si>
    <t>[Huiskes, Ad H. L.; Gremmen, Niek J. M.] Royal Netherlands Inst Sea Res, Netherlands Inst Ecol, NL-4400 AC Yerseke, Netherlands; [Bergstrom, Dana M.; Kiefer, Kate] Australian Antarctic Div, Dept Environm, Kingston, Tas 7050, Australia; [Frenot, Yves] French Polar Inst Paul Emile Victor, Plouzane, France; [Hughes, Kevin A.] British Antarctic Survey, NERC, Cambridge CB3 0ET, England; [Imura, Satoshi; Tsujimoto, Megumu] Natl Inst Polar Res, Tachikawa, Tokyo 1908518, Japan; [Lebouvier, Marc] Univ Rennes 1, CNRS UMR Ecobio 6553, Biol Stn, F-35380 Paimpont, France; [Lee, Jennifer E.] Univ Stellenbosch, Dept Bot &amp; Zool, Ctr Invas Biol, ZA-7602 Matieland, South Africa; [Ware, Chris] Univ Tasmania, Sch Geog &amp; Environm Studies, Hobart, Tas 7001, Australia; [Van de Vijver, Bart] Natl Bot Garden Belgium, B-1860 Meise, Belgium; [Chown, Steven L.] Monash Univ, Sch Biol Sci, Melbourne, Vic 2800, Australia</t>
  </si>
  <si>
    <t>Utrecht University; Royal Netherlands Institute for Sea Research (NIOZ); Royal Netherlands Academy of Arts &amp; Sciences; Netherlands Institute of Ecology (NIOO-KNAW); Australian Antarctic Division; UK Research &amp; Innovation (UKRI); Natural Environment Research Council (NERC); NERC British Antarctic Survey; Research Organization of Information &amp; Systems (ROIS); National Institute of Polar Research (NIPR) - Japan; Universite de Rennes; Stellenbosch University; University of Tasmania; Monash University; Melbourne Genomics Health Alliance</t>
  </si>
  <si>
    <t>Huiskes, AHL (corresponding author), Royal Netherlands Inst Sea Res, Netherlands Inst Ecol, POB 140, NL-4400 AC Yerseke, Netherlands.</t>
  </si>
  <si>
    <t>ad.huiskes@nioz.nl</t>
  </si>
  <si>
    <t>Tsujimoto, Megumu/JCE-5500-2023; Ware, Chris J/N-4465-2016; Hughes, Kevin/JVZ-0793-2024; Chown, Steven/ABD-7646-2021; Bergstrom, Dana/AAC-2837-2022; Chown, Steven/H-3347-2011</t>
  </si>
  <si>
    <t>Tsujimoto, Megumu/0000-0001-5160-6086; Bergstrom, Dana/0000-0001-8484-8954; Frenot, Yves/0000-0003-2666-1272; Chown, Steven/0000-0001-6069-5105</t>
  </si>
  <si>
    <t>Netherlands Polar Program Grant [851.20.040]; Scientific Committee, on Antarctic Research; NERC [bas010011] Funding Source: UKRI; Natural Environment Research Council [bas010011] Funding Source: researchfish; Grants-in-Aid for Scientific Research [23247012] Funding Source: KAKEN</t>
  </si>
  <si>
    <t>Netherlands Polar Program Grant; Scientific Committee, on Antarctic Research;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</si>
  <si>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are indebted to many individuals and organisations for assistance. We thank Oleksiy Galaktionov, Ina Severin, Fernando Brun and Eva Cacabelos, Tetsuro Miyatake, Yu Tong Qiu, and Daniela Ferreira for translating flyers, questionnaires, and supporting information. Philips Netherlands, Ltd. (Eindhoven, The Netherlands) donated the vacuum cleaners. Agunsa SA (Chile) and Navalia s.r.l. (Argentina) assisted in the distribution and collection of materials to and from the various tourist vessels departing and returning to respectively Punta Arenas and Ushuaia. Oceanwide Expeditions (Vlissingen, The Netherlands) transported all materials to South America and back. Randstad Data Management (Rotterdam, The Netherlands) processed all questionnaires electronically and converted them in spreadsheets. We are grateful to the volunteers from National Programs and Tourist Operators on ships and stations who performed the sampling and distribution and collection of the questionnaires. We thank two anonymous reviewers for helpful comments. This work was supported by our institutions, by a Netherlands Polar Program Grant 851.20.040, and by the Scientific Committee, on Antarctic Research.</t>
  </si>
  <si>
    <t>10.1016/j.biocon.2014.01.038</t>
  </si>
  <si>
    <t>Green Published, hybrid, Green Accepted</t>
  </si>
  <si>
    <t>WOS:000335486400030</t>
  </si>
  <si>
    <t>Huang, KF; Oppo, DW; Curry, WB</t>
  </si>
  <si>
    <t>Huang, Kuo-Fang; Oppo, Delia W.; Curry, William B.</t>
  </si>
  <si>
    <t>Decreased influence of Antarctic intermediate water in the tropical Atlantic during North Atlantic cold events</t>
  </si>
  <si>
    <t>Nd isotopes; Antarctic intermediate water; Atlantic meridional overturning circulation; deglacial variability; North Atlantic cold events</t>
  </si>
  <si>
    <t>NEODYMIUM ISOTOPE COMPOSITION; DEEP-WATER; SOUTH-ATLANTIC; THERMOHALINE CIRCULATION; CLIMATE VARIABILITY; BOUNDARY EXCHANGE; PACIFIC-OCEAN; ND; SEAWATER; CYCLE</t>
  </si>
  <si>
    <t>Antarctic Intermediate Water (AAIW) is a key player in the global ocean circulation, contributing to the upper limb of the Atlantic Meridional Overturning Circulation (AMOC), and influencing interhemispheric heat exchange and the distribution of salinity, nutrients and carbon. However, the deglacial history of AAIW flow into the North Atlantic is controversial. Here we present a multicore-top neodymium isotope calibration, which confirms the ability of unclean foraminifera to faithfully record bottom water neodymium isotopic composition (epsilon(Nd)) values in their authigenic coatings. We then present the first foraminifera-based reconstruction of epsilon(Nd) from three sediment cores retrieved from within modern AAIW, in the western tropical North Atlantic. Our records reveal similar glacial and interglacial contributions of AAIW, and a pronounced decrease in the AAIW fraction during North Atlantic deglacial cold episodes, Heinrich Stadia! 1 (HS1) and Younger Dryas (YD). Our results suggest two separate phases of reduced fraction of AAIW in the tropical Atlantic during HS1, with a greater reduction during early HS1. If a reduction in AAIW fraction also reflects reduced AMOC strength, this finding may explain why, in many regions, there are two phases of hydrologic change within HS1, and why atmospheric CO2 rose more rapidly during early than late HS1. Our result suggesting less flow of AAIW into the Atlantic during North Atlantic cold events contrasts with evidence from the Pacific, where intermediate-depth sNd records may indicate increased flow of AAIW into the Pacific during the these same events. Antiphased sNd behavior between intermediate depths of the North Atlantic and Pacific implies that the flow of AAIW into Atlantic and Pacific seesawed during the last deglaciation. (C) 2014 The Authors. Published by Elsevier B.V. All rights reserved.</t>
  </si>
  <si>
    <t>[Huang, Kuo-Fang; Oppo, Delia W.; Curry, William B.] Woods Hole Oceanog Inst, Dept Geol &amp; Geophys, Woods Hole, MA 02543 USA; [Huang, Kuo-Fang] Acad Sinica, Inst Earth Sci, Taipei 115, Taiwan; [Curry, William B.] Bermuda Inst Ocean Sci, St Georges, Bermuda</t>
  </si>
  <si>
    <t>Woods Hole Oceanographic Institution; Academia Sinica - Taiwan; Bermuda Institute of Ocean Sciences</t>
  </si>
  <si>
    <t>Huang, KF (corresponding author), Acad Sinica, Inst Earth Sci, 128,Sec 2,Acad Rd, Taipei 11529, Taiwan.</t>
  </si>
  <si>
    <t>kfhuang@earth.sinica.edu.tw</t>
  </si>
  <si>
    <t>Huang, Kuo-Fang/M-2740-2019</t>
  </si>
  <si>
    <t>Huang, Kuo-Fang/0000-0002-7858-4865</t>
  </si>
  <si>
    <t>US NSF; Taiwan NSC [NSC98-2917-I-564-132]; Directorate For Geosciences; Division Of Ocean Sciences [1335191] Funding Source: National Science Foundation</t>
  </si>
  <si>
    <t>US NSF(National Science Foundation (NSF)); Taiwan NSC(Ministry of Science and Technology, Taiwan); Directorate For Geosciences; Division Of Ocean Sciences(National Science Foundation (NSF)NSF - Directorate for Geosciences (GEO))</t>
  </si>
  <si>
    <t>We thank the captain, crew and scientific team of the cruise KNR197-3 of R/V Knorr for a successful cruise. Special thanks to K. Rose, M. Jeglinski, E. Bonk and G. Toltin for lab assistance, J. Blusztajn for technical support and maintenance of Neptune MC-ICP-MS, D. Thornalley for helpful discussions, and K. Pahnke for providing the GEOTRACES intercalibration seawater sample (SAFE, 3000 m). We are very grateful for the comments of two anonymous reviewers. This work was supported by US NSF grants and a Lawrence J. Pratt and Melinda M. Hall Endowed Fund for Interdisciplinary Research Award to D.W.O. and W.B.C. and by a Taiwan NSC Postdoctoral Fellowship (NSC98-2917-I-564-132) to K.F.H.</t>
  </si>
  <si>
    <t>10.1016/j.epsl.2013.12.037</t>
  </si>
  <si>
    <t>Green Published, hybrid</t>
  </si>
  <si>
    <t>WOS:000331923400020</t>
  </si>
  <si>
    <t>Santana-Garcon, J; Leis, JM; Newman, SJ; Harvey, ES</t>
  </si>
  <si>
    <t>Santana-Garcon, Julia; Leis, Jeffrey M.; Newman, Stephen J.; Harvey, Euan S.</t>
  </si>
  <si>
    <t>Presettlement schooling behaviour of a priacanthid, the Purplespotted Bigeye Priacanthus tayenus (Priacanthidae: Teleostei)</t>
  </si>
  <si>
    <t>ENVIRONMENTAL BIOLOGY OF FISHES</t>
  </si>
  <si>
    <t>Pelagic juvenile reef fish; Mid-water baited remote underwater stereo-video; Demersal fish; Ningaloo Reef; Western Australia</t>
  </si>
  <si>
    <t>STEREO-VIDEO SYSTEM; CORAL-REEF FISHES; DISTRIBUTION PATTERNS; DEMERSAL FISHES; DIVERS; ONTOGENY; LARVAE; WATER; ASSEMBLAGES; PRECISION</t>
  </si>
  <si>
    <t>We report in situ behavioural observations of presettlement schooling in Priacanthus tayenus off Coral Bay, Western Australia collected using pelagic Baited Remote Underwater stereo-Video systems. Two groups of fish (8 and 9 individuals) were observed that aggregated into a single school. Mean total length was 24.1 mm (12.5-30.2 mm). The fish swam at a mean speed of 8.5 cm s(-1) in a group spacing themselves more or less evenly at a distance of around one body length from the nearest neighbour within the school. P. tayenus appeared to be sometimes associated with juveniles of other species. The results presented here add to the limited, but growing body of literature on the schooling behaviour of the early pelagic stages of demersal fishes.</t>
  </si>
  <si>
    <t>[Santana-Garcon, Julia; Harvey, Euan S.] Univ Western Australia, Sch Plant Biol, Fac Nat &amp; Agr Sci, Crawley, WA 6009, Australia; [Santana-Garcon, Julia; Harvey, Euan S.] Univ Western Australia, UWA Oceans Inst M470, Fac Nat &amp; Agr Sci, Crawley, WA 6009, Australia; [Leis, Jeffrey M.] Australian Museum, Dept Ichthyol, Sydney, NSW 2010, Australia; [Leis, Jeffrey M.] Univ Tasmania, Inst Marine &amp; Antarctic Studies, Hobart, Tas 7001, Australia; [Newman, Stephen J.] Govt Western Australia, Western Australian Fisheries &amp; Marine Res Labs, Dept Fisheries, North Beach, WA 6920, Australia</t>
  </si>
  <si>
    <t>University of Western Australia; University of Western Australia; Australian Museum; University of Tasmania; Government of Western Australia; Western Australian Fisheries &amp; Marine Research Laboratories</t>
  </si>
  <si>
    <t>Santana-Garcon, J (corresponding author), Univ Western Australia, Sch Plant Biol, Fac Nat &amp; Agr Sci, Crawley, WA 6009, Australia.</t>
  </si>
  <si>
    <t>j.santanagarcon@grs.uwa.edu.au</t>
  </si>
  <si>
    <t>Harvey, Euan/B-2896-2011; Leis, Jeffrey M/JCE-0397-2023; Leis, Jeffrey M/E-7502-2012; Newman, Stephen/C-4507-2016; Santana-Garcon, Julia/M-1410-2013</t>
  </si>
  <si>
    <t>Harvey, Euan/0000-0002-9069-4581; Leis, Jeffrey M/0000-0003-0603-3447; Leis, Jeffrey M/0000-0003-0603-3447; Newman, Stephen/0000-0002-5324-5568; Santana-Garcon, Julia/0000-0001-7961-3552</t>
  </si>
  <si>
    <t>University of Western Australia; UWA Safety-Net Top-Up Scholarship; School of Plant Biology</t>
  </si>
  <si>
    <t>The authors would like to gratefully thank Wayne Starnes for his assistance with species identification and advice. We thank S. Bennett and S. Andrews for assistance with fieldwork and H. Twose for the illustration. JSG was supported by a Scholarship for International Research Fees, a University Postgraduate Award (International) from the University of Western Australia, a UWA Safety-Net Top-Up Scholarship and funding from the School of Plant Biology. This work was undertaken under the approval of UWA Animal Ethics (RA/3/100/1035) and Department of Environment and Conservation permit SF008486.</t>
  </si>
  <si>
    <t>0378-1909</t>
  </si>
  <si>
    <t>1573-5133</t>
  </si>
  <si>
    <t>ENVIRON BIOL FISH</t>
  </si>
  <si>
    <t>Environ. Biol. Fishes</t>
  </si>
  <si>
    <t>10.1007/s10641-013-0150-6</t>
  </si>
  <si>
    <t>Ecology; Marine &amp; Freshwater Biology</t>
  </si>
  <si>
    <t>298UQ</t>
  </si>
  <si>
    <t>WOS:000330350400006</t>
  </si>
  <si>
    <t>Shiklomanov, AI; Lammers, RB</t>
  </si>
  <si>
    <t>Shiklomanov, A. I.; Lammers, R. B.</t>
  </si>
  <si>
    <t>River ice responses to a warming Arctic-recent evidence from Russian rivers</t>
  </si>
  <si>
    <t>ENVIRONMENTAL RESEARCH LETTERS</t>
  </si>
  <si>
    <t>river ice; Arctic hydrology; climate change</t>
  </si>
  <si>
    <t>VARIABILITY; COVER</t>
  </si>
  <si>
    <t>This paper looks at the response of river ice to recent warming in the Arctic at six major downstream gauges on large Russian rivers flowing to the Arctic Ocean. For the Severnaya Dvina, Ob, Yenisey, Lena, Yana and Kolyma we determine how river ice has changed in recent years and we try to understand the underlying causes of those changes. Long-term variability and trends in beginning and ending dates of ice events, duration of ice conditions, and maximum ice thickness were analyzed over 1955-2012. Significant changes in timing of ice events and a decrease in ice thickness were found for the five Siberian rivers. Duration of ice conditions decreased from 7 days for the Severnaya Dvina, Lena and Yenisey to almost 20 days for the Ob at Salekhard. The change in timing of ice events is consistent with changes in regional air temperature, which has significantly increased at each of these river gauges, except Lena-Kusur. The primary cause of the considerable increase in maximum ice thickness was not identified. Variation of mean winter air temperature and river discharge do not correlate well with maximum ice thickness and it is assumed the influence of specific local conditions can play a more important role in ice formation at these locations. Understanding this interrelationship across the Eurasian pan-Arctic using more comprehensive data archives for river ice and discharge is therefore needed.</t>
  </si>
  <si>
    <t>[Shiklomanov, A. I.; Lammers, R. B.] Univ New Hampshire, Water Syst Anal Grp, Durham, NH 03824 USA; [Shiklomanov, A. I.] Arctic &amp; Antarctic Res Inst, St Petersburg 199226, Russia</t>
  </si>
  <si>
    <t>University System Of New Hampshire; University of New Hampshire; Arctic &amp; Antarctic Research Institute</t>
  </si>
  <si>
    <t>Shiklomanov, AI (corresponding author), Univ New Hampshire, Water Syst Anal Grp, Durham, NH 03824 USA.</t>
  </si>
  <si>
    <t>alex.shiklomanov@unh.edu</t>
  </si>
  <si>
    <t>Shiklomanov, Alexander/0000-0001-9790-3510; Lammers, Richard/0000-0002-7980-5834</t>
  </si>
  <si>
    <t>National Science Foundation [ARC1204070]; Russian Ministry of Education and Science [14.B25.31.0026]; Office of Polar Programs (OPP); Directorate For Geosciences [1204070] Funding Source: National Science Foundation</t>
  </si>
  <si>
    <t>National Science Foundation(National Science Foundation (NSF)); Russian Ministry of Education and Science(Ministry of Education and Science, Russian Federation); Office of Polar Programs (OPP); Directorate For Geosciences(National Science Foundation (NSF)NSF - Directorate for Geosciences (GEO))</t>
  </si>
  <si>
    <t>We greatly appreciate the assistance of Dr Banschikova from the State Hydrological Institute and O Golovanov from the Arctic and Antarctic Research Institute, both in St Petersburg, Russia, for compilation of the river ice and discharge data. The work was supported by the National Science Foundation under the grant ARC1204070 to improve understanding of interactions between streamflow, permafrost and river ice. A Shiklomanov also benefited from the support of the Russian Ministry of Education and Science under the contract 14.B25.31.0026</t>
  </si>
  <si>
    <t>1748-9326</t>
  </si>
  <si>
    <t>ENVIRON RES LETT</t>
  </si>
  <si>
    <t>Environ. Res. Lett.</t>
  </si>
  <si>
    <t>10.1088/1748-9326/9/3/035008</t>
  </si>
  <si>
    <t>Environmental Sciences; Meteorology &amp; Atmospheric Sciences</t>
  </si>
  <si>
    <t>AE5ZO</t>
  </si>
  <si>
    <t>WOS:000334068000029</t>
  </si>
  <si>
    <t>Singh, P; Singh, SM; Dhakephalkar, P</t>
  </si>
  <si>
    <t>Singh, Purnima; Singh, Shiv M.; Dhakephalkar, Prashant</t>
  </si>
  <si>
    <t>Diversity, cold active enzymes and adaptation strategies of bacteria inhabiting glacier cryoconite holes of High Arctic</t>
  </si>
  <si>
    <t>EXTREMOPHILES</t>
  </si>
  <si>
    <t>Bacteria; Svalbard Glacier; Diversity; Biotechnological potentials</t>
  </si>
  <si>
    <t>MCMURDO DRY VALLEY; MICROBIAL COMMUNITIES; ICE; SVALBARD; REGION; BACTERIOPLANKTON; BIOGEOCHEMISTRY; CYANOBACTERIA; ASSEMBLAGES; ABUNDANCE</t>
  </si>
  <si>
    <t>Cryoconite holes have biogeochemical, ecological and biotechnological importance. This communication presents results on culturable psychrophilic bacterial diversity from cryoconite holes at Midre Lov,nbreen (ML), Austre Broggerbreen (AB), and Vestre Broggerbreen (VB) glaciers. The culturable bacterial count ranged from 2.7 x 10(3) to 8.8 x 10(4) CFUs/g while the total bacterial numbers ranged from 5.07 x 10(5) to 1.50 x 10(6) cells at the three glaciers. A total of 35 morphologically distinct bacterial isolates were isolated. Based on 16S rRNA gene sequence data, the identified species belonged to eight genera namely Pseudomonas, Polaromonas, Micrococcus, Subtercola, Agreia, Leifsonia, Cryobacterium and Flavobacterium. The isolates varied in their growth temperature, NaCl tolerance, growth pH, enzyme activities, carbon utilization and antibiotic sensitivity tests. Fatty acid profiles indicate the predominance of branched fatty acids in the isolates. To the best of our knowledge, this is the first record of culturable bacterial communities and their characterization from glacier cryoconites from High Arctic. High amylase and protease activities expressed by Micrococcus sp. MLB-41 and amylase, protease and lipase activities expressed by Cryobacterium sp. MLB-32 provide a clue to the potential applications of these organisms. These cold-adapted enzymes may provide an opportunity for the prospect of biotechnology in Arctic.</t>
  </si>
  <si>
    <t>[Singh, Purnima] Birla Inst Technol &amp; Sci, Zuarinagar 403726, Goa, India; [Singh, Shiv M.] Minist Earth Sci, Natl Ctr Antarctic &amp; Ocean Res, Vasco Da Gama 403804, Goa, India; [Dhakephalkar, Prashant] Agharkar Res Inst, Pune 411004, Maharashtra, India</t>
  </si>
  <si>
    <t>Birla Institute of Technology &amp; Science Pilani (BITS Pilani); Ministry of Earth Sciences (MoES) - India; National Centre for Polar and Ocean Research (NCPOR); Department of Science &amp; Technology (India); Agharkar Research Institute (ARI)</t>
  </si>
  <si>
    <t>Singh, P (corresponding author), Birla Inst Technol &amp; Sci, Pilani KK Birla Goa Campus, Zuarinagar 403726, Goa, India.</t>
  </si>
  <si>
    <t>purnimabitsgoa@gmail.com</t>
  </si>
  <si>
    <t>DST, Government of India [SR/WOS-A/LS-68/2009]</t>
  </si>
  <si>
    <t>DST, Government of India(Department of Science &amp; Technology (India))</t>
  </si>
  <si>
    <t>We would like to thank the Directors, BITS, NCAOR and ARI for facilities. PS acknowledges the DST, Government of India for the financial support (Project: SR/WOS-A/LS-68/2009). SMS is thankful to Ms Simintani Naik, Mr Masaharu Tsuji and Mr Jakub Zarsky for technical help.</t>
  </si>
  <si>
    <t>SPRINGER JAPAN KK</t>
  </si>
  <si>
    <t>TOKYO</t>
  </si>
  <si>
    <t>SHIROYAMA TRUST TOWER 5F, 4-3-1 TORANOMON, MINATO-KU, TOKYO, 105-6005, JAPAN</t>
  </si>
  <si>
    <t>1431-0651</t>
  </si>
  <si>
    <t>1433-4909</t>
  </si>
  <si>
    <t>Extremophiles</t>
  </si>
  <si>
    <t>10.1007/s00792-013-0609-6</t>
  </si>
  <si>
    <t>Biochemistry &amp; Molecular Biology; Microbiology</t>
  </si>
  <si>
    <t>AB7LE</t>
  </si>
  <si>
    <t>WOS:000331970700004</t>
  </si>
  <si>
    <t>Pikitch, EK; Rountos, KJ; Essington, TE; Santora, C; Pauly, D; Watson, R; Sumaila, UR; Boersma, PD; Boyd, IL; Conover, DO; Cury, P; Heppell, SS; Houde, ED; Mangel, M; Plagányi, É; Sainsbury, K; Steneck, RS; Geers, TM; Gownaris, N; Munch, SB</t>
  </si>
  <si>
    <t>Pikitch, Ellen K.; Rountos, Konstantine J.; Essington, Timothy E.; Santora, Christine; Pauly, Daniel; Watson, Reg; Sumaila, Ussif R.; Boersma, P. Dee; Boyd, Ian L.; Conover, David O.; Cury, Philippe; Heppell, Selina S.; Houde, Edward D.; Mangel, Marc; Plaganyi, Eva; Sainsbury, Keith; Steneck, Robert S.; Geers, Tess M.; Gownaris, Natasha; Munch, Stephan B.</t>
  </si>
  <si>
    <t>The global contribution of forage fish to marine fisheries and ecosystems</t>
  </si>
  <si>
    <t>FISH AND FISHERIES</t>
  </si>
  <si>
    <t>Ecosystem service; ecosystem-based management; fisheries value; forage fish; supportive values; trade-offs</t>
  </si>
  <si>
    <t>TUNA THUNNUS-THYNNUS; DIET COMPOSITION; ENERGY DENSITY; NORTHERN GULF; TROPHIC LEVEL; TRADE-OFFS; SEABIRD; CONSERVATION; CONSUMPTION; MANAGEMENT</t>
  </si>
  <si>
    <t>Forage fish play a pivotal role in marine ecosystems and economies worldwide by sustaining many predators and fisheries directly and indirectly. We estimate global forage fish contributions to marine ecosystems through a synthesis of 72 published Ecopath models from around the world. Three distinct contributions of forage fish were examined: (i) the ecological support service of forage fish to predators in marine ecosystems, (ii) the total catch and value of forage fisheries and (iii) the support service of forage fish to the catch and value of other commercially targeted predators. Forage fish use and value varied and exhibited patterns across latitudes and ecosystem types. Forage fish supported many kinds of predators, including fish, seabirds, marine mammals and squid. Overall, forage fish contribute a total of about $16.9 billion USD to global fisheries values annually, i.e. 20% of the global ex-vessel catch values of all marine fisheries combined. While the global catch value of forage fisheries was $5.6 billion, fisheries supported by forage fish were more than twice as valuable ($11.3 billion). These estimates provide important information for evaluating the trade-offs of various uses of forage fish across ecosystem types, latitudes and globally. We did not estimate a monetary value for supportive contributions of forage fish to recreational fisheries or to uses unrelated to fisheries, and thus the estimates of economic value reported herein understate the global value of forage fishes.</t>
  </si>
  <si>
    <t>[Pikitch, Ellen K.; Rountos, Konstantine J.; Santora, Christine; Conover, David O.; Geers, Tess M.; Gownaris, Natasha; Munch, Stephan B.] SUNY Stony Brook, Sch Marine &amp; Atmospher Sci, Stony Brook, NY 11794 USA; [Essington, Timothy E.] Univ Washington, Sch Aquat &amp; Fishery Sci, Seattle, WA 98195 USA; [Pauly, Daniel; Watson, Reg; Sumaila, Ussif R.] Univ British Columbia, Fisheries Ctr, Vancouver, BC V6T 1Z4, Canada; [Boersma, P. Dee] Univ Washington, Dept Biol, Seattle, WA 98195 USA; [Boyd, Ian L.] Univ St Andrews, Gatty Marine Lab, NERC Sea Mammal Res Unit, St Andrews KY16 8LB, Fife, Scotland; [Cury, Philippe] Ctr Rech Halieut Mediterraneenne &amp; Trop, Inst Rech Dev, UMR EME 212, F-34203 Sete, France; [Heppell, Selina S.] Oregon State Univ, Dept Fisheries &amp; Wildlife, Corvallis, OR 97331 USA; [Houde, Edward D.] Univ Maryland, Ctr Environm Sci, Cambridge, MD 21613 USA; [Mangel, Marc] Univ Calif Santa Cruz, Dept Appl Math &amp; Stat, Santa Cruz, CA 95064 USA; [Plaganyi, Eva] CSIRO Marine &amp; Atmospher Res Hobart, Hobart, Tas 7000, Australia; [Sainsbury, Keith] Univ Tasmania, Inst Marine &amp; Antarctic Sci, Sandy Bay, Tas, Australia; [Steneck, Robert S.] Univ Maine, Sch Marine Sci, Walpole, ME 04573 USA</t>
  </si>
  <si>
    <t>State University of New York (SUNY) System; State University of New York (SUNY) Stony Brook; University of Washington; University of Washington Seattle; University of British Columbia; University of Washington; University of Washington Seattle; University of St Andrews; Ifremer; Institut de Recherche pour le Developpement (IRD); Universite de Montpellier; Oregon State University; University System of Maryland; University of Maryland Center for Environmental Science; University of California System; University of California Santa Cruz; Commonwealth Scientific &amp; Industrial Research Organisation (CSIRO); University of Tasmania; University of Maine System; University of Maine Orono</t>
  </si>
  <si>
    <t>Rountos, KJ (corresponding author), SUNY Stony Brook, Sch Marine &amp; Atmospher Sci, Discovery Hall 165, Stony Brook, NY 11794 USA.</t>
  </si>
  <si>
    <t>krountos@gmail.com</t>
  </si>
  <si>
    <t>Watson, Reg A/F-4850-2012; Pauly, Daniel Marc/AAY-2316-2021; Houde, Edward D./D-8498-2012; Sumaila, U. Rashid/ABE-6475-2020; Plaganyi, Eva E/C-5130-2011</t>
  </si>
  <si>
    <t>Watson, Reg A/0000-0001-7201-8865; Plaganyi, Eva E/0000-0002-4740-4200; Cury, philippe/0000-0002-4622-4208; Pauly, Daniel/0000-0003-3756-4793; Rountos, Konstantine/0000-0002-9277-5473</t>
  </si>
  <si>
    <t>Lenfest Ocean Program</t>
  </si>
  <si>
    <t>This work was supported by a grant from the Lenfest Ocean Program to E.K.P. and the research was conducted under the auspices of the Lenfest Forage Fish Task Force. This manuscript represents a portion of the Ph.D. dissertation research of K.J.R. at Stony Brook University. The authors would like to specifically thank the Sea Around Us project, a joint activity of the University of British Columbia and the Pew Environment Group, and L. Morissette for providing access to data essential to this work. Thanks also go to C. Perretti, S. Rahman and J. Rice for help in this analysis and fruitful discussions. Two anonymous reviewers are acknowledged and thanked for their comments which improved this manuscript.</t>
  </si>
  <si>
    <t>1467-2960</t>
  </si>
  <si>
    <t>1467-2979</t>
  </si>
  <si>
    <t>FISH FISH</t>
  </si>
  <si>
    <t>Fish. Fish.</t>
  </si>
  <si>
    <t>10.1111/faf.12004</t>
  </si>
  <si>
    <t>Fisheries</t>
  </si>
  <si>
    <t>284EW</t>
  </si>
  <si>
    <t>WOS:000329299900003</t>
  </si>
  <si>
    <t>Emery, TJ; Hartmann, K; Green, BS; Gardner, C; Tisdell, J</t>
  </si>
  <si>
    <t>Emery, Timothy J.; Hartmann, Klaas; Green, Bridget S.; Gardner, Caleb; Tisdell, John</t>
  </si>
  <si>
    <t>Does 'race to fish' behaviour emerge in an individual transferable quota fishery when the total allowable catch becomes non-binding?</t>
  </si>
  <si>
    <t>Behaviour; ITQ; quota; race to fish; southern rock lobster; TAC</t>
  </si>
  <si>
    <t>MANAGEMENT; ITQS; RIGHTS; SUCCESS; COMMONS; MARKET</t>
  </si>
  <si>
    <t>Successful individual transferable quota (ITQ) management requires a binding (constraining) total allowable catch (TAC). A non-binding TAC may result in a shift back towards open access conditions, where fishers increasingly compete (race') to catch their share of the total harvest. This process was examined by comparing fishing fleet behaviour and profitability in the Tasmanian southern rock lobster (Jasus edwardsii) fishery (TSRLF), Australia. Between 2008 and 2010, the TSRLF had a non-binding TAC and effectively reverted to a regulated, limited-entry fishery. Fishers' uncertainty about future profitability and their ability to take their allocated catch weakened the security characteristic of the ITQ allocation. The low quota lease price contributed to an increase in fleet capacity, while the more limited reduction in quota asset value proved an investment barrier, hindering the autonomous adjustment of quota towards the most efficient fishers. In the TSRLF, catch rates vary more than beach price and are therefore more important for determining daily revenue (i.e., price x catch rate) than market price. Consequently, fishers concentrated effort during times of higher catch rates rather than high market demand. This increased rent dissipation as fishers engaged in competitive race to fish to be the first to exploit the stock and obtain higher catch rates. The history of this fishery emphasizes the need for a constraining TAC in all ITQ fisheries, not only for stock management, but also to manage the security of the ITQ allocation and prevent unanticipated and undesirable changes in fisher behaviour and fishery profitability.</t>
  </si>
  <si>
    <t>[Emery, Timothy J.; Hartmann, Klaas; Green, Bridget S.; Gardner, Caleb] Univ Tasmania, Inst Marine &amp; Antarctic Studies, Hobart, Tas 7001, Australia; [Tisdell, John] Univ Tasmania, Sch Econ &amp; Finance, Hobart, Tas 7001, Australia</t>
  </si>
  <si>
    <t>University of Tasmania; University of Tasmania</t>
  </si>
  <si>
    <t>Emery, TJ (corresponding author), Univ Tasmania, Inst Marine &amp; Antarctic Studies, Private Bag 49, Hobart, Tas 7001, Australia.</t>
  </si>
  <si>
    <t>timothy.emery@utas.edu.au</t>
  </si>
  <si>
    <t>Hartmann, Klaas/B-3991-2008; Green, Bridget S/G-3368-2014; Gardner, Caleb/I-7086-2013</t>
  </si>
  <si>
    <t>Emery, Timothy/0000-0002-4203-671X; Gardner, Caleb/0000-0003-0324-4337; Tisdell, John/0000-0001-9949-1644</t>
  </si>
  <si>
    <t>University of Tasmania; Seafood Cooperative Research Centre in Australia</t>
  </si>
  <si>
    <t>This research was funded through postgraduate scholarships from the University of Tasmania and the Seafood Cooperative Research Centre in Australia. The authors would like to thank two anonymous reviewers whose comments greatly improved the clarity of the manuscript.</t>
  </si>
  <si>
    <t>10.1111/faf.12015</t>
  </si>
  <si>
    <t>WOS:000329299900007</t>
  </si>
  <si>
    <t>Egidi, E; de Hoog, GS; Isola, D; Onofri, S; Quaedvlieg, W; de Vries, M; Verkley, GJM; Stielow, JB; Zucconi, L; Selbmann, L</t>
  </si>
  <si>
    <t>Egidi, E.; de Hoog, G. S.; Isola, D.; Onofri, S.; Quaedvlieg, W.; de Vries, M.; Verkley, G. J. M.; Stielow, J. B.; Zucconi, L.; Selbmann, L.</t>
  </si>
  <si>
    <t>Phylogeny and taxonomy of meristematic rock-inhabiting black fungi in the Dothideomycetes based on multi-locus phylogenies</t>
  </si>
  <si>
    <t>Black yeasts; Capnodiales; Meristematic fungi; Microcolonial fungi; Phylogeny; Taxonomy</t>
  </si>
  <si>
    <t>MICROCOLONIAL FUNGI; MARBLE; LIFE; BIODETERIORATION; DIVERSITY; EVOLUTION; SURVIVAL; ECOLOGY; LICHENS; LINEAGE</t>
  </si>
  <si>
    <t>The last decade has revealed an unexpected fungal diversity associated with natural rocks, often collected in environments influenced by harsh climatic conditions. Yet the phylogenetic affiliations and the taxonomy of many of these extreme fungi, mainly within Dothideomycetes, the largest class of Ascomycota, have only partially been described. In the present study we confirm that most rock inhabiting-fungi (RIF) are highly polyphyletic among Dothideomycetidae, mainly within the order Capnodiales, an order otherwise incorporating several families of major plant pathological importance. Novel taxa were identified within the two major and distinct clades of Teratosphaeriaceae, both comprising meristematic black fungi. Thirty one novel species and 13 new genera are proposed, based on ITS and partial nucLSU, RPB2 and BT2 sequences.</t>
  </si>
  <si>
    <t>[Egidi, E.; Isola, D.; Onofri, S.; Zucconi, L.; Selbmann, L.] Univ Tuscia, Dipartimento Sci Ecol &amp; Biol DEB, I-01100 Viterbo, Italy; [Egidi, E.; de Hoog, G. S.; Quaedvlieg, W.; de Vries, M.; Verkley, G. J. M.; Stielow, J. B.] KNAW Fungal Biodivers Ctr, Centraalbur Schimmelcultures, Utrecht, Netherlands</t>
  </si>
  <si>
    <t>Tuscia University; Royal Netherlands Academy of Arts &amp; Sciences; Westerdijk Fungal Biodiversity Institute (KNAW)</t>
  </si>
  <si>
    <t>Selbmann, L (corresponding author), Univ Tuscia, Dipartimento Sci Ecol &amp; Biol DEB, I-01100 Viterbo, Italy.</t>
  </si>
  <si>
    <t>Zucconi, L./U-9781-2018; Isola, Daniela/AAX-5814-2020; Egidi, Eleonora/AAG-7513-2020</t>
  </si>
  <si>
    <t>Zucconi, L./0000-0001-9793-2303; Isola, Daniela/0000-0002-5069-6056; Egidi, Eleonora/0000-0002-1211-2355; ONOFRI, Silvano/0000-0001-8872-1440</t>
  </si>
  <si>
    <t>Italian National Antarctic Museum Felice Ippolito; MIUR-PRIN; Royal Dutch Academy of Arts and Science (KNAW); Fonds voor Economische Stuctuurversterking (FES); grant 'Barcoding the CBS collections'</t>
  </si>
  <si>
    <t>Italian National Antarctic Museum Felice Ippolito; MIUR-PRIN(Ministry of Education, Universities and Research (MIUR)Research Projects of National Relevance (PRIN)); Royal Dutch Academy of Arts and Science (KNAW); Fonds voor Economische Stuctuurversterking (FES); grant 'Barcoding the CBS collections'</t>
  </si>
  <si>
    <t>The authors would like to thank PNRA (Italian National Program for Antarctic Research) for supporting sample collecting in the Antarctic, and the Italian National Antarctic Museum Felice Ippolito for supporting CCFEE (Culture Collection of Fungi From Extreme Environments). MIUR-PRIN 2008 is gratefully acknowledged for financial support concerning RIF studies in Italian Alps and Apennines. Laboratory work at the CBS was financed by the Royal Dutch Academy of Arts and Science (KNAW) and the Fonds voor Economische Stuctuurversterking (FES) with the grant 'Barcoding the CBS collections'. Special thanks are due to Lorenzo Serafini, Karin Pizzinini, Marcello Cominetti, Marco Heltai and Andrea Serafini for collecting rock samples. Mattia Tomassini Barbarossa is acknowledged for giving us permission to sample from Boyl Palace in Cagliari; Monika Laichmanova for providing strains isolated from the Antarctic Peninsula; Costantino Ruibal for providing strains from Spain.</t>
  </si>
  <si>
    <t>10.1007/s13225-013-0277-y</t>
  </si>
  <si>
    <t>WOS:000333258100008</t>
  </si>
  <si>
    <t>Adriaenssens, EM; Guerrero, LD; Makhalanyane, TP; Aisiabie, JM; Cowan, DA</t>
  </si>
  <si>
    <t>Adriaenssens, Evelien M.; Guerrero, Leandro D.; Makhalanyane, Thulani P.; Aisiabie, Jackie M.; Cowan, Don A.</t>
  </si>
  <si>
    <t>Draft Genome Sequence of the Aromatic Hydrocarbon-Degrading Bacterium Sphingobium sp. Strain Ant17, Isolated from Antarctic Soil</t>
  </si>
  <si>
    <t>GENOME ANNOUNCEMENTS</t>
  </si>
  <si>
    <t>Here, we present the draft genome sequence of Sphingobium sp. strain Ant17, an aromatic hydrocarbon-degrading bacterium that was isolated from Antarctic oil-contaminated soil. An analysis of this genome can lead to insights into the mechanisms of xenobiotic degradation processes at low temperatures and potentially aid in bioremediation applications.</t>
  </si>
  <si>
    <t>[Adriaenssens, Evelien M.; Guerrero, Leandro D.; Makhalanyane, Thulani P.; Cowan, Don A.] Univ Pretoria, Ctr Microbial Ecol &amp; Genom, Pretoria, South Africa; [Aisiabie, Jackie M.] Landcare Res, Hamilton, New Zealand</t>
  </si>
  <si>
    <t>University of Pretoria; Landcare Research - New Zealand</t>
  </si>
  <si>
    <t>Adriaenssens, EM (corresponding author), Univ Pretoria, Ctr Microbial Ecol &amp; Genom, Pretoria, South Africa.</t>
  </si>
  <si>
    <t>evelien.adriaenssens@gmail.com; don.cowan@up.ac.za</t>
  </si>
  <si>
    <t>Cowan, Donald A/E-3991-2012; Adriaenssens, Evelien/E-8004-2013; Makhalanyane, Thulani P./C-6815-2012</t>
  </si>
  <si>
    <t>Cowan, Donald A/0000-0001-8059-861X; Adriaenssens, Evelien/0000-0003-4826-5406; Makhalanyane, Thulani P./0000-0002-8173-1678</t>
  </si>
  <si>
    <t>South African National Research Foundation; University of Pretoria Vice-Chancellor's Postdoctoral Fellowship Program; Genomics Research Institute of the University of Pretoria; Ministry of Business Innovation and Employment, New Zealand [C09X0307, C09X1001]; New Zealand Ministry of Business, Innovation &amp; Employment (MBIE) [C09X1001] Funding Source: New Zealand Ministry of Business, Innovation &amp; Employment (MBIE)</t>
  </si>
  <si>
    <t>South African National Research Foundation(National Research Foundation - South Africa); University of Pretoria Vice-Chancellor's Postdoctoral Fellowship Program; Genomics Research Institute of the University of Pretoria; Ministry of Business Innovation and Employment, New Zealand(New Zealand Ministry of Business, Innovation and Employment (MBIE)); New Zealand Ministry of Business, Innovation &amp; Employment (MBIE)(New Zealand Ministry of Business, Innovation and Employment (MBIE))</t>
  </si>
  <si>
    <t>We thank the following organizations for financial support: the South African National Research Foundation, the University of Pretoria Vice-Chancellor's Postdoctoral Fellowship Program (to E.M.A.), the Genomics Research Institute of the University of Pretoria (to E.M.A., L.D.G., T.P.M., and D.A.C.), the Ministry of Business Innovation and Employment, New Zealand (projects C09X0307 and C09X1001 to J.M.A.), and Antarctica New Zealand for field and logistics support.</t>
  </si>
  <si>
    <t>AMER SOC MICROBIOLOGY</t>
  </si>
  <si>
    <t>1752 N ST NW, WASHINGTON, DC 20036-2904 USA</t>
  </si>
  <si>
    <t>2169-8287</t>
  </si>
  <si>
    <t>Genom. Ann.</t>
  </si>
  <si>
    <t>e00212-14</t>
  </si>
  <si>
    <t>10.1128/genomeA.00212-14</t>
  </si>
  <si>
    <t>VI1CQ</t>
  </si>
  <si>
    <t>WOS:000460592200078</t>
  </si>
  <si>
    <t>Aliyu, H; De Maayer, P; Rees, J; Tuffin, M; Cowan, DA</t>
  </si>
  <si>
    <t>Aliyu, Habibu; De Maayer, Pieter; Rees, Jasper; Tuffin, Marla; Cowan, Don A.</t>
  </si>
  <si>
    <t>Draft Genome Sequence of the Antarctic Polyextremophile Nesterenkonia sp. Strain AN1</t>
  </si>
  <si>
    <t>Nesterenkonia sp. strain AN1 was isolated from Antarctic soil and is a polyextremophile, being tolerant of low temperatures, high salt concentrations, and high alkalinity. Here we report the draft genome sequence of this strain.</t>
  </si>
  <si>
    <t>[Aliyu, Habibu; De Maayer, Pieter; Cowan, Don A.] Univ Pretoria, Ctr Microbial Ecol &amp; Genom, Pretoria, South Africa; [Rees, Jasper] Agr Res Council, Biotechnol Platform, Onderstepoort, South Africa; [Tuffin, Marla] Univ Western Cape, IMBM, Cape Town, South Africa</t>
  </si>
  <si>
    <t>University of Pretoria; Agricultural Research Council of South Africa; University of the Western Cape</t>
  </si>
  <si>
    <t>Cowan, DA (corresponding author), Univ Pretoria, Ctr Microbial Ecol &amp; Genom, Pretoria, South Africa.</t>
  </si>
  <si>
    <t>don.cowan@up.ac.za</t>
  </si>
  <si>
    <t>De Maayer, Pieter/AAC-2732-2020; Cowan, Donald A/E-3991-2012; Aliyu, Habibu/AFU-6931-2022; Trindade, Marla/AAU-9730-2020; De Maayer, Pieter/A-9281-2010; Aliyu, Habibu/AAV-7027-2020; Rees, David Jasper Gilbert/AAZ-8073-2020</t>
  </si>
  <si>
    <t>Cowan, Donald A/0000-0001-8059-861X; Aliyu, Habibu/0000-0002-9870-8167; Trindade, Marla/0000-0002-2478-0270; Rees, David Jasper Gilbert/0000-0003-3321-1325; De Maayer, Pieter/0000-0001-8550-642X</t>
  </si>
  <si>
    <t>National Research Foundation-South African National Antarctic Research Programme (NRF-SANAP) [80256]; Genomics Research Institute (GRI), University of Pretoria</t>
  </si>
  <si>
    <t>National Research Foundation-South African National Antarctic Research Programme (NRF-SANAP); Genomics Research Institute (GRI), University of Pretoria</t>
  </si>
  <si>
    <t>This project was partially supported by the National Research Foundation-South African National Antarctic Research Programme (NRF-SANAP) (award 80256) and the Genomics Research Institute (GRI), University of Pretoria.</t>
  </si>
  <si>
    <t>e00197-14</t>
  </si>
  <si>
    <t>10.1128/genomeA.00197-14</t>
  </si>
  <si>
    <t>WOS:000460592200066</t>
  </si>
  <si>
    <t>Chen, ZQ; Wang, XD; Richards, B; Aretz, M</t>
  </si>
  <si>
    <t>Chen, Zhong-Qiang; Wang, Xiangdong; Richards, Barry; Aretz, Markus</t>
  </si>
  <si>
    <t>Multidisciplinary studies of global Carboniferous stage boundaries: towards a better definition and global correlations: an introduction</t>
  </si>
  <si>
    <t>GEOLOGICAL MAGAZINE</t>
  </si>
  <si>
    <t>Earth was very dynamic during the Carboniferous with major components of the Pangea supercontinent being assembled from late Famennian to latest Pennsylvanian times, although maximum consolidation occurred during Late Permian - Early Triassic time. During the Carboniferous Period, our planet also underwent at least three major icehouse periods. The first two, in late Famennian - early Tournaisian and late Visean - Bashkirian times, indicate the onset of the Late Palaeozoic Ice Age (LPIA) with ice sheets being confined to the alpine regions of southern Gondwana. The third icehouse regime during Gzhelian - Early Permian time represents the main episode of the LPIA when a continental ice sheet developed on the Australian, Antarctic and southern African components of southern Gondwana. During the Tournaisian equatorial areas in Euramerica were occupied by extensive arid belts, in which massive carbonate deposits formed on vast platforms in that time. From the late Tournaisian into the Visean and Serpukhovian much of the equatorial belt developed into a humid-tropical realm and the former arid belt split and shifted to higher latitudes. Shelf-carbonate deposition continued over extensive areas of the continental shelves and western Palaeo-Tethys but coal swamps were developing in the forelands of the rising Appalachian and Variscan orogens. The late Serpukhovian - early Bashkirian interval saw the closure of the Rheic Ocean and a continent-continent collision between Euramerica (Laurussia) and Gondwana to form Pangea. As a consequence, a marked transition from Visean carbonate deposition to the development of coal swamps and deposition of siliciclastics during the Serpukhovian Stage occurred in many regions.</t>
  </si>
  <si>
    <t>[Chen, Zhong-Qiang] China Univ Geosci, State Key Lab Biogeol &amp; Environm Geol, Wuhan 430074, Peoples R China; [Wang, Xiangdong] Chinese Acad Sci, Nanjing Inst Geol &amp; Palaeontol, State Key Lab Paleobiol &amp; Stratig, Nanjing 21008, Jiangsu, Peoples R China; [Richards, Barry] Geol Survey Canada, Calgary, AB T2L 2A7, Canada; [Aretz, Markus] Univ Toulouse UPS, GET OMP, F-31400 Toulouse, France</t>
  </si>
  <si>
    <t>China University of Geosciences; Chinese Academy of Sciences; Natural Resources Canada; Lands &amp; Minerals Sector - Natural Resources Canada; Geological Survey of Canada; Universite Federale Toulouse Midi-Pyrenees (ComUE); Universite de Toulouse; Universite Toulouse III - Paul Sabatier</t>
  </si>
  <si>
    <t>Chen, ZQ (corresponding author), China Univ Geosci, State Key Lab Biogeol &amp; Environm Geol, Wuhan 430074, Peoples R China.</t>
  </si>
  <si>
    <t>zhong.qiang.chen@uwa.edu.au</t>
  </si>
  <si>
    <t>Chen, Zhong-Qiang/F-1667-2016; wang, xiao/HGB-7081-2022; Aretz, Markus/D-3481-2009</t>
  </si>
  <si>
    <t>Chen, Zhong-Qiang/0000-0001-5341-6913; wang, xiao/0000-0002-4088-3341; Aretz, Markus/0000-0002-7260-7640</t>
  </si>
  <si>
    <t>0016-7568</t>
  </si>
  <si>
    <t>1469-5081</t>
  </si>
  <si>
    <t>GEOL MAG</t>
  </si>
  <si>
    <t>Geol. Mag.</t>
  </si>
  <si>
    <t>10.1017/S0016756813001155</t>
  </si>
  <si>
    <t>AB2DH</t>
  </si>
  <si>
    <t>WOS:000331602700001</t>
  </si>
  <si>
    <t>Van Daele, M; Moernaut, J; Silversmit, G; Schmidt, S; Fontijn, K; Heirman, K; Vandoorne, W; De Clercq, M; Van Acker, J; Wolff, C; Pino, M; Urrutia, R; Roberts, SJ; Vincze, L; De Batist, M</t>
  </si>
  <si>
    <t>Van Daele, M.; Moernaut, J.; Silversmit, G.; Schmidt, S.; Fontijn, K.; Heirman, K.; Vandoorne, W.; De Clercq, M.; Van Acker, J.; Wolff, C.; Pino, M.; Urrutia, R.; Roberts, S. J.; Vincze, L.; De Batist, M.</t>
  </si>
  <si>
    <t>The 600 yr eruptive history of Villarrica Volcano (Chile) revealed by annually laminated lake sediments</t>
  </si>
  <si>
    <t>GEOLOGICAL SOCIETY OF AMERICA BULLETIN</t>
  </si>
  <si>
    <t>HOLOCENE TEPHROCHRONOLOGY; SOUTHERN ANDES; ZONE; PUYEHUE; RECORD; EARTHQUAKES; ICALMA</t>
  </si>
  <si>
    <t>Lake sediments contain valuable information about past volcanic and seismic events that have affected the lake catchment, and they provide unique records of the recurrence interval and magnitude of such events. This study uses a multilake and multiproxy analytical approach to obtain reliable and high-resolution records of past natural catastrophes from similar to 600-yr-old annually laminated (varved) lake sediment sequences extracted from two lakes, Villarrica and Calafquen, in the volcanically and seismically active Chilean Lake District. Using a combination of micro-X-ray fluorescence (mu XRF) scanning, microfacies analysis, grain-size analysis, color analysis, and magnetic-susceptibility measurements, we detect and characterize four different types of event deposits (lacustrine turbidites, tephra-fall layers, runoff cryptotephras, and lahar deposits) and produce a revised eruption record for Villarrica Volcano, which is unprecedented in its continuity and temporal resolution. Glass geochemistry and mineralogy also reveal deposits of eruptions from the more remote Carran-Los Venados volcanic complex, Quetrupillan Volcano, and the Huanquihue Group in the studied lake sediments. Time-series analysis shows 112 eruptions with a volcanic explosivity index (VEI) &gt;= 2 from Villarrica Volcano in the last similar to 600 yr, of which at least 22 also produced lahars. This significantly expands our knowledge of the eruptive frequency of the volcano in this time window, compared to the previously known eruptive history from historical records. The last VEI &gt;= 2 eruption of Villarrica Volcano occurred in 1991. Based on the last similar to 500 yr, for which we have a complete record from both lakes, we estimate the probability of the occurrence of future eruptions from Villarrica Volcano and statistically demonstrate that the probability of a 22 yr repose period (anno 2013) without VEI &gt;= 2 eruptions is &lt;= 1.7%. This new perspective on the recurrence interval of eruptions and historical lahar activity will help improve volcanic hazard assessments for this rapidly expanding tourist region, and it highlights how lake records can be used to significantly improve historical eruption records in areas that were previously uninhabited.</t>
  </si>
  <si>
    <t>[Van Daele, M.; Moernaut, J.; Heirman, K.; Vandoorne, W.; De Clercq, M.; De Batist, M.] Univ Ghent, Dept Geol &amp; Soil Sci, Renard Ctr Marine Geol, B-9000 Ghent, Belgium; [Moernaut, J.] ETH, Inst Geol, CH-8092 Zurich, Switzerland; [Silversmit, G.; Vincze, L.] Univ Ghent, Dept Analyt Chem, Xray Microspect &amp; Imaging Grp XMI, B-9000 Ghent, Belgium; [Schmidt, S.] Univ Bordeaux 1, CNRS, Environm &amp; Paleoenvironm Ocean EPOC, F-33405 Talence, France; [Fontijn, K.] Univ Oxford, Dept Earth Sci, Oxford OX1 3AN, England; [Van Acker, J.] Univ Ghent, Dept Forest &amp; Water Management, B-9000 Ghent, Belgium; [Wolff, C.] Helmholtz Ctr Potsdam, GeoForschungsZentrum GFZ, German Res Ctr Geosci, D-14473 Potsdam, Germany; [Pino, M.] Univ Austral Chile, Inst Geociencias, Valdivia, Chile; [Urrutia, R.] Univ Concepcion, Ctr Ciencias Ambientales Europa Latin Amer EULA, Concepcion, Chile; [Vincze, L.] British Antarctic Survey, Cambridge CB3 0ET, England</t>
  </si>
  <si>
    <t>Ghent University; Swiss Federal Institutes of Technology Domain; ETH Zurich; Ghent University; Centre National de la Recherche Scientifique (CNRS); Universite de Bordeaux; University of Oxford; Ghent University; Helmholtz Association; Helmholtz-Center Potsdam GFZ German Research Center for Geosciences; Universidad Austral de Chile; Universidad de Concepcion; UK Research &amp; Innovation (UKRI); Natural Environment Research Council (NERC); NERC British Antarctic Survey</t>
  </si>
  <si>
    <t>Van Daele, M (corresponding author), Univ Ghent, Dept Geol &amp; Soil Sci, Renard Ctr Marine Geol, Krijgslaan 281-S8, B-9000 Ghent, Belgium.</t>
  </si>
  <si>
    <t>maarten.vandaele@ugent.be</t>
  </si>
  <si>
    <t>Schmidt, Sabine/G-1193-2013; Pino, Mario/KHD-8448-2024; De Batist, Marc/F-5722-2012; Vincze, Laszlo/AAP-3914-2020; Fontijn, Karen/A-2720-2012; Van Daele, Maarten/C-9353-2012; Moernaut, Jasper/R-5188-2018; Pino, Mario/GPP-7219-2022; Van Acker, Joris/AAS-6030-2020</t>
  </si>
  <si>
    <t>Schmidt, Sabine/0000-0002-5985-9747; Pino, Mario/0000-0001-6181-353X; De Batist, Marc/0000-0002-1625-2080; Fontijn, Karen/0000-0001-7218-4513; Van Daele, Maarten/0000-0002-8530-4438; Moernaut, Jasper/0000-0003-3164-4274; Van Acker, Joris/0000-0002-8961-0176; Silversmit, Geert/0000-0003-1104-1839; Roberts, Stephen/0000-0003-3407-9127; Heirman, Katrien/0000-0001-6832-8385</t>
  </si>
  <si>
    <t>Research Foundation Flanders (FWO-Vlaanderen); Ghent University (BOF); Geological Society of America (GSA) Limnogeology Division; International Association of Sedimentologists; Natural Environment Research Council [NE/I013210/1]; Swiss National Science Foundation [133481]; Natural Environment Research Council [NE/I013210/1, bas0100027, bas0100024] Funding Source: researchfish; NERC [NE/I013210/1, bas0100024, bas0100027] Funding Source: UKRI</t>
  </si>
  <si>
    <t>Research Foundation Flanders (FWO-Vlaanderen)(FWO); Ghent University (BOF)(Ghent University); Geological Society of America (GSA) Limnogeology Division; International Association of Sedimentologists; Natural Environment Research Council(UK Research &amp; Innovation (UKRI)Natural Environment Research Council (NERC)); Swiss National Science Foundation(Swiss National Science Foundation (SNSF)); Natural Environment Research Council(UK Research &amp; Innovation (UKRI)Natural Environment Research Council (NERC)); NERC(UK Research &amp; Innovation (UKRI)Natural Environment Research Council (NERC))</t>
  </si>
  <si>
    <t>This research was funded mainly by the Research Foundation Flanders (FWO-Vlaanderen) and by the Special Research Fund of Ghent University (BOF). We thank the Geological Society of America (GSA) Limnogeology Division for the Kerry Kelts award and International Association of Sedimentologists for a postgraduate student grant, both used in the last field season. M. Vincx is acknowledged for the use of the Malvern Mastersizer 2000. We thank Ph. De Smedt for sharing the Bartington MSE2 point sensor. Special thanks go to J. Jurceka for help during thin-section preparation and to P. Van den Haute for putting the thin-section laboratory at our disposal. We are grateful to V. Cnudde for use of the petrographic microscope and J. Mortier for help with the use of the scanning electron microscope. We thank N. Fagel for performing the X-ray diffraction measurements. We are grateful to R. Brummer for help with logistics, etc., in Valdivia. Finally, we thank A. Pena for invaluable assistance in the field. We acknowledge the constructive reviews by W. Scott and three anonymous reviewers. K. Fontijn was supported by Natural Environment Research Council grant NE/I013210/1. J. Moernaut acknowledges the support of the Research Foundation Flanders (FWO-Vlaanderen) and the Swiss National Science Foundation (grant 133481). M. Van Daele acknowledges the support of the Research Foundation Flanders (FWO-Vlaanderen).</t>
  </si>
  <si>
    <t>0016-7606</t>
  </si>
  <si>
    <t>1943-2674</t>
  </si>
  <si>
    <t>GEOL SOC AM BULL</t>
  </si>
  <si>
    <t>Geol. Soc. Am. Bull.</t>
  </si>
  <si>
    <t>3-4</t>
  </si>
  <si>
    <t>10.1130/B30798.1</t>
  </si>
  <si>
    <t>AO2YC</t>
  </si>
  <si>
    <t>Green Accepted, Green Submitted</t>
  </si>
  <si>
    <t>WOS:000341192900014</t>
  </si>
  <si>
    <t>Sugden, DE; Fogwill, CJ; Hein, AS; Stuart, FM; Kerr, AR; Kubik, PW</t>
  </si>
  <si>
    <t>Sugden, D. E.; Fogwill, C. J.; Hein, A. S.; Stuart, F. M.; Kerr, A. R.; Kubik, P. W.</t>
  </si>
  <si>
    <t>Emergence of the Shackleton Range from beneath the Antarctic Ice Sheet due to glacial erosion</t>
  </si>
  <si>
    <t>Antarctic Ice Sheet; Fjord evolution; Glacial erosion; Cosmogenic nuclides; Shackleton Range; Passive margin</t>
  </si>
  <si>
    <t>CENOZOIC LANDSCAPE EVOLUTION; HALF-LIFE; BE-10; MOUNTAINS; HISTORY; SURFACE; AREA; FLOW</t>
  </si>
  <si>
    <t>This paper explores the long-term evolution of a subglacial fjord landscape in the Shackleton Range, Antarctica. We propose that prolonged ice-sheet erosion across a passive continental margin caused troughs to deepen and lower the surrounding ice-sheet surface, leaving adjacent mountains exposed. Geomorphological evidence suggests a change in the direction of regional ice flow accompanied emergence. Simple calculations suggest that isostatic compensation caused by the deepening of bounding ice-stream troughs lowered the ice-sheet surface relative to the mountains by -800 m. Use of multiple cosmogenic isotopes ontedrock and erratics (26A1, loBe, 21Ne) provides evidence that overriding of the massif and the deepening of the adjacent troughs occurred earlier than the Quaternary. Perhaps this occurred in the mid-Miocene, as elsewhere in East Antarctica in the McMurdo Dry Valleys and the Lambert basin. The implication is that glacial erosion instigates feedback that can change icesheet thickness, extent, and direction of flow. Indeed, as the subglacial troughs evolve over millions of years, they increase topographic relief; and this changes the dynamics of the ice sheet. (C) 2013 Elsevier B.V. All rights reserved.</t>
  </si>
  <si>
    <t>[Sugden, D. E.; Hein, A. S.; Kerr, A. R.] Univ Edinburgh, Sch GeoSci, Edinburgh EH8 9XP, Midlothian, Scotland; [Fogwill, C. J.] Univ New S Wales, Sch Biol Earth &amp; Environm Sci, Climate Change Res Ctr, Sydney, NSW, Australia; [Stuart, F. M.] Scottish Univ Environm Res Ctr, E Kilbride G75 0QF, Lanark, Scotland; [Kubik, P. W.] ETH, Lab Ion Beam Phys, CH-8093 Zurich, Switzerland</t>
  </si>
  <si>
    <t>University of Edinburgh; University of New South Wales Sydney; Scottish Universities Research &amp; Reactor Center; Swiss Federal Institutes of Technology Domain; ETH Zurich</t>
  </si>
  <si>
    <t>Sugden, DE (corresponding author), Univ Edinburgh, Sch GeoSci, Drummond St, Edinburgh EH8 9XP, Midlothian, Scotland.</t>
  </si>
  <si>
    <t>david.sugden@ed.ac.uk</t>
  </si>
  <si>
    <t>Fogwill, Chris/AAW-3502-2021; Stuart, Finlay M/E-7417-2010; Fogwill, Christopher/HPF-1150-2023; Hein, Andrew/JWO-3756-2024</t>
  </si>
  <si>
    <t>Fogwill, Chris/0000-0002-6471-1106; Hein, Andrew/0000-0003-3397-3813</t>
  </si>
  <si>
    <t>UK Natural Environment Research Council (NERC); Australian Research Council (ARC); Antarctic Logistics and Expeditions (ALE); NERC [NE/I025840/1, NE/E018254/1] Funding Source: UKRI; Natural Environment Research Council [NE/I025840/1, NE/E018254/1] Funding Source: researchfish</t>
  </si>
  <si>
    <t>UK Natural Environment Research Council (NERC)(UK Research &amp; Innovation (UKRI)Natural Environment Research Council (NERC)); Australian Research Council (ARC)(Australian Research Council); Antarctic Logistics and Expeditions (ALE); NERC(UK Research &amp; Innovation (UKRI)Natural Environment Research Council (NERC)); Natural Environment Research Council(UK Research &amp; Innovation (UKRI)Natural Environment Research Council (NERC))</t>
  </si>
  <si>
    <t>We acknowledge the financial support of the UK Natural Environment Research Council (NERC), Australian Research Council (ARC), and Antarctic Logistics and Expeditions (ALE) for much of the logistic support. We thank Johan Kleman, Richard Marston and two anonymous referees for valuable comments on the paper.</t>
  </si>
  <si>
    <t>10.1016/j.geomorph.2013.12.004</t>
  </si>
  <si>
    <t>WOS:000332501000014</t>
  </si>
  <si>
    <t>Sánchez-Saldías, A; Fariña, RA</t>
  </si>
  <si>
    <t>Sanchez-Saldias, Andrea; Farina, Richard A.</t>
  </si>
  <si>
    <t>Palaeogeographic reconstruction of Minchin palaeolake system, South America: The influence of astronomical forcing</t>
  </si>
  <si>
    <t>GEOSCIENCE FRONTIERS</t>
  </si>
  <si>
    <t>Current palaeoclimatic reconstructions for the Rio de la Plata region during the latest Pleistocene (30,000 - 10,000 yr BP) propose dry conditions, with rainfall at the Last Glacial Maximum amounting to one-third of today's precipitation. Despite the consequential low primary productivity inferred, an impressive megafauna existed in the area at that time. Here we explore the influence of the flooding from a huge extinct system of water bodies in the Andean Altiplano as a likely source for wet regimes that might have increased the primary productivity and, hence, the vast number of megaherbivores. The system was reconstructed using specifically combined software resources, including Insola, Global Mapper v13, Surfer and Matlab. Changes in water volume and area covered were related to climatic change, assessed through a model of astronomical forcing that describes the changes in insolation at the top of the atmosphere in the last 50,000 yr BR The model was validated by comparing its results with several proxies (CH4, CO2, D, O-18) from dated cores taken from the ice covering Antarctic lakes Vostok and EPICA Dome C. It is concluded that the Altiplano Lake system drained towards the southeast in the rainy seasons and that it must have been a major source of water for the Parana-Plata Basin, consequently enhancing primary productivity within it. (C) 2013, China University of Geosciences (Beijing) and Peking University. Production and hosting by Elsevier B.V. All rights reserved.</t>
  </si>
  <si>
    <t>[Sanchez-Saldias, Andrea] Univ Republica, Fac Ciencias, Dept Astron, Montevideo 11400, Uruguay</t>
  </si>
  <si>
    <t>Sánchez-Saldías, A (corresponding author), Univ Republica, Fac Ciencias, Dept Astron, Igua 4225, Montevideo 11400, Uruguay.</t>
  </si>
  <si>
    <t>andrea@fisica.edu.uy</t>
  </si>
  <si>
    <t>Fariña, Richard/GRF-6009-2022</t>
  </si>
  <si>
    <t>CHINA UNIV GEOSCIENCES, BEIJING</t>
  </si>
  <si>
    <t>HAIDIAN DISTRICT</t>
  </si>
  <si>
    <t>29 XUEYUAN RD, HAIDIAN DISTRICT, 100083, PEOPLES R CHINA</t>
  </si>
  <si>
    <t>1674-9871</t>
  </si>
  <si>
    <t>GEOSCI FRONT</t>
  </si>
  <si>
    <t>Geosci. Front.</t>
  </si>
  <si>
    <t>10.1016/j.gsf.2013.06.004</t>
  </si>
  <si>
    <t>AD3KS</t>
  </si>
  <si>
    <t>gold</t>
  </si>
  <si>
    <t>WOS:000333138600010</t>
  </si>
  <si>
    <t>Han, Y; Huh, Y; Hong, S; Do Hur, S; Motoyama, H</t>
  </si>
  <si>
    <t>Han, Yeongcheol; Huh, Youngsook; Hong, Sungmin; Do Hur, Soon; Motoyama, Hideaki</t>
  </si>
  <si>
    <t>Evidence of air-snow mercury exchange recorded in the snowpack at Dome Fuji, Antarctica</t>
  </si>
  <si>
    <t>GEOSCIENCES JOURNAL</t>
  </si>
  <si>
    <t>photochemical; Antarctic Plateau; Antarctic snow; total mercury</t>
  </si>
  <si>
    <t>GASEOUS ELEMENTAL MERCURY; ATMOSPHERIC MERCURY; ICE; DEPOSITION; VARIABILITY; RADIATION; EMISSIONS; DEPLETION; LEVEL; LAYER</t>
  </si>
  <si>
    <t>Measuring the mercury content in shallow Antarctic snow pits is useful for understanding the mercury dynamics of the Antarctic Plateau and the global mercury cycle and for interpreting ice core data. We determined the total mercury concentration (Hg-T) in snow samples successively collected at 5 cm intervals from two 4m deep snow pits at Dome Fuji. The measured mercury concentration varied between 0.32 (the detection limit) and 2.93 pg g(-1) (n = 160) with depth and was lower than that of summertime surface snow that was sampled simultaneously. This finding is consistent with previous observations that a bidirectional exchange of mercury between the snowpack and the atmosphere led to an increase in Hg-T in the surface snow during the summer. However, the contribution of the air-snow Hg exchange to the net Hg sequestration was offset by the intense re-emission of deposited mercury over the past similar to 50 years. Our results demonstrate that the Antarctic Plateau snowpack is a temporary reservoir of mercury rather than a permanent sink.</t>
  </si>
  <si>
    <t>[Han, Yeongcheol; Huh, Youngsook] Seoul Natl Univ, Sch Earth &amp; Environm Sci RIO, Seoul 151747, South Korea; [Han, Yeongcheol; Do Hur, Soon] Korea Polar Res Inst, Inchon 406840, South Korea; [Hong, Sungmin] Inha Univ, Dept Ocean Sci, Inchon 402751, South Korea; [Motoyama, Hideaki] Natl Inst Polar Res, Tokyo 1908518, Japan</t>
  </si>
  <si>
    <t>Seoul National University (SNU); Korea Polar Research Institute (KOPRI); Korea Institute of Ocean Science &amp; Technology (KIOST); Inha University; Research Organization of Information &amp; Systems (ROIS); National Institute of Polar Research (NIPR) - Japan</t>
  </si>
  <si>
    <t>Do Hur, S (corresponding author), Korea Polar Res Inst, Inchon 406840, South Korea.</t>
  </si>
  <si>
    <t>sdhur@kopri.re.kr</t>
  </si>
  <si>
    <t>Mid-Career Researcher Program through the National Research Foundation of Korea (NRF) [2010-0027586]; Ministry of Education, Science and Technology (MEST); KOPRI [PE12070]; Basic Science Research Program through the NRF [2012R1A1A2001832]; MEST; Japan Society for the Promotion of Science (JSPS) [20241007]; Grants-in-Aid for Scientific Research [20241007, 21221002] Funding Source: KAKEN</t>
  </si>
  <si>
    <t>Mid-Career Researcher Program through the National Research Foundation of Korea (NRF)(National Research Foundation of Korea); Ministry of Education, Science and Technology (MEST)(Ministry of Education, Science &amp; Technology (MEST), Republic of Korea); KOPRI(Korea Polar Research Institute of Marine Research Placement (KOPRI)); Basic Science Research Program through the NRF; MEST(Ministry of Education, Science &amp; Technology (MEST), Republic of Korea);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</si>
  <si>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traverse was fully supported by the teams of the 48th and 49th Japanese Antarctic Research Expeditions led by H. Miyaoka and S. Imura, respectively. We especially thanks members of the traverse, S. Fujita, H. Enomoto, S. Sugiyama, K. Fukui and F. Nakazawa, for their very generous support during the traverse. This work was supported by the Mid-Career Researcher Program (No. 2010-0027586) through the National Research Foundation of Korea (NRF) funded by the Ministry of Education, Science and Technology (MEST) and, a KOPRI research grant (No. PE12070). This research was also supported by the Basic Science Research Program (2012R1A1A2001832) through the NRF funded by the MEST, and the Japan Society for the Promotion of Science (JSPS) (research grant (A) 20241007).</t>
  </si>
  <si>
    <t>GEOLOGICAL SOCIETY KOREA</t>
  </si>
  <si>
    <t>NEW BLD RM 813, KSTC, 835-4, YEOKSAM-DONG, KANGNAM-GU, SEOUL, 135-703, SOUTH KOREA</t>
  </si>
  <si>
    <t>1226-4806</t>
  </si>
  <si>
    <t>1598-7477</t>
  </si>
  <si>
    <t>GEOSCI J</t>
  </si>
  <si>
    <t>Geosci. J.</t>
  </si>
  <si>
    <t>10.1007/s12303-013-0054-7</t>
  </si>
  <si>
    <t>AB7LW</t>
  </si>
  <si>
    <t>WOS:000331972600010</t>
  </si>
  <si>
    <t>Siegel, DA; Buesseler, KO; Doney, SC; Sailley, SF; Behrenfeld, MJ; Boyd, PW</t>
  </si>
  <si>
    <t>Siegel, D. A.; Buesseler, K. O.; Doney, S. C.; Sailley, S. F.; Behrenfeld, M. J.; Boyd, P. W.</t>
  </si>
  <si>
    <t>Global assessment of ocean carbon export by combining satellite observations and food-web models</t>
  </si>
  <si>
    <t>GLOBAL BIOGEOCHEMICAL CYCLES</t>
  </si>
  <si>
    <t>carbon cycle; biological pump; carbon export; remote sensing; food webs</t>
  </si>
  <si>
    <t>PARTICLE EXPORT; ORGANIC-CARBON; CASE-1 WATERS; PHYTOPLANKTON; FLUX; PRODUCTIVITY; TH-234; IMPACT; DYNAMICS; BIOMASS</t>
  </si>
  <si>
    <t>The export of organic carbon from the surface ocean by sinking particles is an important, yet highly uncertain, component of the global carbon cycle. Here we introduce a mechanistic assessment of the global ocean carbon export using satellite observations, including determinations of net primary production and the slope of the particle size spectrum, to drive a food-web model that estimates the production of sinking zooplankton feces and algal aggregates comprising the sinking particle flux at the base of the euphotic zone. The synthesis of observations and models reveals fundamentally different and ecologically consistent regional-scale patterns in export and export efficiency not found in previous global carbon export assessments. The model reproduces regional-scale particle export field observations and predicts a climatological mean global carbon export from the euphotic zone of similar to 6 Pg C yr(-1). Global export estimates show small variation (typically&lt;10%) to factor of 2 changes in model parameter values. The model is also robust to the choices of the satellite data products used and enables interannual changes to be quantified. The present synthesis of observations and models provides a path for quantifying the ocean's biological pump.</t>
  </si>
  <si>
    <t>[Siegel, D. A.] Univ Calif Santa Barbara, Earth Res Inst, Santa Barbara, CA 93106 USA; [Siegel, D. A.] Univ Calif Santa Barbara, Dept Geog, Santa Barbara, CA 93106 USA; [Buesseler, K. O.; Doney, S. C.] Woods Hole Oceanog Inst, Dept Marine Chem &amp; Geochem, Woods Hole, MA 02543 USA; [Sailley, S. F.] Plymouth Marine Lab, TMTF, Plymouth, Devon, England; [Behrenfeld, M. J.] Oregon State Univ, Dept Bot &amp; Plant Pathol, Corvallis, OR 97331 USA; [Boyd, P. W.] Univ Tasmania, Inst Marine &amp; Antarctic Studies, Hobart, Tas, Australia</t>
  </si>
  <si>
    <t>University of California System; University of California Santa Barbara; University of California System; University of California Santa Barbara; Woods Hole Oceanographic Institution; Plymouth Marine Laboratory; Oregon State University; University of Tasmania</t>
  </si>
  <si>
    <t>Siegel, DA (corresponding author), Univ Calif Santa Barbara, Earth Res Inst, Santa Barbara, CA 93106 USA.</t>
  </si>
  <si>
    <t>davey@eri.ucsb.edu</t>
  </si>
  <si>
    <t>Siegel, David A/C-5587-2008; Doney, Scott/F-9247-2010; Boyd, Philip/J-7624-2014</t>
  </si>
  <si>
    <t>Doney, Scott/0000-0002-3683-2437; Boyd, Philip/0000-0001-7850-1911; Siegel, David/0000-0003-1674-3055</t>
  </si>
  <si>
    <t>National Aeronautics and Space Administration [NNX11AF63G]; National Science Foundation through the Center for Microbial Oceanography: Research and Education (C-MORE) [NSF EF-0424599]; NERC [pml010006, pml010010] Funding Source: UKRI; Natural Environment Research Council [pml010006, pml010010] Funding Source: researchfish; Directorate For Geosciences; Division Of Ocean Sciences [1155813] Funding Source: National Science Foundation</t>
  </si>
  <si>
    <t>National Aeronautics and Space Administration(National Aeronautics &amp; Space Administration (NASA)); National Science Foundation through the Center for Microbial Oceanography: Research and Education (C-MORE)(National Science Foundation (NSF)); 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t>
  </si>
  <si>
    <t>D.A.S. and K.O.B. acknowledge support from the National Aeronautics and Space Administration (NNX11AF63G). S.C.D. and S.F.S. acknowledge support from the National Science Foundation through the Center for Microbial Oceanography: Research and Education (C-MORE) (NSF EF-0424599). Computational assistance from Erik Fields is gratefully acknowledged.</t>
  </si>
  <si>
    <t>0886-6236</t>
  </si>
  <si>
    <t>1944-9224</t>
  </si>
  <si>
    <t>GLOBAL BIOGEOCHEM CY</t>
  </si>
  <si>
    <t>Glob. Biogeochem. Cycle</t>
  </si>
  <si>
    <t>10.1002/2013GB004743</t>
  </si>
  <si>
    <t>Environmental Sciences; Geosciences, Multidisciplinary; Meteorology &amp; Atmospheric Sciences</t>
  </si>
  <si>
    <t>Environmental Sciences &amp; Ecology; Geology; Meteorology &amp; Atmospheric Sciences</t>
  </si>
  <si>
    <t>AE8PY</t>
  </si>
  <si>
    <t>WOS:000334265000001</t>
  </si>
  <si>
    <t>Cano-Sánchez, E; López-González, PJ</t>
  </si>
  <si>
    <t>Cano-Sanchez, E.; Lopez-Gonzalez, P. J.</t>
  </si>
  <si>
    <t>New findings and a new species of the genus Ammothea (Pycnogonida, Ammotheidae), with an updated identification key to all Antarctic and sub-Antarctic species</t>
  </si>
  <si>
    <t>HELGOLAND MARINE RESEARCH</t>
  </si>
  <si>
    <t>Antarctica; Subantarctica; Sea spider; Ammothea species; Key to species</t>
  </si>
  <si>
    <t>ROSS SEA; ARTHROPODA; WATERS; COLLECTION</t>
  </si>
  <si>
    <t>Specimens of the pycnogonid genus Ammothea collected during the Polarstern cruise XXIII/8 (23 November 2006-30 January 2007) were studied. Nine species were recognized in this collection: Ammothea bentartica, A. bicorniculata, A. carolinensis, A. clausi, A. longispina, A. minor, A. spinosa, A. striata and A. tibialis. Three of them (A. bentartica, A. bicorniculata and A. tibialis) are reported for the second time, enlarging their known geographical and bathymetric range. In the present contribution, the observed morphological variability of all collected Ammothea species is described and discussed. For the identification and description of the material, different museum specimens were consulted. Among them, we have consulted part of the Discovery collection housed at the Natural History Museum in London. That material was initially identified by Isabella Gordon, a reputed author in the field of pycnogonid taxonomy. A new species, based on a museum specimen previously highly confused in the literature, is proposed in the present contribution as Ammothea isabellae n. sp. The new taxon is compared with its closest congeners, especially with A. longispina and A. stylirostris. Finally, we propose an updated dichotomous key to species covering all currently known Antarctic and sub-Antarctic Ammothea species.</t>
  </si>
  <si>
    <t>[Cano-Sanchez, E.; Lopez-Gonzalez, P. J.] Univ Seville, Fac Biol, Dept Zool, E-41012 Seville, Spain</t>
  </si>
  <si>
    <t>University of Sevilla</t>
  </si>
  <si>
    <t>Cano-Sánchez, E (corresponding author), Univ Seville, Fac Biol, Dept Zool, Avda Reina Mercedes 6, E-41012 Seville, Spain.</t>
  </si>
  <si>
    <t>ecano@us.es; pjlopez@us.es</t>
  </si>
  <si>
    <t>Lopez-González, Pablo J./Y-6440-2018</t>
  </si>
  <si>
    <t>Lopez-González, Pablo J./0000-0002-7348-6270</t>
  </si>
  <si>
    <t>Polarstern ANT XXIII/8 - CLI-MANT [POL2006-06399/CGL]</t>
  </si>
  <si>
    <t>Polarstern ANT XXIII/8 - CLI-MANT</t>
  </si>
  <si>
    <t>The authors would like to express their gratitude to Miranda Lowe (British Museum of Natural History) for the location of the type material of Ammothea longispina and Ammothea sp.? in the collections of the BMNH. Our thanks are also addressed to the officers and crew and many colleagues for their help on board during the Polarstern ANT XXIII/8 cruises. We take this opportunity to extend our thanks to the cruise leader and steering committee of the cruise, especially Julian Gutt and Enrique Isla (ANT XIII/8), all of whom kindly facilitated the work on board and allowed us to collaborate in this Antarctic programme. Support for this work was provided by POL2006-06399/CGL (Polarstern ANT XXIII/8 - CLI-MANT). Mr. Tony Krupa is thanked for reviewing the English version.</t>
  </si>
  <si>
    <t>1438-387X</t>
  </si>
  <si>
    <t>1438-3888</t>
  </si>
  <si>
    <t>HELGOLAND MAR RES</t>
  </si>
  <si>
    <t>Helgoland Mar. Res.</t>
  </si>
  <si>
    <t>10.1007/s10152-013-0376-x</t>
  </si>
  <si>
    <t>AB9LY</t>
  </si>
  <si>
    <t>WOS:000332116600012</t>
  </si>
  <si>
    <t>Strugnell, JM; Norman, MD; Vecchione, M; Guzik, M; Allcock, AL</t>
  </si>
  <si>
    <t>Strugnell, Jan M.; Norman, Mark D.; Vecchione, Michael; Guzik, Michelle; Allcock, A. Louise</t>
  </si>
  <si>
    <t>The ink sac clouds octopod evolutionary history</t>
  </si>
  <si>
    <t>HYDROBIOLOGIA</t>
  </si>
  <si>
    <t>Octopoda; Evolution; Molecular; Phylogenetics</t>
  </si>
  <si>
    <t>LENGTH DIFFERENCE TEST; COLEOID CEPHALOPODS MOLLUSCA; MOLECULAR PHYLOGENY; SOUTHERN-OCEAN; VULCANOCTOPUS-HYDROTHERMALIS; INCONGRUENCE; CHARACTER; OCTOPUSES; ORIGIN; MODEL</t>
  </si>
  <si>
    <t>Difficulties in elucidating the evolutionary history of the octopods have arisen from problems in identifying informative morphological characters. Recent classifications have divided the largest group, the incirrate octopods, into five groups. These include the pelagic superfamily Argonautoidea and three gelatinous pelagic families (Vitreledonellidae, Bolitaenidae, Amphitretidae). All benthic incirrate octopods have been accommodated in the family Octopodidae, itself divided into four subfamilies, Octopodinae, Eledoninae, Bathypolypodinae and Graneledoninae, which are defined by the presence or absence of an ink sac, and uniserial or biserial sucker arrangements on the arms. We used relaxed clock models in a Bayesian framework and maximum likelihood methods to analyse three nuclear and four mitochondrial genes of representatives from each of the previous subfamilies. Strong evidence indicates that the family Octopodidae is paraphyletic and contains the gelatinous pelagic families. The subfamilies of Octopodidae recognised in earlier works do not reflect evolutionary history. The following clades were supported in all analyses: (1) Eledone/Aphrodoctopus, (2) Callistoctopus/Grimpella/Macroctopus/Scaeurgus, (3) Abdopus/Ameloctopus/Amphioctopus/Cistopus/Hapalochlaena/Octopus, (4) Enteroctopus/Muusoctopus/Vulcanoctopus, (5) Vitreledonella/Japetella, (6) Southern Ocean endemic and deep-sea taxa with uniserial suckers. These clades form the basis for a suite of taxa assigned family taxonomic rank: Amphitretidae, Bathypolypodidae, Eledonidae, Enteroctopodidae, Megaleledonidae and Octopodidae sensu nov. They are placed within the superfamily Octopodoidea.</t>
  </si>
  <si>
    <t>[Strugnell, Jan M.] La Trobe Univ, Dept Genet, La Trobe Inst Mol Sci, Bundoora, Vic 3086, Australia; [Norman, Mark D.] Museum Victoria, Melbourne, Vic 3001, Australia; [Vecchione, Michael] Smithsonian Inst, NMFS Natl Systemat Lab, Natl Museum Nat Hist, Washington, DC 20013 USA; [Guzik, Michelle] Univ Adelaide, Australian Ctr Evolutionary Biol &amp; Biodivers, Sch Earth &amp; Environm Sci, Adelaide, SA, Australia; [Allcock, A. Louise] Natl Univ Ireland, Sch Nat Sci, Galway, Ireland; [Allcock, A. Louise] Natl Univ Ireland, Ryan Inst, Galway, Ireland</t>
  </si>
  <si>
    <t>La Trobe University; Museum Victoria; Smithsonian Institution; Smithsonian National Museum of Natural History; National Oceanic Atmospheric Admin (NOAA) - USA; University of Adelaide; Ollscoil na Gaillimhe-University of Galway; Ollscoil na Gaillimhe-University of Galway</t>
  </si>
  <si>
    <t>Strugnell, JM (corresponding author), La Trobe Univ, Dept Genet, La Trobe Inst Mol Sci, Bundoora, Vic 3086, Australia.</t>
  </si>
  <si>
    <t>J.Strugnell@latrobe.edu.au</t>
  </si>
  <si>
    <t>Guzik, Michelle/AAV-8196-2021; Allcock, Louise/A-7359-2012; Strugnell, Jan M/P-9921-2016</t>
  </si>
  <si>
    <t>Allcock, Louise/0000-0002-4806-0040; Strugnell, Jan/0000-0003-2994-637X</t>
  </si>
  <si>
    <t>Natural Environment Research Council (NERC) Antarctic Funding Initiative (AFI) [NE/C506321/1]; Lloyd's Tercentenary Fellowship; Systematic Association grant; Antarctic Science Bursary; Edith Mary Pratt Musgrave fund; Natural Environment Research Council [NE/C506321/1] Funding Source: researchfish</t>
  </si>
  <si>
    <t>Natural Environment Research Council (NERC) Antarctic Funding Initiative (AFI)(UK Research &amp; Innovation (UKRI)Natural Environment Research Council (NERC)); Lloyd's Tercentenary Fellowship; Systematic Association grant; Antarctic Science Bursary; Edith Mary Pratt Musgrave fund; Natural Environment Research Council(UK Research &amp; Innovation (UKRI)Natural Environment Research Council (NERC))</t>
  </si>
  <si>
    <t>Jan Strugnell was supported by Natural Environment Research Council (NERC) Antarctic Funding Initiative (AFI) NE/C506321/1 (awarded to Louise Allcock), and a Lloyd's Tercentenary Fellowship, a Systematic Association grant, an Antarctic Science Bursary and the Edith Mary Pratt Musgrave fund. We are grateful to David Carlini, Joao Sendao, C.C. Lu, Malcom Smale, Sean Fennessey, Janet Voight and Roger Villanueva for providing tissue samples which made this study possible. The majority of the analyses in this paper were done on the CamGrid cluster at the University of Cambridge and we are grateful to the Cambridge eScience Centre for its support of the system.</t>
  </si>
  <si>
    <t>0018-8158</t>
  </si>
  <si>
    <t>1573-5117</t>
  </si>
  <si>
    <t>Hydrobiologia</t>
  </si>
  <si>
    <t>10.1007/s10750-013-1517-6</t>
  </si>
  <si>
    <t>302ZQ</t>
  </si>
  <si>
    <t>WOS:000330644400018</t>
  </si>
  <si>
    <t>Linnane, A; McGarvey, R; Gardner, C; Walker, TI; Matthews, J; Green, B; Punt, AE</t>
  </si>
  <si>
    <t>Linnane, Adrian; McGarvey, Richard; Gardner, Caleb; Walker, Terence I.; Matthews, Janet; Green, Bridget; Punt, Andre E.</t>
  </si>
  <si>
    <t>Large-scale patterns in puerulus settlement and links to fishery recruitment in the southern rock lobster (Jasus edwardsii), across south-eastern Australia</t>
  </si>
  <si>
    <t>ICES JOURNAL OF MARINE SCIENCE</t>
  </si>
  <si>
    <t>forecasting; Jasus edwardsii; spiny lobster; puerulus; recruitment; settlement; spiny lobster</t>
  </si>
  <si>
    <t>SPATIAL VARIATION; SIZE; MATURITY; PREDICTION; ABUNDANCE; TASMANIA; NUMBERS; WIND</t>
  </si>
  <si>
    <t>Monthly monitoring of puerulus settlement across South Australia, Victoria and Tasmania has been undertaken since the early 1990s. Firstly, annual trends in settlement were spatially analysed across the three States. In South Australian and Victorian settlement patterns were closely related. In Tasmania, settlement sites along the northeast coast were positively correlated, but showed no relationship with areas further south or in any other State. Secondly, annual settlement indices were correlated with lagged estimates of fishery recruitment. In South Australia, the strongest correlations between settlement and recruitment to legal size were observed using a 45- year time-lag. Within Victoria and Tasmania, the period from settlement to recruitment at 60 mm carapace length (CL) was 2 and 3 years, respectively. The period from 60 mm to legal size was another 23 years, suggesting that the total time from settlement to the fishery ranges from 46 years in these regions. The correlation between settlement and recruitment was used to forecast future estimates of exploitable biomass in one region of South Australia. The results indicate that puerulus monitoring is a relatively robust indicator of future fishery performance and should be regarded as an important data source for rock lobster resources within south-eastern Australia.</t>
  </si>
  <si>
    <t>[Linnane, Adrian; McGarvey, Richard; Matthews, Janet] South Australian Res &amp; Dev Inst Aquat Sci, Henley Beach, SA 5022, Australia; [Gardner, Caleb; Green, Bridget] Univ Tasmania, Inst Marine &amp; Antarctic Studies, Hobart, Tas 7001, Australia; [Walker, Terence I.] Fisheries Victoria, Dept Environm &amp; Primary Ind, Queenscliff, Vic 3225, Australia; [Walker, Terence I.] Univ Melbourne, Dept Zool, Parkville, Vic 3010, Australia; [Punt, Andre E.] CSIRO Marine &amp; Atmospher Res, Hobart, Tas 7001, Australia; [Punt, Andre E.] Univ Washington, Sch Aquat &amp; Fishery Sci, Seattle, WA 98195 USA</t>
  </si>
  <si>
    <t>University of Tasmania; University of Melbourne; Commonwealth Scientific &amp; Industrial Research Organisation (CSIRO); University of Washington; University of Washington Seattle</t>
  </si>
  <si>
    <t>Linnane, A (corresponding author), South Australian Res &amp; Dev Inst Aquat Sci, POB 120, Henley Beach, SA 5022, Australia.</t>
  </si>
  <si>
    <t>adrian.linnane@sa.gov.au</t>
  </si>
  <si>
    <t>Walker, Terence I/AAD-8458-2019; Green, Bridget S/G-3368-2014; Gardner, Caleb/I-7086-2013</t>
  </si>
  <si>
    <t>Walker, Terence I/0000-0001-6552-9042; Gardner, Caleb/0000-0003-0324-4337</t>
  </si>
  <si>
    <t>Australian Fisheries Research and Development Corporation [2009/047]; Department of Climate Change and South East Australia Program (SEAP) [2011/039]</t>
  </si>
  <si>
    <t>Australian Fisheries Research and Development Corporation; Department of Climate Change and South East Australia Program (SEAP)</t>
  </si>
  <si>
    <t>Funding for this work was provided through the Australian Fisheries Research and Development Corporation (Project No. 2009/047) as well as the Department of Climate Change and South East Australia Program (SEAP) (Project No. 2011/039).</t>
  </si>
  <si>
    <t>1054-3139</t>
  </si>
  <si>
    <t>1095-9289</t>
  </si>
  <si>
    <t>ICES J MAR SCI</t>
  </si>
  <si>
    <t>ICES J. Mar. Sci.</t>
  </si>
  <si>
    <t>10.1093/icesjms/fst176</t>
  </si>
  <si>
    <t>Fisheries; Marine &amp; Freshwater Biology; Oceanography</t>
  </si>
  <si>
    <t>AF4OY</t>
  </si>
  <si>
    <t>WOS:000334694300010</t>
  </si>
  <si>
    <t>Leuschen, C; Hale, R; Keshmiri, S; Yan, JB; Rodriguez-Morales, F; Mahmood, A; Gogineni, S</t>
  </si>
  <si>
    <t>Leuschen, C.; Hale, R.; Keshmiri, S.; Yan, J. B.; Rodriguez-Morales, F.; Mahmood, A.; Gogineni, S.</t>
  </si>
  <si>
    <t>UAS-Based Radar Sounding of the Polar Ice Sheets</t>
  </si>
  <si>
    <t>IEEE GEOSCIENCE AND REMOTE SENSING MAGAZINE</t>
  </si>
  <si>
    <t>TEMPERATE; THICKNESS; GLACIERS; ALASKA; FIELD</t>
  </si>
  <si>
    <t>Both the Greenland and Antarctic ice sheets are currently losing mass and contributing to global sea level rise. To predict the response of these ice sheets to a warming climate, ice-sheet models must be improved by incorporating information on the bed topography and basal conditions of fast-flowing glaciers near their grounding lines. High-sensitivity, low-frequency radars with 2-D aperture synthesis capability are needed to sound and image fast-flowing glaciers with very rough surfaces and ice that contains inclusions. In response to this need, CReSIS developed an Unmanned Aircraft System (UAS) equipped with a dual-frequency radar that operates at approximately 14 and 35 MHz. The radar transmits 100-W peak power at a pulse repetition frequency of 10 kHz, operates from 20 W of DC power, and weighs approximately 2 kg. The UAS has a take-off weight of about 38.5 kg and a range of approximately 100 km per gallon of fuel. We recently completed several successful test flights of the UAS equipped with the dual-frequency radar at a field camp in Antarctica. The radar measurements performed as a part of these test flights represent the first-ever successful sounding of glacial ice with a UAS-based radar. We also collected data for synthesizing a 2-D aperture, which is required to prevent off-vertical scatter, caused by the rough surfaces of fast-flowing glaciers, from masking bed echoes. In this article, we provide a brief overview of the need for radar soundings of fast-flowing glaciers at low-frequencies and a brief description of the UAS and radar. We also discuss our field operations and provide sample results from data collected in Antarctica. Finally, we present our future plans, which include miniaturizing the radar and collecting measurements in Greenland.</t>
  </si>
  <si>
    <t>[Leuschen, C.; Hale, R.; Keshmiri, S.; Yan, J. B.; Rodriguez-Morales, F.; Mahmood, A.; Gogineni, S.] Univ Kansas, Ctr Remote Sensing Ice Sheets, Lawrence, KS 66045 USA</t>
  </si>
  <si>
    <t>University of Kansas</t>
  </si>
  <si>
    <t>Leuschen, C (corresponding author), Univ Kansas, Ctr Remote Sensing Ice Sheets, Lawrence, KS 66045 USA.</t>
  </si>
  <si>
    <t>Rodriguez-Morales, Fernando/0000-0001-8004-6145</t>
  </si>
  <si>
    <t>National Science Foundation (NSF) Center for Remote Sensing of Ice Sheet (CReSIS) [ANT-0424589]; State of Kansas; Division Of Computer and Network Systems; Direct For Computer &amp; Info Scie &amp; Enginr [0923443] Funding Source: National Science Foundation</t>
  </si>
  <si>
    <t>National Science Foundation (NSF) Center for Remote Sensing of Ice Sheet (CReSIS)(National Science Foundation (NSF)); State of Kansas; Division Of Computer and Network Systems; Direct For Computer &amp; Info Scie &amp; Enginr(National Science Foundation (NSF)NSF - Directorate for Computer &amp; Information Science &amp; Engineering (CISE))</t>
  </si>
  <si>
    <t>This work was completed at the University of Kansas with funding from the National Science Foundation (NSF) Center for Remote Sensing of Ice Sheet (CReSIS) grant ANT-0424589 and with matching grants from the State of Kansas. The authors would like to acknowledge ANSYS for providing a dedicated HFSS license used for the antenna modeling and optimization in the field. We would also like to acknowledge the support of many on the CReSIS team, including but not limited to J. Fuller, L. Metz, and P. Place for design and assembly of electronic parts; B. Camps-Raga for component design and electronic testing support; A. Paden and S. Vincent for designing and fabricating the housing for the electronics; A. Bowman, T.J. Stastny, M. Ewing for avionics integration and UAS flight test support; and J. Hunter for UAS structure support. We would also like to thank Ms. J. Collins for editing and formatting the article. Finally, we acknowledge the work of Ms. E. Post in creating several graphics.</t>
  </si>
  <si>
    <t>2168-6831</t>
  </si>
  <si>
    <t>IEEE GEOSC REM SEN M</t>
  </si>
  <si>
    <t>IEEE Geosci. Remote Sens. Mag.</t>
  </si>
  <si>
    <t>10.1109/MGRS.2014.2306353</t>
  </si>
  <si>
    <t>Geochemistry &amp; Geophysics; Remote Sensing; Imaging Science &amp; Photographic Technology</t>
  </si>
  <si>
    <t>V45PT</t>
  </si>
  <si>
    <t>WOS:000209829200003</t>
  </si>
  <si>
    <t>Deepika, B; Avinash, K; Jayappa, KS</t>
  </si>
  <si>
    <t>Deepika, B.; Avinash, K.; Jayappa, K. S.</t>
  </si>
  <si>
    <t>Shoreline change rate estimation and its forecast: remote sensing, geographical information system and statistics-based approach</t>
  </si>
  <si>
    <t>INTERNATIONAL JOURNAL OF ENVIRONMENTAL SCIENCE AND TECHNOLOGY</t>
  </si>
  <si>
    <t>Coastal management; Correlation coefficient; Human intervention; Linear regression; Littoral cell; Root-mean-square error</t>
  </si>
  <si>
    <t>SEA-LEVEL RISE; WATERLINE EXTRACTION; SOUTHERN KARNATAKA; COAST; VARIABILITY; POSITION; EROSION; BAY; DEFINITION; PREDICTION</t>
  </si>
  <si>
    <t>The present study indicates that coastal geomorphology is controlled by the natural processes and anthropogenic activities. The changes in shoreline positions of Udupi coast, western India, are investigated for a period of 98 years using multi-dated satellite images and topographic maps. The study area has been divided into four littoral cells and each cell into a number of transects at uniform intervals. Further, past shoreline positions have been demarcated and future positions are estimated for 12 and 22 years. The shoreline change rate has been estimated using statistical methods-end point rate, average of rates and linear regression-and cross-validated with correlation coefficient and root-mean-square error (RMSE) methods. Resultant changes from natural processes and human interventions have been inferred from the estimated values of the back-calculated errors. About 53 % of transects exhibit +/- 10 m RMSE values, indicating better agreement between the estimated and satellite-based shoreline positions, and the transects closer to the cell boundaries exhibit similar to 57 % uncertainties in shoreline change rate estimations. Based on the values of correlation coefficient and RMSE, the influence of natural processes and human interventions on shoreline changes have been calculated. The cells/transects dominated by natural processes record low RMSE values, whereas those influenced by human interventions show lower correlation coefficient and higher RMSE values. The present study manifests that the results of this study can be very useful in quantifying shoreline changes and in prediction of shoreline positions.</t>
  </si>
  <si>
    <t>[Deepika, B.; Jayappa, K. S.] Mangalore Univ, Dept Marine Geol, Mangalore 574199, Karnataka, India; [Avinash, K.] Natl Ctr Antarctic &amp; Ocean Res, Vasco Da Gama 403804, Goa, India</t>
  </si>
  <si>
    <t>Mangalore University; Ministry of Earth Sciences (MoES) - India; National Centre for Polar and Ocean Research (NCPOR)</t>
  </si>
  <si>
    <t>Jayappa, KS (corresponding author), Mangalore Univ, Dept Marine Geol, Mangalore 574199, Karnataka, India.</t>
  </si>
  <si>
    <t>ksjayappa@yahoo.com</t>
  </si>
  <si>
    <t>Jayappa, K. S./0000-0001-7930-0265; Avinash, Kumar/0000-0002-6511-8435</t>
  </si>
  <si>
    <t>Ministry of Earth Sciences, New Delhi, India through MMDP [MoES/11-MRDF/1/35/P/08-PC-III]</t>
  </si>
  <si>
    <t>Ministry of Earth Sciences, New Delhi, India through MMDP</t>
  </si>
  <si>
    <t>The authors (DB and KSJ) thank the Ministry of Earth Sciences, New Delhi, India, for financial assistance through MMDP research project (No. MoES/11-MRDF/1/35/P/08-PC-III). The second author (AK) thanks Director, National Centre for Antarctic &amp; Ocean Research (NCAOR) and Dr. John Kurian for their continuous support and encouragement. Authors also acknowledge anonymous reviewers and Editor-in-Chief of the Journal, for their insightful comments and suggestions on the previous draft, which improved the quality of the paper.</t>
  </si>
  <si>
    <t>1735-1472</t>
  </si>
  <si>
    <t>1735-2630</t>
  </si>
  <si>
    <t>INT J ENVIRON SCI TE</t>
  </si>
  <si>
    <t>Int. J. Environ. Sci. Technol.</t>
  </si>
  <si>
    <t>10.1007/s13762-013-0196-1</t>
  </si>
  <si>
    <t>AB5BQ</t>
  </si>
  <si>
    <t>WOS:000331804300016</t>
  </si>
  <si>
    <t>Bodey, TW; Ward, EJ; Phillips, RA; McGill, RAR; Bearhop, S</t>
  </si>
  <si>
    <t>Bodey, Thomas W.; Ward, Eric J.; Phillips, Richard A.; McGill, Rona A. R.; Bearhop, Stuart</t>
  </si>
  <si>
    <t>Species versus guild level differentiation revealed across the annual cycle by isotopic niche examination</t>
  </si>
  <si>
    <t>JOURNAL OF ANIMAL ECOLOGY</t>
  </si>
  <si>
    <t>procellariiform; stable isotope; seabird; speciation; resource partitioning; diet; competition; character displacement</t>
  </si>
  <si>
    <t>CHARACTER DISPLACEMENT; STABLE-ISOTOPES; INDIVIDUAL SPECIALIZATION; NONBREEDING ALBATROSSES; HABITAT PREFERENCES; COMMUNITY STRUCTURE; MARINE PREDATORS; FEEDING ECOLOGY; COMPETITION; DIET</t>
  </si>
  <si>
    <t>Interspecific competitive interactions typically result in niche differentiation to alleviate competition through mechanisms including character displacement. However, competition is not the sole constraint on resource partitioning, and its effects are mediated by factors including the environmental context in which species coexist. Colonial seabirds provide an excellent opportunity to investigate the importance of competition in shaping realized niche widths because their life histories lead to variation in intra- and interspecific competition across the annual cycle. Dense breeding aggregations result in intense competition for prey in surrounding waters, whereas non-breeding dispersal to larger geographical areas produces lower densities of competitors. Bayesian hierarchical models of the isotopic niche, closely aligned to the trophic niche, reveal the degree of segregation between species and functional groups during both time periods. Surprisingly, species explained far more of the variance in the isotopic niche during the non-breeding than the breeding period. Our results underline the key role of non-breeding dynamics in alleviating competition and promoting distinctions between species through the facilitation of resource partitioning. Such situations may be common in a diverse range of communities sustained by ephemeral but abundant food items. This highlights how consideration of the hierarchical grouping of competitive interactions alongside consideration of abiotic constraints across the complete annual cycle allows a full understanding of the role of competition in driving patterns of character displacement.</t>
  </si>
  <si>
    <t>[Bodey, Thomas W.; Bearhop, Stuart] Univ Exeter, Ctr Ecol &amp; Conservat, Penryn TR10 9EZ, England; [Ward, Eric J.] NOAA, Natl Marine Fisheries Serv, NW Fisheries Sci Ctr, Conservat Biol Div, Seattle, WA 98112 USA; [Phillips, Richard A.] British Antarctic Survey, NERC, Cambridge CB3 0ET, England; [McGill, Rona A. R.] SUERC, E Kilbride G75 0QF, Lanark, Scotland</t>
  </si>
  <si>
    <t>University of Exeter; National Oceanic Atmospheric Admin (NOAA) - USA; UK Research &amp; Innovation (UKRI); Natural Environment Research Council (NERC); NERC British Antarctic Survey; Scottish Universities Research &amp; Reactor Center</t>
  </si>
  <si>
    <t>Bodey, TW (corresponding author), Univ Exeter, Ctr Ecol &amp; Conservat, Penryn Campus, Penryn TR10 9EZ, England.</t>
  </si>
  <si>
    <t>T.W.Bodey@exeter.ac.uk</t>
  </si>
  <si>
    <t>McGill, Rona/F-1793-2010; McGill, Rona/JAC-6969-2023; Bearhop, Stuart/G-3105-2012</t>
  </si>
  <si>
    <t>McGill, Rona/0000-0003-0400-7288; Bodey, Thomas/0000-0002-5334-9615; Bearhop, Stuart/0000-0002-5864-0129</t>
  </si>
  <si>
    <t>NERC [EK50-5/02, NE/H007466/1]; NERC [lsmsf010002, NE/H007466/1, bas0100025, NE/H007423/1] Funding Source: UKRI; Natural Environment Research Council [lsmsf010002, NE/H007466/1, bas0100025, NE/H007423/1]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</si>
  <si>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</si>
  <si>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We are very grateful to the Bird Island field assistants, particularly Dafydd Roberts, Ben Phalan, Nicholas Warren and Jane Tanton for help with sampling and to Catarina Henriques. We thank Seth Newsome and two anonymous referees for their constructive comments. The isotope analysis at the Life Sciences Mass Spectrometry Facility was funded by NERC award EK50-5/02. Capture and blood sampling complied with the laws of the Government of South Georgia and the South Sandwich Islands. TWB was supported by NERC Grant NE/H007466/1 awarded to SB.</t>
  </si>
  <si>
    <t>0021-8790</t>
  </si>
  <si>
    <t>1365-2656</t>
  </si>
  <si>
    <t>J ANIM ECOL</t>
  </si>
  <si>
    <t>J. Anim. Ecol.</t>
  </si>
  <si>
    <t>10.1111/1365-2656.12156</t>
  </si>
  <si>
    <t>Ecology; Zoology</t>
  </si>
  <si>
    <t>Environmental Sciences &amp; Ecology; Zoology</t>
  </si>
  <si>
    <t>AB0GF</t>
  </si>
  <si>
    <t>WOS:000331469200016</t>
  </si>
  <si>
    <t>Timmermann, A; Friedrich, T; Timm, OE; Chikamoto, MO; Abe-Ouchi, A; Ganopolski, A</t>
  </si>
  <si>
    <t>Timmermann, Axel; Friedrich, Tobias; Timm, Oliver Elison; Chikamoto, Megumi O.; Abe-Ouchi, Ayako; Ganopolski, Andrey</t>
  </si>
  <si>
    <t>Modeling Obliquity and CO2 Effects on Southern Hemisphere Climate during the Past 408 ka</t>
  </si>
  <si>
    <t>Ice age; Climate variability; Southern Ocean; Large-scale motions; Atmospheric circulation; Antarctica</t>
  </si>
  <si>
    <t>LAST GLACIAL MAXIMUM; EARTH SYSTEM MODEL; TEMPERATURE-VARIATIONS; ANTARCTIC CLIMATE; ATMOSPHERIC CO2; CARBON-DIOXIDE; ICE VOLUME; OCEAN; SENSITIVITY; INSOLATION</t>
  </si>
  <si>
    <t>The effect of obliquity and CO2 changes on Southern Hemispheric climate is studied with a series of numerical modeling experiments. Using the Earth system model of intermediate complexity Loch-VECODE-ECBilt-CLIO-Agism Model (LOVECLIM) and a coupled general circulation model [Model for Interdisciplinary Research on Climate (MIROC)], it is shown in time-slice simulations that phases of low obliquity enhance the meridional extratropical temperature gradient, increase the atmospheric baroclinicity, and intensify the lower and middle troposphere Southern Hemisphere westerlies and storm tracks. Furthermore, a transient model simulation is conducted with LOVECLIM that covers the greenhouse gas, ice sheet, and orbital forcing history of the past 408 ka. This simulation reproduces reconstructed glacial-interglacial variations in temperature and sea ice qualitatively well and shows that the meridional heat transport associated with the orbitally paced modulation of middle troposphere westerlies and storm tracks partly offsets the effects of the direct shortwave obliquity forcing over Antarctica, thereby reinforcing the high correlation between CO2 radiative forcing and Antarctic temperature. The overall timing of temperature changes in Antarctica is hence determined by a balance of shortwave obliquity forcing, atmospheric heat transport changes, and greenhouse gas forcing. A shorter 130-ka transient model experiment with constant CO2 concentrations further demonstrates that surface Southern Hemisphere westerlies are primarily modulated by the obliquity cycle rather than by the CO2 radiative forcing.</t>
  </si>
  <si>
    <t>[Timmermann, Axel; Friedrich, Tobias; Timm, Oliver Elison; Chikamoto, Megumi O.] Univ Hawaii Manoa, SOEST, IPRC, Honolulu, HI 96822 USA; [Abe-Ouchi, Ayako] Univ Tokyo, Atmosphere &amp; Ocean Res Inst, Kashiwa, Chiba, Japan; [Abe-Ouchi, Ayako] Yokohama Inst Earth Sci, RIGC JAMSTEC, Yokohama, Kanagawa, Japan; [Ganopolski, Andrey] Potsdam Inst Climate Impact Res, Potsdam, Germany</t>
  </si>
  <si>
    <t>University of Hawaii System; University of Hawaii Manoa; University of Tokyo; Japan Agency for Marine-Earth Science &amp; Technology (JAMSTEC); Potsdam Institut fur Klimafolgenforschung</t>
  </si>
  <si>
    <t>Timmermann, A (corresponding author), Univ Hawaii Manoa, SOEST, IPRC, 2525 Correa Rd, Honolulu, HI 96822 USA.</t>
  </si>
  <si>
    <t>axel@hawaii.edu</t>
  </si>
  <si>
    <t>Friedrich, Tobias/D-1053-2013; Timmermann, Axel/Y-2799-2019; Abe-Ouchi, Ayako A/M-6359-2013; Elison Timm, Oliver/L-2543-2018</t>
  </si>
  <si>
    <t>Timmermann, Axel/0000-0003-0657-2969; Abe-Ouchi, Ayako A/0000-0003-1745-5952; Elison Timm, Oliver/0000-0001-8871-0602</t>
  </si>
  <si>
    <t>NSF [1010869]; Japan Agency for Marine-Earth Science and Technology (JAMSTEC) through International Pacific Research Center; Grants-in-Aid for Scientific Research [26241011, 22101001, 22101005, 25241005] Funding Source: KAKEN; Directorate For Geosciences [1010869] Funding Source: National Science Foundation; Div Atmospheric &amp; Geospace Sciences [1010869] Funding Source: National Science Foundation</t>
  </si>
  <si>
    <t>NSF(National Science Foundation (NSF)); Japan Agency for Marine-Earth Science and Technology (JAMSTEC) through International Pacific Research Center; Grants-in-Aid for Scientific Research(Ministry of Education, Culture, Sports, Science and Technology, Japan (MEXT)Japan Society for the Promotion of ScienceGrants-in-Aid for Scientific Research (KAKENHI)); Directorate For Geosciences(National Science Foundation (NSF)NSF - Directorate for Geosciences (GEO)); Div Atmospheric &amp; Geospace Sciences(National Science Foundation (NSF)NSF - Directorate for Geosciences (GEO))</t>
  </si>
  <si>
    <t>T. Friedrich and M. Chikamoto were supported by NSF Grant 1010869. A. Timmermann and Oliver Elison Timm are supported by the Japan Agency for Marine-Earth Science and Technology (JAMSTEC) through its sponsorship of the International Pacific Research Center.</t>
  </si>
  <si>
    <t>10.1175/JCLI-D-13-00311.1</t>
  </si>
  <si>
    <t>WOS:000331689900002</t>
  </si>
  <si>
    <t>Duman, JG</t>
  </si>
  <si>
    <t>Duman, John G.</t>
  </si>
  <si>
    <t>An early classic study of freeze avoidance in marine fish</t>
  </si>
  <si>
    <t>JOURNAL OF EXPERIMENTAL BIOLOGY</t>
  </si>
  <si>
    <t>BIOLOGICAL ANTIFREEZE AGENTS; ANTARCTIC FISHES; GLYCOPROTEINS; RESISTANCE; PROTEIN; PLANTS; ICE</t>
  </si>
  <si>
    <t>Univ Notre Dame, Notre Dame, IN 46556 USA</t>
  </si>
  <si>
    <t>University of Notre Dame</t>
  </si>
  <si>
    <t>Duman, JG (corresponding author), Univ Notre Dame, Notre Dame, IN 46556 USA.</t>
  </si>
  <si>
    <t>Duman.1@nd.edu</t>
  </si>
  <si>
    <t>COMPANY OF BIOLOGISTS LTD</t>
  </si>
  <si>
    <t>BIDDER BUILDING CAMBRIDGE COMMERCIAL PARK COWLEY RD, CAMBRIDGE CB4 4DL, CAMBS, ENGLAND</t>
  </si>
  <si>
    <t>0022-0949</t>
  </si>
  <si>
    <t>1477-9145</t>
  </si>
  <si>
    <t>J EXP BIOL</t>
  </si>
  <si>
    <t>J. Exp. Biol.</t>
  </si>
  <si>
    <t>10.1242/jeb.092239</t>
  </si>
  <si>
    <t>AC9HE</t>
  </si>
  <si>
    <t>WOS:000332844300006</t>
  </si>
  <si>
    <t>McGrath, D; Steffen, K; Holland, PR; Scambos, T; Rajaram, H; Abdalati, W; Rignot, E</t>
  </si>
  <si>
    <t>McGrath, Daniel; Steffen, Konrad; Holland, Paul R.; Scambos, Ted; Rajaram, Harihar; Abdalati, Waleed; Rignot, Eric</t>
  </si>
  <si>
    <t>The structure and effect of suture zones in the Larsen C Ice Shelf, Antarctica</t>
  </si>
  <si>
    <t>ice shelves; suture zone; fracture; GPR</t>
  </si>
  <si>
    <t>BASAL CREVASSES; PENINSULA; STABILITY; MODEL; FLOW</t>
  </si>
  <si>
    <t>Ice shelf fractures frequently terminate where they encounter suture zones, regions of material heterogeneity that form between meteoric inflows in ice shelves. This heterogeneity can consist of marine ice, meteoric ice with modified rheological properties, or the presence of fractures. Here, we use radar observations on the Larsen C Ice Shelf, Antarctica, to investigate (i) the termination of a 25km long rift in the Churchill Peninsula suture zone, which was found to contain similar to 60m of accreted marine ice, and (ii) the along-flow evolution of a suture zone originating at Cole Peninsula. We determine a steady state field of basal melting/freezing rates and apply it to a flowline model to delineate the along-flow evolution of layers within the ice shelf. The thickening surface wedge of locally accumulated meteoric ice, which likely has limited lateral variation in its mechanical properties, accounts for similar to 60% of the total ice thickness near the calving front. Thus, we infer that the lower similar to 40% of the ice column and the material heterogeneities present there are responsible for resisting fracture propagation and thereby delaying tabular calving events, as demonstrated in the &gt;40year time series leading up to the 2004/2005 calving event for Larsen C. This likely represents a highly sensitive aspect of ice shelf stability, as changes in the oceanic forcing may lead to the loss of this heterogeneity.</t>
  </si>
  <si>
    <t>[McGrath, Daniel; Abdalati, Waleed] Univ Colorado, Cooperat Inst Res Environm Sci, Boulder, CO 80309 USA; [Steffen, Konrad] Swiss Fed Inst Forest Snow &amp; Landscape Res, CH-8903 Birmensdorf, Switzerland; [Steffen, Konrad] Swiss Fed Inst Technol, Zurich, Switzerland; [Steffen, Konrad] Ecole Polytech Fed Lausanne, CH-1015 Lausanne, Switzerland; [Holland, Paul R.] British Antarctic Survey, Cambridge CB3 0ET, England; [Scambos, Ted] Univ Colorado, Natl Snow &amp; Ice Data Ctr CIRES, Boulder, CO 80309 USA; [Rajaram, Harihar] Univ Colorado, Dept Civil Engn, Boulder, CO 80309 USA; [Rignot, Eric] Univ Calif Irvine, Dept Earth Syst Sci, Irvine, CA USA; [Rignot, Eric] CALTECH, Jet Prop Lab, Pasadena, CA USA</t>
  </si>
  <si>
    <t>University of Colorado System; University of Colorado Boulder; Swiss Federal Institutes of Technology Domain; Swiss Federal Institute for Forest, Snow &amp; Landscape Research; Swiss Federal Institutes of Technology Domain; ETH Zurich; Swiss Federal Institutes of Technology Domain; Ecole Polytechnique Federale de Lausanne; UK Research &amp; Innovation (UKRI); Natural Environment Research Council (NERC); NERC British Antarctic Survey; University of Colorado System; University of Colorado Boulder; University of Colorado System; University of Colorado Boulder; University of California System; University of California Irvine; National Aeronautics &amp; Space Administration (NASA); NASA Jet Propulsion Laboratory (JPL); California Institute of Technology</t>
  </si>
  <si>
    <t>McGrath, D (corresponding author), Univ Colorado, Cooperat Inst Res Environm Sci, Boulder, CO 80309 USA.</t>
  </si>
  <si>
    <t>daniel.mcgrath@colorado.edu</t>
  </si>
  <si>
    <t>Holland, Paul R/G-2796-2012; Steffen, Konrad/C-6027-2013; Rignot, Eric/A-4560-2014; Scambos, Ted A/B-1856-2009</t>
  </si>
  <si>
    <t>Rignot, Eric/0000-0002-3366-0481; MCGRATH, DANIEL/0000-0002-9462-6842; SCAMBOS, Ted A./0000-0003-4268-6322</t>
  </si>
  <si>
    <t>NSF OPP [0732946]; Polar Geospatial Center under NSF OPP [ANT-1043681]; Natural Environment Research Council [bas0100027] Funding Source: researchfish; NERC [bas0100027] Funding Source: UKRI; Division Of Polar Programs; Directorate For Geosciences [0732946] Funding Source: National Science Foundation</t>
  </si>
  <si>
    <t>NSF OPP(National Science Foundation (NSF)NSF - Directorate for Geosciences (GEO)); Polar Geospatial Center under NSF OPP; Natural Environment Research Council(UK Research &amp; Innovation (UKRI)Natural Environment Research Council (NERC)); NERC(UK Research &amp; Innovation (UKRI)Natural Environment Research Council (NERC)); Division Of Polar Programs; Directorate For Geosciences(National Science Foundation (NSF)NSF - Directorate for Geosciences (GEO))</t>
  </si>
  <si>
    <t>This work is funded by NSF OPP research grant 0732946. The British Antarctic Survey and field assistant, Tom Weston, provided exceptional field support, without which this work would not have been possible. Geospatial support for this work was supported by the Polar Geospatial Center under NSF OPP agreement ANT-1043681. We thank Jan Lenaerts and Michael van den Broeke for the RACMO2.1/Ant surface mass balance data and Jenny Griggs for the surface elevation data. We thank the Editor Hubbard and three anonymous reviewers for their constructive insights that significantly improved the manuscript.</t>
  </si>
  <si>
    <t>10.1002/2013JF002935</t>
  </si>
  <si>
    <t>WOS:000334362800011</t>
  </si>
  <si>
    <t>Thurnherr, AM; Jacobs, SS; Dutrieux, P; Giulivi, CF</t>
  </si>
  <si>
    <t>Thurnherr, A. M.; Jacobs, S. S.; Dutrieux, P.; Giulivi, C. F.</t>
  </si>
  <si>
    <t>Export and circulation of ice cavity water in Pine Island Bay, West Antarctica</t>
  </si>
  <si>
    <t>Pine Island Bay</t>
  </si>
  <si>
    <t>OCEAN CIRCULATION; GLACIER; SHELF; BENEATH</t>
  </si>
  <si>
    <t>Large sectors of the Antarctic ice sheet are vulnerable to increases in melting at the bases of fringing ice shelves, with melt rates depending on ocean temperatures and circulations in the sub-ice cavities. Here we analyze an oceanographic data set obtained in austral summer 2009 in Pine Island Bay, which is bounded in the east by the calving front of the Amundsen Sea's fast-moving Pine Island Ice Shelf. The upper-ocean velocity field in the ice-free bay was dominated by a 700 m deep and 50 km wide gyre circulating 1.5 Sv of water clockwise around the bay. Ice cavity water was observed in a surface-intensified and southward-intensified boundary current along the ice front, and in a small ice cove at the end of the southern shear margin of the ice shelf. Repeat measurements in the cove reveal persistent cavity water export of approximate to 0.25 Sv during 10 days of sampling. Vertical velocities in the cove above the ice draft were dominated by buoyancy-frequency oscillations with amplitudes of several cm/s but without significant net upwelling. In combination with the seawater properties, this observation indicates that much of the upwelling occurs within fractured ice near the cove, potentially contributing to weakening the ice shelf shear margin.</t>
  </si>
  <si>
    <t>[Thurnherr, A. M.; Jacobs, S. S.; Giulivi, C. F.] Columbia Univ, Lamont Doherty Earth Observ, Palisades, NY 10964 USA; [Dutrieux, P.] British Antarctic Survey, Nat Environm Res Council, Cambridge CB3 0ET, England</t>
  </si>
  <si>
    <t>Columbia University; UK Research &amp; Innovation (UKRI); Natural Environment Research Council (NERC); NERC British Antarctic Survey</t>
  </si>
  <si>
    <t>Thurnherr, AM (corresponding author), Columbia Univ, Lamont Doherty Earth Observ, Palisades, NY 10964 USA.</t>
  </si>
  <si>
    <t>ant@ldeo.columbia.edu</t>
  </si>
  <si>
    <t>; Dutrieux, Pierre/B-7568-2012</t>
  </si>
  <si>
    <t>Thurnherr, Andreas/0000-0002-1977-7122; Dutrieux, Pierre/0000-0002-8066-934X</t>
  </si>
  <si>
    <t>National Science Foundation [ANT-06-32282]; Lamont-Doherty Earth Observatory; Natural Environment Research Council [bas0100028, NE/J005770/1] Funding Source: researchfish; NERC [NE/J005770/1, bas0100028] Funding Source: UKRI</t>
  </si>
  <si>
    <t>National Science Foundation(National Science Foundation (NSF)); Lamont-Doherty Earth Observatory; Natural Environment Research Council(UK Research &amp; Innovation (UKRI)Natural Environment Research Council (NERC)); NERC(UK Research &amp; Innovation (UKRI)Natural Environment Research Council (NERC))</t>
  </si>
  <si>
    <t>Funding for collection and analysis of the 2009 data was provided by the National Science Foundation under grant ANT-06-32282, and by the Lamont-Doherty Earth Observatory. Detailed comments by an anonymous reviewer and by Robin Muench are gratefully acknowledged.</t>
  </si>
  <si>
    <t>10.1002/2013JC009307</t>
  </si>
  <si>
    <t>AE2PT</t>
  </si>
  <si>
    <t>Green Accepted, Green Published, Bronze</t>
  </si>
  <si>
    <t>WOS:000333816100014</t>
  </si>
  <si>
    <t>Dansereau, V; Heimbach, P; Losch, M</t>
  </si>
  <si>
    <t>Dansereau, Veronique; Heimbach, Patrick; Losch, Martin</t>
  </si>
  <si>
    <t>Simulation of subice shelf melt rates in a general circulation model: Velocity-dependent transfer and the role of friction</t>
  </si>
  <si>
    <t>ice shelf-ocean interactions; ice shelf modeling; melt rate parameterization</t>
  </si>
  <si>
    <t>PINE ISLAND GLACIER; ANTARCTIC ICE-SHEET; OCEAN-CIRCULATION; THERMOHALINE CIRCULATION; BASAL CHANNELS; WEDDELL SEA; HEAT-FLUX; BENEATH; COORDINATE; VARIABILITY</t>
  </si>
  <si>
    <t>Two parameterizations of turbulent boundary layer processes at the interface between an ice shelf and the ocean beneath are investigated in terms of their impact on simulated melt rates and feedbacks. The parameterizations differ in the transfer coefficients for heat and freshwater fluxes. In their simplest form, they are assumed constant and hence are independent of the velocity of ocean currents at the ice shelf base. An augmented melt rate parameterization accounts for frictional turbulence via transfer coefficients that do depend on boundary layer current velocities via a drag law. In simulations with both parameterizations for idealized as well as realistic cavity geometries under Pine Island Ice Shelf, West Antarctica, significant differences in melt rate patterns between the velocity-independent and velocity-dependent formulations are found. While patterns are strongly correlated to those of thermal forcing for velocity-independent transfer coefficients, melting in the case of velocity-dependent coefficients is collocated with regions of high boundary layer currents, in particular where rapid plume outflow occurs. Both positive and negative feedbacks between melt rates, boundary layer temperature, velocities, and buoyancy fluxes are identified. Melt rates are found to increase with increasing drag coefficient Cd, in agreement with plume model simulations, but optimal values of C-d inferred from plume models are not easily transferable. Uncertainties therefore remain, both regarding simulated melt rate spatial distributions and magnitudes.</t>
  </si>
  <si>
    <t>[Dansereau, Veronique; Heimbach, Patrick] MIT, Dept Earth Atmospher &amp; Planetary Sci, Cambridge, MA USA; Helmholtz Ctr Polar &amp; Marine Res, Alfred Wegener Inst, Bremerhaven, Germany</t>
  </si>
  <si>
    <t>Massachusetts Institute of Technology (MIT); Helmholtz Association; Alfred Wegener Institute, Helmholtz Centre for Polar &amp; Marine Research</t>
  </si>
  <si>
    <t>Dansereau, V (corresponding author), Lab Glaciol &amp; Geophys Environm, Grenoble, France.</t>
  </si>
  <si>
    <t>veronique.dansereau@lgge.obs.ujf-grenoble.fr</t>
  </si>
  <si>
    <t>Heimbach, Patrick/K-3530-2013; Losch, Martin/S-5896-2016</t>
  </si>
  <si>
    <t>Heimbach, Patrick/0000-0003-3925-6161; Losch, Martin/0000-0002-3824-5244</t>
  </si>
  <si>
    <t>NSF [0934404, NNX11AQ12G]; National Sciences and Engineering Research Council of Canada; Fonds Quebecois de la Recherche sur la Nature et les Technologies; Directorate For Geosciences; Office of Polar Programs (OPP) [0934404] Funding Source: National Science Foundation; Division Of Ocean Sciences; Directorate For Geosciences [1129746] Funding Source: National Science Foundation; Division Of Ocean Sciences; Directorate For Geosciences [1550290] Funding Source: National Science Foundation</t>
  </si>
  <si>
    <t>NSF(National Science Foundation (NSF)); National Sciences and Engineering Research Council of Canada(Natural Sciences and Engineering Research Council of Canada (NSERC)); Fonds Quebecois de la Recherche sur la Nature et les Technologies(FQRNT); Directorate For Geosciences; Office of Polar Programs (OPP)(National Science Foundation (NSF)NSF - Directorate for Geosciences (GEO)); Division Of Ocean Sciences; Directorate For Geosciences(National Science Foundation (NSF)NSF - Directorate for Geosciences (GEO)); Division Of Ocean Sciences; Directorate For Geosciences(National Science Foundation (NSF)NSF - Directorate for Geosciences (GEO))</t>
  </si>
  <si>
    <t>This work was supported in part by NSF grants 0934404 and NNX11AQ12G. V. D. gratefully acknowledges a Postgraduate Doctoral Scholarship from the National Sciences and Engineering Research Council of Canada and from the Fonds Quebecois de la Recherche sur la Nature et les Technologies. We thank two anonymous reviewers for their detailed comments and suggestions.</t>
  </si>
  <si>
    <t>10.1002/2013JC008846</t>
  </si>
  <si>
    <t>WOS:000333816100015</t>
  </si>
  <si>
    <t>Park, J; Lühr, H; Lee, C; Kim, YH; Jee, G; Kim, JH</t>
  </si>
  <si>
    <t>Park, J.; Luehr, H.; Lee, C.; Kim, Y. H.; Jee, G.; Kim, J. -H.</t>
  </si>
  <si>
    <t>A climatology of medium-scale gravity wave activity in themidlatitude/low-latitude daytime upper thermosphere as observed by CHAMP</t>
  </si>
  <si>
    <t>BODY FORCES; DENSITY; DISTURBANCES; FLUCTUATIONS</t>
  </si>
  <si>
    <t>We report on a detailed global climatology of medium-scale (150-600 km) thermospheric gravity wave (GW) activity using mass density observations onboard the CHAMP satellite from 2001 to 2010. Our study focuses mainly on daytime (09-18 h in local time) and midlatitude/low-latitude upper thermosphere between 300 km and 400 km altitudes. Midlatitude GW activity is strongest in the winter hemisphere. GW activity during June solstice adjacent to the Andes and Antarctic Peninsula is stronger than in any other season or location. GW activity in the low-latitude summer hemisphere is stronger above continents than above oceans: especially during December solstice and equinoxes. In terms of relative density variation, GW activity is stronger during solar minimum than solar maximum. These results agree well with the characteristics of stratospheric GWs, implying that the CHAMP GWs are mainly caused by GWs from tropospheric/stratospheric processes. Using mesosphere/lower thermosphere wind observations at a Korean Antarctic station, we investigated at which altitudes the upper thermospheric GW climatology becomes visible. While the correlation is insignificant at z = 82-88 km, it becomes significant for most cases at z = 90-98 km, suggesting that the upper thermospheric GW climatology may start to emerge at z &gt;= 90 km.</t>
  </si>
  <si>
    <t>[Park, J.; Luehr, H.] GFZ German Res Ctr Geosci, Potsdam, Germany; [Lee, C.; Jee, G.; Kim, J. -H.] Korea Polar Res Inst, Div Climate Change, Inchon, South Korea; [Lee, C.; Kim, Y. H.] Chungnam Natl Univ, Dept Astron &amp; Space Sci, Taejon, South Korea</t>
  </si>
  <si>
    <t>Helmholtz Association; Helmholtz-Center Potsdam GFZ German Research Center for Geosciences; Korea Polar Research Institute (KOPRI); Korea Institute of Ocean Science &amp; Technology (KIOST); Chungnam National University</t>
  </si>
  <si>
    <t>Park, J (corresponding author), GFZ German Res Ctr Geosci, Potsdam, Germany.</t>
  </si>
  <si>
    <t>park@gfz-potsdam.de</t>
  </si>
  <si>
    <t>Kim, Yong Ha/AAS-9908-2021</t>
  </si>
  <si>
    <t>Space Agency of the German Aerospace Center (DLR) through funds of the Federal Ministry of Economics and Technology [50EE0944]</t>
  </si>
  <si>
    <t>Space Agency of the German Aerospace Center (DLR) through funds of the Federal Ministry of Economics and Technology(Helmholtz AssociationGerman Aerospace Centre (DLR))</t>
  </si>
  <si>
    <t>We sincerely thank S. Vadas for helpful discussions about gravity wave properties. The CHAMP mission was sponsored by the Space Agency of the German Aerospace Center (DLR) through funds of the Federal Ministry of Economics and Technology, following a decision of the German Federal Parliament (grant 50EE0944). The neutral wind data at KSS are provided by Korea Polar Research Institute (PE14010).</t>
  </si>
  <si>
    <t>10.1002/2013JA019705</t>
  </si>
  <si>
    <t>AH6CM</t>
  </si>
  <si>
    <t>WOS:000336218300062</t>
  </si>
  <si>
    <t>Foster, CE</t>
  </si>
  <si>
    <t>Foster, Caroline E.</t>
  </si>
  <si>
    <t>New Clothes for the Emperor? Consultation of Experts by the International Court of Justice</t>
  </si>
  <si>
    <t>JOURNAL OF INTERNATIONAL DISPUTE SETTLEMENT</t>
  </si>
  <si>
    <t>Calls for the International Court of Justice to be more ready to seek the advice of independent scientific experts under Article 50 of the Court's Statute are gaining momentum following the Court's judgment in the Case Concerning Pulp Mills (Argentina v Uruguay). The two cases Whaling in the Antarctic (Australia v Japan) and Aerial Herbicide Spraying (Ecuador v Colombia) will provide a lightning rod for determining the Court's interest in seeking external expert scientific opinion. In each of these cases, the Court may need to take a view on matters to which scientific opinion is essential. The Court will need to ensure it has the capacity to achieve the sufficiently reliable insights into the science necessary for a sound resolution of both disputes, taking into account also the interests of the wider international community. Should the Court decide to make use of Article 50, the procedures employed should be designed in ways that will strengthen and enhance the international constituency's confidence in the Court as well as producing judgments acceptable to disputing parties. The Court is recommended to consult experts in an individual capacity rather than as group, and to consider adopting an interactive consultation process in order to benefit more fully from their expertise.</t>
  </si>
  <si>
    <t>[Foster, Caroline E.] Univ Auckland, Fac Law, Auckland, New Zealand</t>
  </si>
  <si>
    <t>University of Auckland</t>
  </si>
  <si>
    <t>Foster, CE (corresponding author), Univ Auckland, Fac Law, Auckland, New Zealand.</t>
  </si>
  <si>
    <t>c.foster@auckland.ac.nz</t>
  </si>
  <si>
    <t>This article was written as the basis for invited presentations on the topic of 'Scientific Evidence in the International Court of Justice' at Utrecht University and the University of Oxford in 2013. I am grateful for the remarks of the Journal's anonymous referee, to the University of Auckland for financial support of my research leave during this period, to Gabrielle Marceau and Roberta Piermartini for their personal comments, to Dr. Liz Fisher for giving me a warm reception in Oxford, to Professor Fred Soons for his generous hospitality in Utrecht, as well as invitation to speak on the subject of expertise in scientific cases in the ICJ in the light of the Whaling in the Antarctic and Aerial Herbicide Spraying cases, and to Cymie Payne for sharing insights into the processes of the United Nations Claims Commission. This article was posted on the Social Science Research Network on 16 June 2013, just prior to commencement of the oral hearings in Whaling in the Antarctic on 26 June 2013. The views expressed in the article do not represent New Zealand policy or the views of New Zealand officials.</t>
  </si>
  <si>
    <t>2040-3593</t>
  </si>
  <si>
    <t>2040-3585</t>
  </si>
  <si>
    <t>J INT DISPUT SETTL</t>
  </si>
  <si>
    <t>J. Internat. Dispute Settlement</t>
  </si>
  <si>
    <t>10.1093/jnlids/idt015</t>
  </si>
  <si>
    <t>Law</t>
  </si>
  <si>
    <t>Government &amp; Law</t>
  </si>
  <si>
    <t>V20GA</t>
  </si>
  <si>
    <t>WOS:000214873900006</t>
  </si>
  <si>
    <t>Shapiro-Ilan, DI; Brown, I; Lewis, EE</t>
  </si>
  <si>
    <t>Shapiro-Ilan, David I.; Brown, Ian; Lewis, Edwin E.</t>
  </si>
  <si>
    <t>Freezing and Desiccation Tolerance in Entomopathogenic Nematodes: Diversity and Correlation of Traits</t>
  </si>
  <si>
    <t>JOURNAL OF NEMATOLOGY</t>
  </si>
  <si>
    <t>biocontrol; desiccation; entomopathogenic nematode; freezing; Heterorhabditis; Steinernema; tolerance</t>
  </si>
  <si>
    <t>GOLDENROD GALL FLY; COLD-TOLERANCE; ANTARCTIC NEMATODE; HETERORHABDITIS-BACTERIOPHORA; STEINERNEMA-CARPOCAPSAE; TREHALOSE ACCUMULATION; BENEFICIAL TRAITS; MECHANISMS; SURVIVAL; HYBRIDIZATION</t>
  </si>
  <si>
    <t>The ability of entomopathogenic nematodes to tolerate environmental stress such as desiccating or freezing conditions, can contribute significantly to biocontrol efficacy. Thus, in selecting which nematode to use in a particular biocontrol program, it is important to be able to predict which strain or species to use in target areas where environmental stress is expected. Our objectives were to (i) compare inter-and intraspecific variation in freeze and desiccation tolerance among a broad array of entomopathogenic nematodes, and (ii) determine if freeze and desiccation tolerance are correlated. In laboratory studies we compared nematodes at two levels of relative humidity (RH) (97% and 85%) and exposure periods (24 and 48 h), and nematodes were exposed to freezing temperatures (-2 degrees C) for 6 or 24 h. To assess interspecific variation, we compared ten species including seven that are of current or recent commercial interest: Heterorhabditis bacteriophora (VS), H. floridensis, H. georgiana, (Kesha), H. indica (HOM1), H. megidis (UK211), Steinernema carpocapsae (All), S. feltiae (SN), S. glaseri (VS), S. rarum (17C&amp;E), and S. riobrave (355). To assess intraspecific variation we compared five strains of H. bacteriophora (Baine, Fl1-1, Hb, Oswego, and VS) and four strains of S. carpocapsae (All, Cxrd, DD136, and Sal), and S. riobrave (355, 38b, 7-12, and TP). S. carpocapsae exhibited the highest level of desiccation tolerance among species followed by S. feltiae and S. rarum; the heterorhabditid species exhibited the least desiccation tolerance and S. riobrave and S. glaseri were intermediate. No intraspecific variation was observed in desiccation tolerance; S. carpocapsae strains showed higher tolerance than all H. bacteriophora or S. riobrave strains yet there was no difference detected within species. In interspecies comparisons, poor freeze tolerance was observed in H. indica, and S. glaseri, S. rarum, and S. riobrave whereas H. georgiana and S. feltiae exhibited the highest freeze tolerance, particularly in the 24-h exposure period. Unlike desiccation tolerance, substantial intraspecies variation in freeze tolerance was observed among H. bacteriophora and S. riobrave strains, yet within species variation was not detected among S. carpocapsae strains. Correlation analysis did not detect a relationship between freezing and desiccation tolerance.</t>
  </si>
  <si>
    <t>[Shapiro-Ilan, David I.] USDA ARS, SE Fruit &amp; Tree Nut Res Lab, Byron, GA 31008 USA; [Brown, Ian] Georgia Southwestern Univ, Dept Biol, Americus, GA USA; [Lewis, Edwin E.] Univ Calif Davis, Dept Entomol &amp; Nematol, UC Davis, Davis, CA 95616 USA</t>
  </si>
  <si>
    <t>United States Department of Agriculture (USDA); University System of Georgia; Georgia Southwestern State University</t>
  </si>
  <si>
    <t>Shapiro-Ilan, DI (corresponding author), USDA ARS, SE Fruit &amp; Tree Nut Res Lab, Byron, GA 31008 USA.</t>
  </si>
  <si>
    <t>David.Shapiro@ars.usda.gov</t>
  </si>
  <si>
    <t>Shapiro-Ilan, David/0000-0002-5666-4848</t>
  </si>
  <si>
    <t>SOC NEMATOLOGISTS</t>
  </si>
  <si>
    <t>MARCELINE</t>
  </si>
  <si>
    <t>PO BOX 311, MARCELINE, MO 64658 USA</t>
  </si>
  <si>
    <t>0022-300X</t>
  </si>
  <si>
    <t>J NEMATOL</t>
  </si>
  <si>
    <t>J. Nematol.</t>
  </si>
  <si>
    <t>AF1SF</t>
  </si>
  <si>
    <t>WOS:000334493000005</t>
  </si>
  <si>
    <t>Stewart, AL; Ferrari, R; Thompson, AF</t>
  </si>
  <si>
    <t>Stewart, Andrew L.; Ferrari, Raffaele; Thompson, Andrew F.</t>
  </si>
  <si>
    <t>On the Importance of Surface Forcing in Conceptual Models of the Deep Ocean</t>
  </si>
  <si>
    <t>Circulation; Dynamics; Abyssal circulation; Diapycnal mixing; Eddies; Fluxes</t>
  </si>
  <si>
    <t>OVERTURNING CIRCULATION; SOUTHERN-OCEAN; PYCNOCLINE; POLYNYA; WIND</t>
  </si>
  <si>
    <t>In the major ocean basins, diapycnal mixing upwells dense Antarctic Bottom Water, which returns southward and closes the deepest cell of the meridional overturning circulation (MOC). This cell ventilates the deep ocean and regulates the partitioning of CO2 between the atmosphere and the ocean. The oceanographic community's conceptual understanding of the deep stratification and MOC has evolved from classic abyssal recipes arguments to a more recent appreciation of along-isopycnal upwelling in the Southern Ocean, consistent with a weakly mixed ocean interior. Both the deep stratification and the deep MOC are shown here to be sensitive to the form of the surface buoyancy forcing in a two-dimensional model that includes a circumpolar channel and northern basin. For a fixed surface buoyancy condition, the deep stratification is essentially prescribed, whereas for a fixed surface buoyancy flux, the deep stratification varies by orders of magnitude over the range of diapycnal diffusivity observed in the ocean. These cases also produce different scalings for the deep MOC with , in both weak and strong regimes. In addition, these scalings are shown to be sensitive not only to the type of surface boundary condition, but also to the latitudinal structure of the surface fluxes. This latter point is crucial as buoyancy budgets and dynamical features of the circulation are poorly constrained along the Antarctic margins. This study emphasizes the need for caution in the interpretation of simple conceptual models that, while useful, may not include all mechanisms that contribute to the MOC's strength and structure.</t>
  </si>
  <si>
    <t>[Stewart, Andrew L.; Thompson, Andrew F.] CALTECH, Pasadena, CA 91125 USA; [Ferrari, Raffaele] MIT, Dept Earth Atmospher &amp; Planetary Sci, Cambridge, MA USA</t>
  </si>
  <si>
    <t>California Institute of Technology; Massachusetts Institute of Technology (MIT)</t>
  </si>
  <si>
    <t>Stewart, AL (corresponding author), CALTECH, 1200 E Calif Blvd, Pasadena, CA 91125 USA.</t>
  </si>
  <si>
    <t>stewart@gps.caltech.edu</t>
  </si>
  <si>
    <t>Ferrari, Raffaele/C-9337-2013</t>
  </si>
  <si>
    <t>Ferrari, Raffaele/0000-0002-3736-1956; Stewart, Andrew/0000-0001-5861-4070</t>
  </si>
  <si>
    <t>NSF [OCE-1235488, OCE-1232962]; Division Of Ocean Sciences; Directorate For Geosciences [1233832] Funding Source: National Science Foundation</t>
  </si>
  <si>
    <t>NSF(National Science Foundation (NSF)); Division Of Ocean Sciences; Directorate For Geosciences(National Science Foundation (NSF)NSF - Directorate for Geosciences (GEO))</t>
  </si>
  <si>
    <t>A. L. S.'s and A. F. T.'s research was supported NSF Award OCE-1235488. R. F. acknowledges support through NSF Award OCE-1232962. The authors thank Maxim Nikurashin and two anonymous reviewers for comments that improved the manuscript.</t>
  </si>
  <si>
    <t>10.1175/JPO-D-13-0206.1</t>
  </si>
  <si>
    <t>AC3MK</t>
  </si>
  <si>
    <t>WOS:000332425700020</t>
  </si>
  <si>
    <t>Melet, A; Hallberg, R; Legg, S; Nikurashin, M</t>
  </si>
  <si>
    <t>Melet, Angelique; Hallberg, Robert; Legg, Sonya; Nikurashin, Maxim</t>
  </si>
  <si>
    <t>Sensitivity of the Ocean State to Lee Wave- Driven Mixing</t>
  </si>
  <si>
    <t>Circulation; Dynamics; Diapycnal mixing; Internal waves; Models and modeling; Ocean models; Parameterization; Subgrid-scale processes</t>
  </si>
  <si>
    <t>MERIDIONAL OVERTURNING CIRCULATION; INTERNAL WAVES; SOUTHERN-OCEAN; TIDAL ENERGY; Z-COORDINATE; DEEP-OCEAN; DISSIPATION; IMPACT; TOPOGRAPHY; GENERATION</t>
  </si>
  <si>
    <t>Diapycnal mixing plays a key role in maintaining the ocean stratification and the meridional overturning circulation (MOC). In the ocean interior, it is mainly sustained by breaking internal waves. Two important classes of internal waves are internal tides and lee waves, generated by barotropic tides and geostrophic flows interacting with rough topography, respectively. Currently, regarding internal wave-driven mixing, most climate models only explicitly parameterize the local dissipation of internal tides. In this study, the authors explore the combined effects of internal tide- and lee wave-driven mixing on the ocean state. A series of sensitivity experiments using the Geophysical Fluid Dynamics Laboratory CM2G ocean-ice-atmosphere coupled model are performed, including a parameterization of lee wave-driven mixing using a recent estimate for the global map of energy conversion into lee waves, in addition to the tidal mixing parameterization. It is shown that, although the global energy input in the deep ocean into lee waves (0.2 TW; where 1 TW = 10(12) W) is small compared to that into internal tides (1.4 TW), lee wave-driven mixing makes a significant impact on the ocean state, notably on the ocean thermal structure and stratification, as well as on the MOC. The vertically integrated circulation is also impacted in the Southern Ocean, which accounts for half of the lee wave energy flux. Finally, it is shown that the different spatial distribution of the internal tide and lee wave energy input impacts the sensitivity described in this study. These results suggest that lee wave-driven mixing should be parameterized in climate models, preferably using more physically based parameterizations that allow the internal lee wave-driven mixing to evolve in a changing ocean.</t>
  </si>
  <si>
    <t>[Melet, Angelique; Hallberg, Robert; Legg, Sonya] Princeton Univ, Program Atmospher &amp; Ocean Sci, Princeton, NJ 08540 USA; [Hallberg, Robert] NOAA, Geophys Fluid Dynam Lab, Princeton, NJ USA; [Nikurashin, Maxim] Univ Tasmania, Inst Marine &amp; Antarctic Studies, Hobart, Tas, Australia</t>
  </si>
  <si>
    <t>Princeton University; National Oceanic Atmospheric Admin (NOAA) - USA; National Oceanic Atmospheric Admin (NOAA) - USA; University of Tasmania</t>
  </si>
  <si>
    <t>Melet, A (corresponding author), Princeton Univ, Geophys Fluid Dynam Lab, 201 Forrestal Rd, Princeton, NJ 08540 USA.</t>
  </si>
  <si>
    <t>angelique.melet@noaa.gov</t>
  </si>
  <si>
    <t>Nikurashin, Maxim/J-3506-2013; Melet, Angelique/ABE-5148-2020; Nikurashin, Maxim/P-4018-2019; Legg, Sonya/E-5995-2010</t>
  </si>
  <si>
    <t>Melet, Angelique/0000-0003-3888-8159; Nikurashin, Maxim/0000-0002-5714-8343; Legg, Sonya/0000-0002-7921-9093</t>
  </si>
  <si>
    <t>National Science Foundation [OCE-0968721]; National Oceanic and Atmospheric Administration; U.S. Department of Commerce [NA08OAR4320752]</t>
  </si>
  <si>
    <t>National Science Foundation(National Science Foundation (NSF)); National Oceanic and Atmospheric Administration(National Oceanic Atmospheric Admin (NOAA) - USA); U.S. Department of Commerce</t>
  </si>
  <si>
    <t>The authors thank Stephen Griffies, Alistair Adcroft, and Matthew Harrison for reviewing early versions of this manuscript. They also thank three anonymous reviewers as well as Eric Kunze for helpful comments leading to improvements in the manuscript. This work is a component of the Internal Wave-Driven Mixing Climate Process Team funded by the National Science Foundation Grant OCE-0968721 and the National Oceanic and Atmospheric Administration, U.S. Department of Commerce Award NA08OAR4320752. The statements, findings, conclusions, and recommendations are those of the authors and do not necessarily reflect the views of the National Oceanic and Atmospheric Administration or the U.S. Department of Commerce.</t>
  </si>
  <si>
    <t>10.1175/JPO-D-13-072.1</t>
  </si>
  <si>
    <t>WOS:000332425700021</t>
  </si>
  <si>
    <t>Klocker, A; Abernathey, R</t>
  </si>
  <si>
    <t>Klocker, Andreas; Abernathey, Ryan</t>
  </si>
  <si>
    <t>Global Patterns of Mesoscale Eddy Properties and Diffusivities</t>
  </si>
  <si>
    <t>Circulation; Dynamics; Eddies; Mesoscale processes; Mixing</t>
  </si>
  <si>
    <t>ANTARCTIC CIRCUMPOLAR CURRENT; OCEAN CIRCULATION MODELS; SOUTHERN-OCEAN; SATELLITE ALTIMETRY; GENERAL-CIRCULATION; NORTH-ATLANTIC; LATERAL DIFFUSIVITY; PLANETARY-WAVES; ENERGY CASCADE; ROSSBY WAVES</t>
  </si>
  <si>
    <t>Mesoscale eddies play a major role in the transport of tracers in the ocean. Focusing on a sector in the east Pacific, the authors present estimates of eddy diffusivities derived from kinematic tracer simulations using satellite-observed velocity fields. Meridional diffusivities are diagnosed, and how they are related to eddy properties through the mixing length formulation of Ferrari and Nikurashin, which accounts for the suppression of diffusivity due to eddy propagation relative to the mean flow, is shown. The uniqueness of this study is that, through systematically varying the zonal-mean flow, a hypothetical unsuppressed diffusivity is diagnosed. At a given latitude, the unsuppressed diffusivity occurs when the zonal-mean flow equals the eddy phase speed. This provides an independent estimate of eddy phase propagation, which agrees well with theoretical arguments. It is also shown that the unsuppressed diffusivity is predicted very well by classical mixing length theory, that is, that it is proportional to the rms eddy velocity times the observed eddy size, with a spatially constant mixing efficiency of 0.35. Then, the suppression factor is estimated and it is shown that it too can be understood quantitatively in terms of easily observed mean flow properties. The authors then extrapolate from these sector experiments to the global scale, making predictions for the global surface eddy diffusivity. Together with a prognostic equation for eddy kinetic energy and a theory explaining observed eddy sizes, these concepts could potentially be used in a closure for eddy diffusivities in coarse-resolution ocean climate models.</t>
  </si>
  <si>
    <t>[Klocker, Andreas] Australian Natl Univ, Res Sch Earth Sci, Acton, ACT, Australia; [Klocker, Andreas] ARC Ctr Excellence Climate Syst Sci, Sydney, NSW, Australia; [Abernathey, Ryan] Columbia Univ, Dept Earth &amp; Environm Sci, New York, NY USA</t>
  </si>
  <si>
    <t>Australian National University; ARC Centre of Excellence for Climate System Science; Columbia University</t>
  </si>
  <si>
    <t>Klocker, A (corresponding author), Univ Tasmania, Inst Marine &amp; Antarctic Studies, 20 Castray Esplanade, Battery Point, Tas 7004, Australia.</t>
  </si>
  <si>
    <t>andreas.klocker@utas.edu.au</t>
  </si>
  <si>
    <t>Klocker, Andreas/E-4632-2011</t>
  </si>
  <si>
    <t>Klocker, Andreas/0000-0002-2038-7922; Abernathey, Ryan/0000-0001-5999-4917</t>
  </si>
  <si>
    <t>10.1175/JPO-D-13-0159.1</t>
  </si>
  <si>
    <t>WOS:000332425700028</t>
  </si>
  <si>
    <t>Braga, AD; Costa, PAS; Martins, AS; Olavo, G; Nunan, GW</t>
  </si>
  <si>
    <t>Braga, Adriana da Costa; Costa, Paulo A. S.; Martins, Agnaldo S.; Olavo, George; Nunan, Gustavo W.</t>
  </si>
  <si>
    <t>Lanternfish (Myctophidae) from eastern Brazil, southwest Atlantic Ocean</t>
  </si>
  <si>
    <t>LATIN AMERICAN JOURNAL OF AQUATIC RESEARCH</t>
  </si>
  <si>
    <t>Myctophidae; fish assemblages; seamounts; southwest Atlantic</t>
  </si>
  <si>
    <t>DISTRIBUTION PATTERNS; FISH ASSEMBLAGES; VITORIA EDDY; UPPER-SLOPE; DISTRIBUTIONS; ECOLOGY; ISLANDS</t>
  </si>
  <si>
    <t>Twenty-nine species from 11 genera of Myctophidae were taken in daytime midwater and bottom trawl hauls off eastern Brazil (11 degrees-22 degrees S). Trawls were performed aboard the French R/V Thalassa to depths from 19 to 2271 m, including samples from shelf, slope and in the vicinity of oceanic banks and seamounts. Diaphus garmani was the most abundant species, accounting for 84% of all identified individuals and with four other species (D. dumerilii, D. brachycephalus, D. perspicillatus and Myctophum obtusirostre) accounted for &gt;95% of all myctophids caught. Regarding longitudinal distribution patterns, 16 species are broadly tropical, seven tropical, three subtropical, two temperate and one amphi-Atlantic. For the most abundant and frequent species, highest abundances were associated mainly with cold waters, either South Atlantic Central Water or Antarctic Intermediate Water. Non-metric multidimensional scaling based on species presence-absence in the samples and oceanographic conditions was used to identify spatial distribution of myctophid assemblages. Three assemblages were identified in the studied area: north of Abrolhos Bank, south of Abrolhos Bank, and seamounts.</t>
  </si>
  <si>
    <t>[Braga, Adriana da Costa; Costa, Paulo A. S.] Univ Fed Estado Rio de Janeiro, Lab Dinam Populacoes Marinhas, Dept Ecol &amp; Recursos Marinhos, BR-22290240 Rio De Janeiro, RJ, Brazil; [Martins, Agnaldo S.] Univ Fed Espirito Santo, Dept Oceanog &amp; Ecol, BR-29075910 Vitoria, ES, Brazil; [Olavo, George] Univ Estadual Feira de Santana, Lab Biol Pesqueira, BR-44031460 Feira De Santana, BA, Brazil</t>
  </si>
  <si>
    <t>Universidade Federal do Estado do Rio de Janeiro; Universidade Federal do Espirito Santo; Universidade Estadual de Feira de Santana</t>
  </si>
  <si>
    <t>Braga, AD (corresponding author), Univ Fed Estado Rio de Janeiro, Lab Dinam Populacoes Marinhas, Dept Ecol &amp; Recursos Marinhos, Av Pasteur 458,Sala 410, BR-22290240 Rio De Janeiro, RJ, Brazil.</t>
  </si>
  <si>
    <t>acbraga.unirio@gmail.com</t>
  </si>
  <si>
    <t>Martins, Agnaldo/F-1615-2011; Costa, Paulo A S/H-4781-2012</t>
  </si>
  <si>
    <t>Martins, Agnaldo/0000-0003-2160-1326;</t>
  </si>
  <si>
    <t>UNIV CATOLICA DE VALPARAISO</t>
  </si>
  <si>
    <t>VALPARAISO</t>
  </si>
  <si>
    <t>AV BRASIL 2950, PO BOX 4059, VALPARAISO, CHILE</t>
  </si>
  <si>
    <t>0718-560X</t>
  </si>
  <si>
    <t>0717-7178</t>
  </si>
  <si>
    <t>LAT AM J AQUAT RES</t>
  </si>
  <si>
    <t>Lat. Am. J. Aquat. Res.</t>
  </si>
  <si>
    <t>10.3856/vol42-issue1-fulltext-20</t>
  </si>
  <si>
    <t>Fisheries; Marine &amp; Freshwater Biology</t>
  </si>
  <si>
    <t>AC8ZQ</t>
  </si>
  <si>
    <t>WOS:000332824000020</t>
  </si>
  <si>
    <t>Yuan, M; Yu, Y; Li, HR; Dong, N; Zhang, XH</t>
  </si>
  <si>
    <t>Yuan, Meng; Yu, Yong; Li, Hui-Rong; Dong, Ning; Zhang, Xiao-Hua</t>
  </si>
  <si>
    <t>Phylogenetic Diversity and Biological Activity of Actinobacteria Isolated from the Chukchi Shelf Marine Sediments in the Arctic Ocean</t>
  </si>
  <si>
    <t>MARINE DRUGS</t>
  </si>
  <si>
    <t>phylogenetic diversity; marine Actinobacteria; Arctic Ocean; biological activity</t>
  </si>
  <si>
    <t>POLYKETIDE SYNTHASE GENES; TRONDHEIM FJORD; DISCOVERY; IDENTIFICATION; SEQUENCE; CLUSTER; BIOSYNTHESIS; ANTIBIOTICS; METABOLITES; CLONING</t>
  </si>
  <si>
    <t>Marine environments are a rich source of Actinobacteria and have the potential to produce a wide variety of biologically active secondary metabolites. In this study, we used four selective isolation media to culture Actinobacteria from the sediments collected from the Chukchi Shelf in the Arctic Ocean. A total of 73 actinobacterial strains were isolated. Based on repetitive DNA fingerprinting analysis, we selected 30 representatives for partial characterization according to their phylogenetic diversity, antimicrobial activities and secondary-metabolite biosynthesis genes. Results from the 16S rRNA gene sequence analysis indicated that the 30 strains could be sorted into 18 phylotypes belonging to 14 different genera: Agrococcus, Arsenicicoccus, Arthrobacter, Brevibacterium, Citricoccus, Janibacter, Kocuria, Microbacterium, Microlunatus, Nocardioides, Nocardiopsis, Saccharopolyspora, Salinibacterium and Streptomyces. To our knowledge, this paper is the first report on the isolation of Microlunatus genus members from marine habitats. Of the 30 isolates, 11 strains exhibited antibacterial and/or antifungal activity, seven of which have activities against Bacillus subtilis and Candida albicans. All 30 strains have at least two biosynthetic genes, one-third of which possess more than four biosynthetic genes. This study demonstrates the significant diversity of Actinobacteria in the Chukchi Shelf sediment and their potential for producing biologically active compounds and novel material for genetic manipulation or combinatorial biosynthesis.</t>
  </si>
  <si>
    <t>[Yuan, Meng; Yu, Yong; Li, Hui-Rong; Dong, Ning] Polar Res Inst China, SOA Key Lab Polar Sci, Shanghai 200136, Peoples R China; [Yuan, Meng; Dong, Ning; Zhang, Xiao-Hua] Ocean Univ China, Dept Marine Biol, Qingdao 266003, Peoples R China</t>
  </si>
  <si>
    <t>Polar Research Institute of China; Ocean University of China</t>
  </si>
  <si>
    <t>Yu, Y (corresponding author), Polar Res Inst China, SOA Key Lab Polar Sci, Shanghai 200136, Peoples R China.</t>
  </si>
  <si>
    <t>dfsq1989@126.com; yuyong@pric.gov.cn; lihuirong@pric.gov.cn; dongn.eve@gmail.com; xhzhang@ouc.edu.cn</t>
  </si>
  <si>
    <t>Dong, Ning/ABE-3045-2020; Yuan, Meng/E-4949-2013</t>
  </si>
  <si>
    <t>Yuan, Meng/0000-0003-1381-9202; Dong, Ning/0000-0001-6515-4201</t>
  </si>
  <si>
    <t>National Natural Science Foundation of China [41276175]; Natural Science Foundation of Shanghai [11ZR1441000]; National High Technology Research and Development Program (863 Program) of China [2012AA021706]; Chinese Polar Environment Comprehensive Investigation and Assessment Programs [CHINARE2013-02-01]</t>
  </si>
  <si>
    <t>National Natural Science Foundation of China(National Natural Science Foundation of China (NSFC)); Natural Science Foundation of Shanghai(Natural Science Foundation of Shanghai); National High Technology Research and Development Program (863 Program) of China(National High Technology Research and Development Program of China); Chinese Polar Environment Comprehensive Investigation and Assessment Programs</t>
  </si>
  <si>
    <t>We thank the Chinese Arctic and Antarctic Administration (CAA) who assisted in the field work of this study. This study was supported by the National Natural Science Foundation of China (No. 41276175), the Natural Science Foundation of Shanghai (No. 11ZR1441000), the National High Technology Research and Development Program (863 Program) of China (No. 2012AA021706) and the Chinese Polar Environment Comprehensive Investigation and Assessment Programs (No. CHINARE2013-02-01).</t>
  </si>
  <si>
    <t>MDPI</t>
  </si>
  <si>
    <t>BASEL</t>
  </si>
  <si>
    <t>ST ALBAN-ANLAGE 66, CH-4052 BASEL, SWITZERLAND</t>
  </si>
  <si>
    <t>1660-3397</t>
  </si>
  <si>
    <t>MAR DRUGS</t>
  </si>
  <si>
    <t>Mar. Drugs</t>
  </si>
  <si>
    <t>10.3390/md12031281</t>
  </si>
  <si>
    <t>Chemistry, Medicinal; Pharmacology &amp; Pharmacy</t>
  </si>
  <si>
    <t>Pharmacology &amp; Pharmacy</t>
  </si>
  <si>
    <t>AG9PX</t>
  </si>
  <si>
    <t>WOS:000335752800008</t>
  </si>
  <si>
    <t>Franco-Fraguas, P; Burone, L; Mahiques, M; Ortega, L; Urien, C; Muñoz, A; López, G; Marin, Y; Carranza, A; Lahuerta, N; de Mello, C</t>
  </si>
  <si>
    <t>Franco-Fraguas, P.; Burone, L.; Mahiques, M.; Ortega, L.; Urien, C.; Munoz, A.; Lopez, G.; Marin, Y.; Carranza, A.; Lahuerta, N.; de Mello, C.</t>
  </si>
  <si>
    <t>Hydrodynamic and geomorphological controls on surface sedimentation at the Subtropical Shelf Front/Brazil-Malvinas Confluence transition off Uruguay (Southwestern Atlantic Continental Margin)</t>
  </si>
  <si>
    <t>sedimentology; geomorphology; Brazil Malvinas Confluence; Subtropical Shelf Front; Southwestern Atlantic Continental Margin</t>
  </si>
  <si>
    <t>ANTARCTIC INTERMEDIATE WATER; CORAL-REEFS; PLATA RIVER; FRONT; DEEP</t>
  </si>
  <si>
    <t>The hydrology of the Southwestern Atlantic margin is dominated by the confluence of water masses with contrasting thermohaline properties, generating a frontal zone that extends from the Brazil-Malvinas Confluence zone (BMC) in the open ocean to the Subtropical Shelf Front (STSF) on the continental shelf. However, the hydrodynamics of the transition between these hydrographic features is still not fully understood. High-resolution morphological (multibeam) and hydrological (CTD) data were integrated with sedimentological data (textural and productivity proxies) in order to develop a sound framework to understand surface sedimentation of the slope extension of the STSF (subsurface, outer shelf and upper slope) and of the BMC (intermediate level, middle slope) on the Uruguayan continental margin (34 to 36 S). Since the detailed morphology of the study area is presented for the first time, related geological processes are briefly discussed. On the outer shelf and upper slope, and north of the STSF, the current direction of erosive mound scarps indicates the dominance of the southward-flowing Brazil Current (BC). This suggests a northernmost boundary for the distribution of the STSF. A strong flux of the BC favored by a steeper slope as well as by the occurrence of canyons incised on the upper slope is evidenced by the occurrence of coarser sediments and low values of productivity proxies, but also by the presence of deep sea coral reefs. Southwards, the effect of a less energetic Malvinas Current (MC) and the highly productive STSF is indicated by the deposition of fine sediments with high organic matter content, as well as by the absence of deep sea coral reefs. This depositional scenario is enhanced by a smooth slope and the occurrence of canyons incised deeper in the middle slope. Off-shelf sediment transport along the STSF is inferred by the similar texture registered between the outer shelf and shallow upper slope, the occurrence of biogenic shelly reworked sands and gravel, and by the observed decrease in grain size with depth. Glacial iceberg transport northwards and/or gravity processes are suggested by the occurrence of igneous/metamorphic gravel in lag deposits on the upper slope. On the middle slope, the northernmost influence of the erosive Antarctic Intermediate Water is evidenced by the vanishing of morphologic contouritic structures. This is also imprinted in a pronounced northward fining in grain size. This contribution increase our understanding of this highly dynamic and complex area, providing the first detailed analysis of the regional sediment patterns and oceanographic and morphological controls on surface sedimentation. (C) 2013 Elsevier B.V. All rights reserved.</t>
  </si>
  <si>
    <t>[Franco-Fraguas, P.; Burone, L.; de Mello, C.] Univ Republica, Fac Ciencias, Secc Oceanol, Montevideo 11400, Uruguay; [Mahiques, M.] Univ Sao Paulo, Inst Oceanog, BR-05508120 Sao Paulo, Brazil; [Ortega, L.; Lopez, G.] MGAP, Oceanog Lab, Direcc Nacl Recursos Acuat DINARA, Montevideo, Uruguay; [Marin, Y.] MGAP, Lab Tecnol Pesquera, Direcc Nacl Recursos Acuat DINARA, Montevideo, Uruguay; [Urien, C.] Urien &amp; Asociados, Geociencias, Buenos Aires, DF, Argentina; [Munoz, A.] TRAGSA Secretaria Gen Mar, Madrid 28006, Spain; [Carranza, A.] Univ Republica, Ctr Univ Reg Este CURE Sede Maldonado, Montevideo 11400, Uruguay; [Carranza, A.] Museo Nacl Hist Nat, Area Biodiversidad &amp; Conservac, Montevideo, Uruguay</t>
  </si>
  <si>
    <t>Universidad de la Republica, Uruguay; Universidade de Sao Paulo; Universidad de la Republica, Uruguay</t>
  </si>
  <si>
    <t>Franco-Fraguas, P (corresponding author), Univ Republica, Fac Ciencias, Secc Oceanol, Igua 4225, Montevideo 11400, Uruguay.</t>
  </si>
  <si>
    <t>Carranza, Alvar/J-8270-2019; Mahiques, Michel/D-1526-2010; Munoz Recio, Araceli/M-2521-2014</t>
  </si>
  <si>
    <t>Carranza, Alvar/0000-0003-3016-7955; Mahiques, Michel/0000-0002-5249-5610; Munoz Recio, Araceli/0000-0002-8994-3093; Ortega, Leonardo/0000-0002-1254-2822; Marin, Yamandu H./0000-0002-7483-8063</t>
  </si>
  <si>
    <t>Secretaria General del Mar (SGM); Institut Espanol de Oceanografia (MO) (Spain); Direccion Nacional de Recursos Acuaticos (DINARA) (Uruguay); Agenda Nacional de Innovacion e Investigacion (ANII, Uruguay); Programa de Investigacion de Ciencias Micas (PEDECIBA)</t>
  </si>
  <si>
    <t>This work was part of the PhD thesis of PFF. We would like to express our gratitude to the crew of the R/V Miguel Oliver. Financial support from Secretaria General del Mar (SGM) and Institut Espanol de Oceanografia (MO) (Spain) and Direccion Nacional de Recursos Acuaticos (DINARA) (Uruguay) is acknowledged. PFF acknowledges Agenda Nacional de Innovacion e Investigacion (ANII, Uruguay) and Programa de Investigacion de Ciencias Micas (PEDECIBA). We are grateful to all the staff of Laboratorio de Oceanografia Laboratorio de Tecnologia Pesquera and Bentos (DINARA) especially to Arianna Masello, Gaston Martinez, Sebastian Horta and Julio Chocca. Fabrizio Scarabino contributed with important bibliography and with fruitful discussions. Dr. Gerardo M. E. Perillo is thanked for assistance with interpretation of erosive mound scarps. Juan Trucco is acknowledged for the artwork of the synthetic diagram. We are especially grateful to the editor and two reviewers whose comments and suggestions greatly improved the quality of this work.</t>
  </si>
  <si>
    <t>10.1016/j.margeo.2013.12.010</t>
  </si>
  <si>
    <t>WOS:000335277500002</t>
  </si>
  <si>
    <t>Foster, SD; Hosack, GR; Hill, NA; Barrett, NS; Lucieer, VL</t>
  </si>
  <si>
    <t>Foster, Scott D.; Hosack, Geoffrey R.; Hill, Nicole A.; Barrett, Neville S.; Lucieer, Vanessa L.</t>
  </si>
  <si>
    <t>Choosing between strategies for designing surveys: autonomous underwater vehicles</t>
  </si>
  <si>
    <t>METHODS IN ECOLOGY AND EVOLUTION</t>
  </si>
  <si>
    <t>geostatistics; model-based design; autonomous underwater vehicles; matern; temperate reef; autocorrelation; GRTS; integrated nested laplace approximation</t>
  </si>
  <si>
    <t>NATURAL-RESOURCES; MODELS; REEF; POPULATIONS; PREDICTION; HABITAT</t>
  </si>
  <si>
    <t>Autonomous underwater vehicles (AUV), which collect images of marine habitats, are now an established sampling tool. The use of AUVs is becoming more widespread as they offer a non-destructive method to survey substantial spatial areas. The design of AUV surveys has historically been based on expert knowledge and AUV-specific considerations, such as reducing geolocation error. The expert knowledge encompasses intuition, previous surveying experiences and holistic knowledge of the study region. We investigate the statistical aspects to AUV survey design for estimation of percentage cover of key benthic biota. We investigate the presence of spatial autocorrelation in AUV data using model-based geostatistics and examine the effect of autocorrelation on survey design by examining different design strategies - methods for placing AUV transects. The design strategies are assessed by inspecting the expected bias and the expected standard deviation of model predictions, where the model depends on the choice of design. The AUV data exhibited a wide range of autocorrelation, from non-existent to substantial. The design strategies varied in their statistical performance and nearly all strategies had shortcomings. Design strategies that were consistently poor performers had (i) transects placed in parallel in a single spatial dimension and (ii) made no attempt to spread out the transects in space. The superior design types had more transect-to-transect separation (but not too much) and effectively spanned important covariates. The results give guidelines to researchers designing AUV surveys for biological mapping and for monitoring. In particular, we demonstrate that any spatial design should seek spatial balance, such as would be introduced by a systematic or stratified component within a randomized design. Knowledge of the system under study should be incorporated and, if possible, should be done so in a formal manner that is objective and repeatable.</t>
  </si>
  <si>
    <t>[Foster, Scott D.; Hosack, Geoffrey R.] CSIROs Wealth Oceans Flagship, Hobart, Tas 7001, Australia; [Hill, Nicole A.; Barrett, Neville S.; Lucieer, Vanessa L.] Univ Tasmania, Inst Marine &amp; Antarctic Sci, Hobart, Tas 7001, Australia</t>
  </si>
  <si>
    <t>Commonwealth Scientific &amp; Industrial Research Organisation (CSIRO); University of Tasmania</t>
  </si>
  <si>
    <t>Foster, SD (corresponding author), CSIROs Wealth Oceans Flagship, GPO Box 1538, Hobart, Tas 7001, Australia.</t>
  </si>
  <si>
    <t>scott.foster@csiro.au</t>
  </si>
  <si>
    <t>Hill, Nicole/AAI-7323-2021; Hosack, Geoffrey/E-8566-2010; Lucieer, Vanessa/D-1697-2009; Barrett, Neville/J-7593-2014; Foster, Scott/E-9311-2010</t>
  </si>
  <si>
    <t>Hill, Nicole/0000-0001-9329-6717; Hosack, Geoffrey/0000-0002-6462-6817; Lucieer, Vanessa/0000-0001-7531-5750; Barrett, Neville/0000-0002-6167-1356; Foster, Scott/0000-0002-6719-8002</t>
  </si>
  <si>
    <t>Marine Biodiversity Hub; Australian Government's National Environmental Research Program (NERP)</t>
  </si>
  <si>
    <t>Marine Biodiversity Hub; Australian Government's National Environmental Research Program (NERP)(Australian Government)</t>
  </si>
  <si>
    <t>We would like to thank K. Hayes, P. Kuhnert, M. Bravington, N. Bax, D. Peel, P. Dunstan, H. Rue, F. Lindgren and the three anonymous reviewers. This work was supported in part by the Marine Biodiversity Hub, a collaborative partnership supported through funding from the Australian Government's National Environmental Research Program (NERP). NERP Marine Biodiversity Hub partners include the Institute for Marine and Antarctic Studies, University of Tasmania; CSIRO Wealth from Oceans National Flagship, Geoscience Australia, Australian Institute of Marine Science, Museum Victoria, Charles Darwin University and the University of Western Australia.</t>
  </si>
  <si>
    <t>2041-210X</t>
  </si>
  <si>
    <t>2041-2096</t>
  </si>
  <si>
    <t>METHODS ECOL EVOL</t>
  </si>
  <si>
    <t>Methods Ecol. Evol.</t>
  </si>
  <si>
    <t>10.1111/2041-210X.12156</t>
  </si>
  <si>
    <t>AC4UR</t>
  </si>
  <si>
    <t>WOS:000332517100009</t>
  </si>
  <si>
    <t>Wang, CZ; Zhang, LP; Lee, SK; Wu, LX; Mechoso, CR</t>
  </si>
  <si>
    <t>Wang, Chunzai; Zhang, Liping; Lee, Sang-Ki; Wu, Lixin; Mechoso, Carlos R.</t>
  </si>
  <si>
    <t>A global perspective on CMIP5 climate model biases</t>
  </si>
  <si>
    <t>MERIDIONAL OVERTURNING CIRCULATION; ATLANTIC WARM POOL; THERMOHALINE CIRCULATION; TROPICAL PACIFIC; OCEAN; VARIABILITY; RAINFALL</t>
  </si>
  <si>
    <t>The Intergovernmental Panel on Climate Change's Fifth Assessment Report largely depends on simulations, predictions and projections by climate models(1). Most models, however, have deficiencies and biases that raise large uncertainties in their products. Over the past several decades, a tremendous effort has been made to improve model performance in the simulation of special regions and aspects of the climate system(2-4). Here we show that biases or errors in special regions can be linked with others at far away locations. We find in 22 climate models that regional sea surface temperature (SST) biases are commonly linked with the Atlantic meridional overturning circulation (AMOC), which is characterized by the northward flow in the upper ocean and returning southward flow in the deep ocean. A simulated weak AMOC is associated with cold biases in the entire Northern Hemisphere with an atmospheric pattern that resembles the Northern Hemisphere annular mode. The AMOC weakening is also associated with a strengthening of Antarctic Bottom Water formation and warm SST biases in the Southern Ocean. It is also shown that cold biases in the tropical North Atlantic and West African/Indian monsoon regions during the warm season in the Northern Hemisphere have interhemispheric links with warm SST biases in the tropical southeastern Pacific and Atlantic, respectively. The results suggest that improving the simulation of regional processes may not suffice for overall better model performance, as the effects of remote biases may override them.</t>
  </si>
  <si>
    <t>[Wang, Chunzai; Zhang, Liping; Lee, Sang-Ki] NOAA, Atlantic Oceanog &amp; Meteorol Lab, Miami, FL 33149 USA; [Zhang, Liping; Lee, Sang-Ki] Univ Miami, Cooperat Inst Marine &amp; Atmospher Studies, Miami, FL 33149 USA; [Wu, Lixin] Ocean Univ China, Phys Oceanog Lab, Qingdao Collaborat Innovat Ctr Marine Sci &amp; Techn, Qingdao 266100, Peoples R China; [Mechoso, Carlos R.] Univ Calif Los Angeles, Los Angeles, CA 90095 USA</t>
  </si>
  <si>
    <t>National Oceanic Atmospheric Admin (NOAA) - USA; Atlantic Oceanographic &amp; Meteorological Laboratory (AOML); University of Miami; Ocean University of China; University of California System; University of California Los Angeles</t>
  </si>
  <si>
    <t>Wang, CZ (corresponding author), NOAA, Atlantic Oceanog &amp; Meteorol Lab, Miami, FL 33149 USA.</t>
  </si>
  <si>
    <t>Chunzai.Wang@noaa.gov</t>
  </si>
  <si>
    <t>Wang, Chunzai/C-9712-2009; Lee, Sang-Ki/A-5703-2011; Zhang, Liping/L-6480-2015</t>
  </si>
  <si>
    <t>Wang, Chunzai/0000-0002-7611-0308; Lee, Sang-Ki/0000-0002-4047-3545; Zhang, Liping/0000-0003-1122-8927</t>
  </si>
  <si>
    <t>National Oceanic and Atmospheric Administration (NOAA) Climate Program Office; National Science Foundation; NOAA/AOML; China National Global Change Major Research Project [2013CB956201]; China National Science Foundation [41130859]; Directorate For Geosciences; Div Atmospheric &amp; Geospace Sciences [1041145] Funding Source: National Science Foundation</t>
  </si>
  <si>
    <t>National Oceanic and Atmospheric Administration (NOAA) Climate Program Office(National Oceanic Atmospheric Admin (NOAA) - USA); National Science Foundation(National Science Foundation (NSF)); NOAA/AOML(National Oceanic Atmospheric Admin (NOAA) - USA); China National Global Change Major Research Project; China National Science Foundation(National Natural Science Foundation of China (NSFC)); Directorate For Geosciences; Div Atmospheric &amp; Geospace Sciences(National Science Foundation (NSF)NSF - Directorate for Geosciences (GEO))</t>
  </si>
  <si>
    <t>R. Lumpkin served as an internal reviewer of the Atlantic Oceanographic and Meteorological Laboratory (AOML). This work was supported by grants from the National Oceanic and Atmospheric Administration (NOAA) Climate Program Office, National Science Foundation, the base funding of NOAA/AOML, China National Global Change Major Research Project (2013CB956201), and China National Science Foundation Key Project (41130859). The findings and conclusions in this report are those of the author(s) and do not necessarily represent the views of the funding agency.</t>
  </si>
  <si>
    <t>10.1038/NCLIMATE2118</t>
  </si>
  <si>
    <t>AE0PU</t>
  </si>
  <si>
    <t>WOS:000333669100022</t>
  </si>
  <si>
    <t>Kim, JH; Jazdzewska, A; Choi, HG; Kim, W</t>
  </si>
  <si>
    <t>Kim, Jee-Hoon; Jazdzewska, Anna; Choi, Han-Gu; Kim, Won</t>
  </si>
  <si>
    <t>The first report on Amphipoda from Marian Cove, King George Island, Antarctic</t>
  </si>
  <si>
    <t>OCEANOLOGICAL AND HYDROBIOLOGICAL STUDIES</t>
  </si>
  <si>
    <t>Crustacea; amphipods; shallow sublittoral; West Antarctic</t>
  </si>
  <si>
    <t>FAUNA</t>
  </si>
  <si>
    <t>This is a first account on amphipods from Marian Cove in Maxwell Bay, near the King Sejong Station, King George Island, the Antarctic. We have conducted a survey in 14 localities in the shallow sublittoral zone. A total of 22 amphipod species belonging to 12 families were identified. Six of these species were new for the whole Maxwell Bay. Our findings increase the amphipod fauna of Maxwell Bay from 55 to 61 species. The dominant species in the shallow sublittoral zone of Marian Cove were: Cheirimedon femoratus and Gondogeneia antarctica, followed by Bovallia gigantea, Orchomenella cf. ultima, Paradexamine fissicauda, Prostebbingia brevicornis, Pariphimedia integricauda, and Jassa wandeli.</t>
  </si>
  <si>
    <t>[Kim, Jee-Hoon; Kim, Won] Seoul Natl Univ, Sch Biol Sci, Seoul 151747, South Korea; [Jazdzewska, Anna] Univ Lodz, Lab Polar Biol &amp; Oceanobiol, PL-90237 Lodz, Poland; [Kim, Jee-Hoon; Choi, Han-Gu] Korea Polar Res Inst, Inchon 406840, South Korea</t>
  </si>
  <si>
    <t>Seoul National University (SNU); University of Lodz; Korea Polar Research Institute (KOPRI); Korea Institute of Ocean Science &amp; Technology (KIOST)</t>
  </si>
  <si>
    <t>Kim, W (corresponding author), Seoul Natl Univ, Sch Biol Sci, Seoul 151747, South Korea.</t>
  </si>
  <si>
    <t>wonkim@snu.ac.kr</t>
  </si>
  <si>
    <t>Jazdzewska, Anna/AAK-4697-2020</t>
  </si>
  <si>
    <t>Jazdzewska, Anna/0000-0003-2529-0641</t>
  </si>
  <si>
    <t>Basic Research Program of KOPRI [PE12030]; National Institute of Biological Resources (NIBR) of the Ministry of Environment, KOREA [1834-302]; Marine Biotechnology Programme; Ministry of Land, Transport and Maritime affairs of the Korean Government</t>
  </si>
  <si>
    <t>Basic Research Program of KOPRI(Korea Polar Research Institute of Marine Research Placement (KOPRI)); National Institute of Biological Resources (NIBR) of the Ministry of Environment, KOREA; Marine Biotechnology Programme; Ministry of Land, Transport and Maritime affairs of the Korean Government(Ministry of Land, Transport and Maritime Affairs (MLTM), Republic of Korea)</t>
  </si>
  <si>
    <t>We are very thankful to Sanghui Lee and Hye-Won Moon for collecting some samples. This work was supported by the Basic Research Program of KOPRI (PE12030), the National Institute of Biological Resources (NIBR) of the Ministry of Environment, KOREA (1834-302), and the Marine Biotechnology Programme funded by the Ministry of Land, Transport and Maritime affairs of the Korean Government.</t>
  </si>
  <si>
    <t>WALTER DE GRUYTER GMBH</t>
  </si>
  <si>
    <t>GENTHINER STRASSE 13, D-10785 BERLIN, GERMANY</t>
  </si>
  <si>
    <t>1730-413X</t>
  </si>
  <si>
    <t>1897-3191</t>
  </si>
  <si>
    <t>OCEANOL HYDROBIOL ST</t>
  </si>
  <si>
    <t>Oceanol. Hydrobiol. Stud.</t>
  </si>
  <si>
    <t>10.2478/s13545-014-0122-2</t>
  </si>
  <si>
    <t>AE1BI</t>
  </si>
  <si>
    <t>WOS:000333700100012</t>
  </si>
  <si>
    <t>Matsumoto, K; Chase, Z; Kohfeld, K</t>
  </si>
  <si>
    <t>Matsumoto, Katsumi; Chase, Zanna; Kohfeld, Karen</t>
  </si>
  <si>
    <t>Different mechanisms of silicic acid leakage and their biogeochemical consequences</t>
  </si>
  <si>
    <t>silicic acid; Southern Ocean; carbon cycle; numerical model; production; glacial</t>
  </si>
  <si>
    <t>LAST GLACIAL MAXIMUM; ANTARCTIC SEA-ICE; SOUTHERN-OCEAN; CLIMATE-CHANGE; EQUATORIAL PACIFIC; CARBON-DIOXIDE; NORTH-ATLANTIC; IRON; MODEL; CYCLE</t>
  </si>
  <si>
    <t>In the modern ocean, silicic acid is effectively trapped in the Southern Ocean. According to the silicic acid leakage hypothesis, a loosening of this trapping may have contributed to low atmospheric CO2 during glacial times. Using a model with dynamical feedbacks in ocean physics and biology, we explore three distinct mechanisms to loosen the trapping and trigger silicic acid leakage from the Southern Ocean: sea ice expansion, weaker winds, and iron addition. The basic idea of the iron addition mechanism was previously explored using a simple box model. Here we confirm the main results of the earlier work and demonstrate further that sea ice expansion and weaker southern westerlies can also trigger silicic acid leakage. The three mechanisms are not mutually exclusive, and their biogeochemical consequences are dissimilar in terms of the spatial patterns of Si:N uptake and the relative changes in opal and particulate organic carbon fluxes both in and outside the Southern Ocean. While it is not entirely clear how sea ice, winds, and iron deposition were different during the last glacial period compared to today, we examine the synergistic effects of these three triggers in one simulation. In this simulation, the combination of sea ice and iron reproduces the north-south dipole of productivity recorded in export production proxies, but effects of the iron perturbation seem to dominate the overall biogeochemical response. Key Points Iron, sea ice, and winds can trigger silicic acid leakage from Southern Ocean Iron seems to be the strongest trigger in the context of the last glaciation Biogeochemical response to each of the three triggers is different</t>
  </si>
  <si>
    <t>[Matsumoto, Katsumi] Univ Minnesota, Dept Earth Sci, Minneapolis, MN 55455 USA; [Chase, Zanna] Univ Tasmania, Inst Marine &amp; Antarctic Studies, Hobart, Tas, Australia; [Kohfeld, Karen] Simon Fraser Univ, Sch Resource &amp; Environm Management, Burnaby, BC V5A 1S6, Canada</t>
  </si>
  <si>
    <t>University of Minnesota System; University of Minnesota Twin Cities; University of Tasmania; Simon Fraser University</t>
  </si>
  <si>
    <t>Matsumoto, K (corresponding author), Univ Minnesota, Dept Earth Sci, Minneapolis, MN 55455 USA.</t>
  </si>
  <si>
    <t>katsumi@umn.edu</t>
  </si>
  <si>
    <t>Chase, Zanna/E-9232-2013; Matsumoto, Katsumi/X-3706-2018</t>
  </si>
  <si>
    <t>Chase, Zanna/0000-0001-5060-779X; Kohfeld, Karen/0000-0001-7241-1624; Matsumoto, Katsumi/0000-0002-5832-9592</t>
  </si>
  <si>
    <t>University of Tasmania; NSERC; Canada Research Chair programs; Australian Research Council</t>
  </si>
  <si>
    <t>University of Tasmania; NSERC(Natural Sciences and Engineering Research Council of Canada (NSERC)); Canada Research Chair programs(Canada Research Chairs); Australian Research Council(Australian Research Council)</t>
  </si>
  <si>
    <t>University of Tasmania provided visiting scholarship to both K. M. and K. E. K. Additional support for K. M. was provided by sabbatical support from the University of Minnesota. K. E. K. is also supported by the NSERC Discovery Grant and Canada Research Chair programs. Z.C. is supported by an Australian Research Council Future Fellowship. Numerical computation was carried out using resources at the University of Minnesota Supercomputing Institute.</t>
  </si>
  <si>
    <t>10.1002/2013PA002588</t>
  </si>
  <si>
    <t>WOS:000334349800008</t>
  </si>
  <si>
    <t>Mueller, I; Hoffman, M; Dullen, K; O'Brien, K</t>
  </si>
  <si>
    <t>Mueller, Irina; Hoffman, Megan; Dullen, Kristen; O'Brien, Kristin</t>
  </si>
  <si>
    <t>Moderate elevations in temperature do not increase oxidative stress in oxidative muscles of Antarctic notothenioid fishes</t>
  </si>
  <si>
    <t>Notothenioids; Antioxidants; Oxidative stress; Warm acclimation</t>
  </si>
  <si>
    <t>PAGOTHENIA-BORCHGREVINKI; MITOCHONDRIAL-FUNCTION; TREMATOMUS-BERNACCHII; PROTEIN EXPRESSION; HYDROGEN-PEROXIDE; COLD-ACCLIMATION; CLIMATE-CHANGE; OXYGEN; EVOLUTION; GENERATION</t>
  </si>
  <si>
    <t>Previous work in our laboratory showed that levels of oxidized proteins and/or lipids increase in heart ventricles of icefishes but not red-blooded notothenioids in response to exposure to their critical thermal maxima (CTMax). However, neither icefishes nor red-blooded fishes up-regulate their antioxidant defenses in response to exposure to CTMax, suggesting notothenioids may have lost the ability to alter antioxidant levels in response to stress during their evolution at cold temperature. Alternatively, exposure to CTMax may have been too short a thermal stress to induce increases in antioxidant levels. To address this question, the icefish Chionodraco rastrospinosus and the red-blooded notothenioid Notothenia coriiceps were maintained at either 0 A(0)C or 4 A degrees C for 1 week. Levels of oxidized proteins and lipids, as well as transcript abundance and maximal activity of the antioxidants superoxide dismutase and catalase, were quantified in heart ventricle and pectoral adductor muscle. Although previous studies showed that the production of reactive oxygen species increases in response to warming in notothenioids, neither levels of oxidized proteins, lipids nor antioxidant activity increased in any tissue of either species in response to exposure to 4 A degrees C. This suggests that notothenioids do not incur oxidative damage during prolonged, moderate warming.</t>
  </si>
  <si>
    <t>[Mueller, Irina; Hoffman, Megan; Dullen, Kristen; O'Brien, Kristin] Univ Alaska, Inst Arctic Biol, Fairbanks, AK 99775 USA</t>
  </si>
  <si>
    <t>University of Alaska System; University of Alaska Fairbanks</t>
  </si>
  <si>
    <t>O'Brien, K (corresponding author), Univ Alaska, Inst Arctic Biol, Fairbanks, AK 99775 USA.</t>
  </si>
  <si>
    <t>kmobrien@alaska.edu</t>
  </si>
  <si>
    <t>National Science Foundation [ANT 0741301]; University of Alaska Fairbanks (UAF) Center for Global Change Student Research Grant; UAF; N.S.F.; Direct For Biological Sciences; Div Of Biological Infrastructure [0829300] Funding Source: National Science Foundation; Office of Polar Programs (OPP); Directorate For Geosciences [1043781] Funding Source: National Science Foundation</t>
  </si>
  <si>
    <t>National Science Foundation(National Science Foundation (NSF)); University of Alaska Fairbanks (UAF) Center for Global Change Student Research Grant; UAF; N.S.F.(National Science Foundation (NSF)); Direct For Biological Sciences; Div Of Biological Infrastructure(National Science Foundation (NSF)NSF - Directorate for Biological Sciences (BIO)); Office of Polar Programs (OPP); Directorate For Geosciences(National Science Foundation (NSF)NSF - Directorate for Geosciences (GEO))</t>
  </si>
  <si>
    <t>We are grateful for the outstanding support from the Crew and Masters of the ARSV Laurence M. Gould and the Raytheon support staff at Palmer Station Antarctica. This research was supported by a Grant from the National Science Foundation (ANT 0741301) to K. OB. I. M. was supported in part by a University of Alaska Fairbanks (UAF) Center for Global Change Student Research Grant. K. D. was supported in part by a UAF Undergraduate Research and Mentorship Award from N.S.F.</t>
  </si>
  <si>
    <t>10.1007/s00300-013-1432-3</t>
  </si>
  <si>
    <t>WOS:000331721000002</t>
  </si>
  <si>
    <t>Wolf, C; Frickenhaus, S; Kilias, ES; Peeken, I; Metfies, K</t>
  </si>
  <si>
    <t>Wolf, Christian; Frickenhaus, Stephan; Kilias, Estelle S.; Peeken, Ilka; Metfies, Katja</t>
  </si>
  <si>
    <t>Protist community composition in the Pacific sector of the Southern Ocean during austral summer 2010</t>
  </si>
  <si>
    <t>Phytoplankton; Eukaryotic diversity; ARISA; Next-generation sequencing; HPLC</t>
  </si>
  <si>
    <t>ROSS SEA; EUKARYOTIC PICOPLANKTON; MICROBIAL DIVERSITY; PHYTOPLANKTON ASSEMBLAGES; ATLANTIC SECTOR; WATER MASSES; ARCTIC-OCEAN; DEEP-SEA; BIOMASS; SIZE</t>
  </si>
  <si>
    <t>Knowledge about the protist diversity of the Pacific sector of the Southern Ocean is scarce. We tested the hypothesis that distinct protist community assemblages characterize large-scale water masses. Therefore, we determined the composition and biogeography of late summer protist assemblages along a transect from the coast of New Zealand to the eastern Ross Sea. We used state of the art molecular approaches, such as automated ribosomal intergenic spacer analysis and 454-pyrosequencing, combined with high-performance liquid chromatography pigment analysis to study the protist assemblage. We found distinct biogeographic patterns defined by the environmental conditions in the particular region. Different water masses harbored different microbial communities. In contrast to the Arctic Ocean, picoeukaryotes had minor importance throughout the investigated transect and showed very low contribution south of the Polar Front. Dinoflagellates, Syndiniales, and small stramenopiles were dominating the sequence assemblage in the Subantarctic Zone, whereas the relative abundance of diatoms increased southwards, in the Polar Frontal Zone and Antarctic Zone. South of the Polar Front, most sequences belonged to haptophytes. This study delivers a comprehensive and taxon detailed overview of the protist composition in the investigated area during the austral summer 2010.</t>
  </si>
  <si>
    <t>[Wolf, Christian; Frickenhaus, Stephan; Kilias, Estelle S.; Peeken, Ilka; Metfies, Katja] Helmholtz Ctr Polar &amp; Marine Res, Alfred Wegener Inst, D-27570 Bremerhaven, Germany; [Peeken, Ilka] Univ Bremen, MARUM, Ctr Marine Environm Sci, D-28359 Bremen, Germany</t>
  </si>
  <si>
    <t>Helmholtz Association; Alfred Wegener Institute, Helmholtz Centre for Polar &amp; Marine Research; University of Bremen</t>
  </si>
  <si>
    <t>Wolf, C (corresponding author), Helmholtz Ctr Polar &amp; Marine Res, Alfred Wegener Inst, Handelshafen 12, D-27570 Bremerhaven, Germany.</t>
  </si>
  <si>
    <t>Christian.Wolf@awi.de</t>
  </si>
  <si>
    <t>Peeken, Ilka/0000-0003-1531-1664; Frickenhaus, Stephan/0000-0002-0356-9791</t>
  </si>
  <si>
    <t>Initiative and Networking Fund of the Helmholtz Association [VH-NG-500]</t>
  </si>
  <si>
    <t>Initiative and Networking Fund of the Helmholtz Association</t>
  </si>
  <si>
    <t>This study was accomplished within the Young Investigator Group PLANKTOSENS (VH-NG-500), funded by the Initiative and Networking Fund of the Helmholtz Association. We thank the captain and crew of the RV Polarstern for their support during the cruise. We are grateful to F. Kilpert and B. Beszteri for their bioinformatical support. We also want to thank A. Schroer, A. Nicolaus, and K. Oetjen for technical support in the laboratory and Steven Holland for providing access to the program Analytic Rarefaction 1.3. We would like to acknowledge E. M. Nothig and K. Kohls for their insightful discussions and reviews of this manuscript.</t>
  </si>
  <si>
    <t>10.1007/s00300-013-1438-x</t>
  </si>
  <si>
    <t>WOS:000331721000008</t>
  </si>
  <si>
    <t>Alcántara-Hernández, RJ; Centeno, CM; Ponce-Mendoza, A; Batista, S; Merino-Ibarra, M; Campo, J; Falcón, LI</t>
  </si>
  <si>
    <t>Alcantara-Hernandez, Rocio J.; Centeno, Carla M.; Ponce-Mendoza, Alejandro; Batista, Silvia; Merino-Ibarra, Martin; Campo, Julio; Falcon, Luisa I.</t>
  </si>
  <si>
    <t>Characterization and comparison of potential denitrifiers in microbial mats from King George Island, Maritime Antarctica</t>
  </si>
  <si>
    <t>Cyanobacterial microbial mat; Denitrifiers; PCR-DGGE; Maritime Antarctica</t>
  </si>
  <si>
    <t>NITRITE REDUCTASE GENES; MCMURDO DRY VALLEYS; COMMUNITY STRUCTURE; FRESH-WATER; DIVERSITY; BACTERIAL; DNA; NIRS; SOIL; IDENTIFICATION</t>
  </si>
  <si>
    <t>Cyanobacterial microbial mats are highly structured communities commonly found in Antarctic inland waters including melt streams. These benthic microbial associations comprise a large number of microorganisms with different metabolic capacities, impacting nutrient dynamics where established. The denitrification process is a feasible nitrogen loss pathway and a biological source of nitrous oxide, a potent greenhouse gas that also promotes ozone depletion. Potential denitrifiers from five microbial mats were characterized using a PCR-DGGE (denaturing gradient gel electrophoresis) approach. Molecular markers encoding for key enzymes in the denitrification process (nirK, nirS and nosZ) were used. Fingerprints were obtained for the five sampled mats and compared for two successive years. Distance analysis showed that despite the sampled year, the denitrifying genetic potential was similar between most of the sites when represented in Euclidean space. The number of dominant denitrifiers detected for each sample ranged between 6 and 18 for nirK, 4-10 for nirS and 6-17 for nosZ. The seventy-two sequenced phylotypes showed 80-98 % identity to previously reported environmental sequences from water column, sediments and soil samples. These results suggest that Antarctic microbial mats have a large denitrification potential, previously uncharacterized and composed by both site-specific and common phylotypes belonging mainly to Alpha-, Beta- and Gammaproteobacteria.</t>
  </si>
  <si>
    <t>[Alcantara-Hernandez, Rocio J.; Centeno, Carla M.; Falcon, Luisa I.] Univ Nacl Autonoma Mexico, Inst Ecol, Lab Ecol Bacteriana &amp; Epigenet, Mexico City 04510, DF, Mexico; [Ponce-Mendoza, Alejandro] Ctr Nacl Invest Disciplinaria Conservac &amp; Mejoram, INIFAP, Mexico City, DF, Mexico; [Batista, Silvia] Inst Invest Biol Clemente Estable MEC, Unidad Microbiol Mol, Montevideo, Uruguay; [Merino-Ibarra, Martin] Univ Nacl Autonoma Mexico, Inst Ciencias Mar &amp; Limnol, Unidad Acad Ecol, Mexico City 04510, DF, Mexico; [Campo, Julio] Univ Nacl Autonoma Mexico, Inst Ecol, Lab Biogeoquim Terr &amp; Clima, Mexico City 04510, DF, Mexico</t>
  </si>
  <si>
    <t>Universidad Nacional Autonoma de Mexico; Instituto de Investigaciones Biologicas Clemente Estable Uruguay; Universidad Nacional Autonoma de Mexico; Universidad Nacional Autonoma de Mexico</t>
  </si>
  <si>
    <t>Falcón, LI (corresponding author), Univ Nacl Autonoma Mexico, Inst Ecol, Lab Ecol Bacteriana &amp; Epigenet, Circuito Exterior Sn,Ciudad Univ, Mexico City 04510, DF, Mexico.</t>
  </si>
  <si>
    <t>falcon@ecologia.unam.mx</t>
  </si>
  <si>
    <t>Falcon, Luisa I/HGU-5682-2022; Alcantara-Hernandez, Rocio J/A-5054-2010</t>
  </si>
  <si>
    <t>Falcon, Luisa I/0000-0002-7210-6483; Ponce Mendoza, Alejandro/0000-0002-6220-2746; Alcantara-Hernandez, Rocio J/0000-0002-6626-715X; Merino-Ibarra, Martin/0000-0002-6690-3101</t>
  </si>
  <si>
    <t>CONACyT, Mexico; UNAM-PAPIIT [100212-3]; SEP-CONACyT [151796]; PASPA-UNAM</t>
  </si>
  <si>
    <t>CONACyT, Mexico(Consejo Nacional de Ciencia y Tecnologia (CONACyT)); UNAM-PAPIIT(Programa de Apoyo a Proyectos de Investigacion e Innovacion Tecnologica (PAPIIT)Universidad Nacional Autonoma de Mexico); SEP-CONACyT(Consejo Nacional de Ciencia y Tecnologia (CONACyT)); PASPA-UNAM(Universidad Nacional Autonoma de Mexico)</t>
  </si>
  <si>
    <t>We gratefully acknowledge Instituto Antartico Uruguayo, the staff of Base Cientifica Antartica Artigas and Secretaria de Relaciones Exteriores (Mexico) for their logistic and technical support. We also thank MSc. Osiris Gaona, MSc. Antonio Cruz-Peralta and Fermin S. Castillo-Sandoval for valuable technical support in the experimental and analytical processes. RJ A-H. and CM C. received postdoctoral (RJ A-H) and graduate (CM) scholarships from CONACyT, Mexico. Financial support was provided (LIF) by UNAM-PAPIIT (100212-3) and SEP-CONACyT (151796). LIF acknowledges sabbatical leave grants from CONACyT and PASPA-UNAM. We appreciate comments and suggestions from Paul R. Gill that substantially improved this manuscript.</t>
  </si>
  <si>
    <t>10.1007/s00300-013-1440-3</t>
  </si>
  <si>
    <t>WOS:000331721000010</t>
  </si>
  <si>
    <t>Stewart, BS; Grove, JS</t>
  </si>
  <si>
    <t>Stewart, Brent S.; Grove, Jack S.</t>
  </si>
  <si>
    <t>An extreme wandering leopard seal, Hydrurga leptonyx, at Pitcairn Island, central South Pacific</t>
  </si>
  <si>
    <t>Leopard seal; Hydrurga leptonyx; Pitcairn Island; Bounty Bay</t>
  </si>
  <si>
    <t>PACK-ICE SEALS; PRYDZ BAY</t>
  </si>
  <si>
    <t>Leopard seals are distributed around the Antarctic continent principally between 50A degrees S and 80A degrees S though they are known to wander even farther north, particularly to Australia, New Zealand, South America, and South Africa, and several sub-Antarctic Islands. Seasonal movements of leopard seals have been correlated with seasonal changes in the distribution of sea ice with seals moving north as sea ice develops in spring and winter and southward toward the Antarctic continent as it melts in late autumn and winter. On August 9, 2013, an emaciated juvenile male leopard seal was observed swimming in Bounty Bay at Pitcairn Island (25A degrees 4'S, 130A degrees 6'W). It was found ashore at a boat ramp in the bay the next day. Because of the seal's apparent distress, it was promptly shot and killed humanely by an island police officer and then dumped at sea before any measurements or additional observations could be made. We estimated the seal to be a 10-month-old pup, about 1.8-2 m long. The appearance of this leopard seal at Pitcairn Island is only slightly farther south than the most northern record (the Cook Islands, 21A degrees 25'S, 159A degrees 8'W) for the species, but it is the most remote occurrence yet documented worldwide and correlates with the all-time record for sea ice coverage in the Antarctic in winter 2013.</t>
  </si>
  <si>
    <t>[Stewart, Brent S.] Hubbs SeaWorld Res Inst, San Diego, CA 92109 USA; [Grove, Jack S.] ZEGRAHM Expedit, Tavernier, FL 33070 USA</t>
  </si>
  <si>
    <t>Stewart, BS (corresponding author), Hubbs SeaWorld Res Inst, 2595 Ingraham St, San Diego, CA 92109 USA.</t>
  </si>
  <si>
    <t>bstewart@hswri.org</t>
  </si>
  <si>
    <t>10.1007/s00300-014-1447-4</t>
  </si>
  <si>
    <t>WOS:000331721000012</t>
  </si>
  <si>
    <t>Ballerini, T; Hofmann, EE; Ainley, DG; Daly, K; Marrari, M; Ribic, CA; Smith, WO; Steele, JH</t>
  </si>
  <si>
    <t>Ballerini, Tosca; Hofmann, Eileen E.; Ainley, David G.; Daly, Kendra; Marrari, Marina; Ribic, Christine A.; Smith, Walker O., Jr.; Steele, John H.</t>
  </si>
  <si>
    <t>Productivity and linkages of the food web of the southern region of the western Antarctic Peninsula continental shelf</t>
  </si>
  <si>
    <t>KRILL EUPHAUSIA-SUPERBA; SEALS LOBODON-CARCINOPHAGUS; EASTERN ATLANTIC SECTOR; MARGUERITE BAY; CLIMATE-CHANGE; ROSS SEA; OCEAN ECOSYSTEMS; DAILY RATION; SALP/KRILL INTERACTIONS; SEASONAL VARIABILITY</t>
  </si>
  <si>
    <t>The productivity and linkages in the food web of the southern region of the west Antarctic Peninsula continental shelf were investigated using a multi-trophic level mass balance model. Data collected during the Southern Ocean Global Ocean Ecosystem Dynamics field program were combined with data from the literature on the abundance and diet composition of zooplankton, fish, seabirds and marine mammals to calculate energy flows in the food web and to infer the overall food web structure at the annual level. Sensitivity analyses investigated the effects of variability in growth and biomass of Antarctic krill (Euphausia superba) and in the biomass of Antarctic krill predators on the structure and energy fluxes in the food web. Scenario simulations provided insights into the potential responses of the food web to a reduced contribution of large phytoplankton (diatom) production to total primary production, and to reduced consumption of primary production by Antarctic krill and mesozooplankton coincident with increased consumption by microzooplankton and salps. Model-derived estimates of primary production were 187-207 g C m(-2) y(-1), which are consistent with observed values (47-351 g C m(-2) y(-1)). Simulations showed that Antarctic krill provide the majority of energy needed to sustain seabird and marine mammal production, thereby exerting a bottom-up control on higher trophic level predators. Energy transfer to top predators via mesozooplanton was a less efficient pathway, and salps were a production loss pathway because little of the primary production they consumed was passed to higher trophic levels. Increased predominance of small phytoplankton (nanoflagellates and cryptophytes) reduced the production of Antarctic krill and of its predators, including seabirds and seals. (C) 2013 Elsevier Ltd. All rights reserved.</t>
  </si>
  <si>
    <t>[Ballerini, Tosca; Hofmann, Eileen E.] Old Dominion Univ, Ctr Coastal Phys Oceanog, Norfolk, VA 23528 USA; [Ainley, David G.] HT Harvey &amp; Associates, Los Gatos, CA 95032 USA; [Daly, Kendra; Marrari, Marina] Univ S Florida, Coll Marine Sci, St Petersburg, FL 33701 USA; [Ribic, Christine A.] Univ Wisconsin, Cooperat Wildlife Res Unit, US Geol Survey, Madison, WI 53706 USA; [Smith, Walker O., Jr.] Coll William &amp; Mary, Virginia Inst Marine Sci, Gloucester Point, VA 23062 USA; [Steele, John H.] Woods Hole Oceanog Inst, Woods Hole, MA 02543 USA</t>
  </si>
  <si>
    <t>Old Dominion University; State University System of Florida; University of South Florida; University of Wisconsin System; University of Wisconsin Madison; United States Department of the Interior; United States Geological Survey; William &amp; Mary; Virginia Institute of Marine Science; Woods Hole Oceanographic Institution</t>
  </si>
  <si>
    <t>Ballerini, T (corresponding author), Univ Toulon &amp; Var, Aix Marseille Univ, CNRS INSU, IRD,MIO,UM 110, F-13288 Marseille 09, France.</t>
  </si>
  <si>
    <t>toscaballerini@gmail.com</t>
  </si>
  <si>
    <t>Ballerini, Tosca/ABE-1656-2020</t>
  </si>
  <si>
    <t>Ballerini, Tosca/0000-0003-4007-4605</t>
  </si>
  <si>
    <t>NSF [OCE-0814584, ANT-0944411, OCE-0814406, OCE-0814405]; Directorate For Geosciences; Office of Polar Programs (OPP) [0944411] Funding Source: National Science Foundation</t>
  </si>
  <si>
    <t>NSF(National Science Foundation (NSF)); Directorate For Geosciences; Office of Polar Programs (OPP)(National Science Foundation (NSF)NSF - Directorate for Geosciences (GEO))</t>
  </si>
  <si>
    <t>Support for T. Ballerini and E. Hofmann was provided by NSF Grant OCE-0814584, for D. Ainley by ANT-0944411 and OCE-0814406, for C. Ribic by OCE-0814406. K. Daly and M. Marrari were supported by NSF Grant OCE-0814405. This study is a contribution to the US GLOBEC synthesis and integration effort. We thank S. Strom for expertise on microzooplankton and J. Ruzicka for comments on an earlier draft of the manuscript. Three anonymous referees made useful and constructive suggestions that greatly improved the manuscript. Mention of trade names or commercial products does not constitute endorsement for use by the U.S. Government.</t>
  </si>
  <si>
    <t>10.1016/j.pocean.2013.11.007</t>
  </si>
  <si>
    <t>WOS:000334006100002</t>
  </si>
  <si>
    <t>Carracedo, LI; Gilcoto, M; Mercier, H; Pérez, FF</t>
  </si>
  <si>
    <t>Carracedo, L. I.; Gilcoto, M.; Mercier, H.; Perez, F. F.</t>
  </si>
  <si>
    <t>Seasonal dynamics in the Azores-Gibraltar Strait region: A climatologically-based study</t>
  </si>
  <si>
    <t>ANTARCTIC INTERMEDIATE WATER; ATLANTIC GENERAL-CIRCULATION; MEDITERRANEAN WATER; EASTERN BOUNDARY; OCEAN CIRCULATION; IBERIAN BASIN; MASSES; VARIABILITY; GULF; TRANSPORT</t>
  </si>
  <si>
    <t>Annual and seasonal mean circulations in the Azores-Gibraltar Strait region (North-Eastern Atlantic) are described based on climatological data. An inverse box model is applied to obtain absolute water mass transports consistent with the conservation of volume, salt and heat and the equations of the thermal wind. The large-scale gyre circulation (Azores Current, Azores Counter Current, Canary Current and Portugal Current) is well-represented in climatological data. The Azores Current annual mean transport was estimated to be 6.5 +/- 0.8 Sv (1 Sv = 10(6) m(3)/s) eastward, exhibiting a seasonal signal with minimum transport in the spring (5.3 +/- 0.8 Sv) and maximum transport in autumn (7.3 +/- 0.8 Sv). The Azores Current transport is twice that of the Azores Counter Current in spring and autumn and is four-times higher in summer and winter. The southward Portugal and Canary Currents show similar seasonal cycles with maximum transports in spring (3.5 +/- 0.6 and 6.6 +/- 0.4 Sv, respectively). The overturning circulation within the area has an annual mean magnitude of 2.2 +/- 0.1 Sv and two seasonal extremes; the highest in summer (2.6 +/- 0.1 Sv) and the lowest in winter (1.7 +/- 0.1 Sv). Of the annual mean, about two thirds (1.4 Sv) of the overturning circulation results from water mass transformation west of the Strait of Gibraltar: the downwelling and recirculation of upper Central Water (0.6 Sv) in the intermediate layer, the entrainment of Central Water (0.6 Sv) into the Mediterranean Outflow and the contribution of Antarctic Intermediate Water (0.2 Sv) to the Mediterranean Outflow. The remaining 0.8 Sv relates to the overturning in the Mediterranean Sea through the two-layer exchange at the Gibraltar Strait. Accordingly, the density level dividing the upper-inflowing and lower-outflowing limbs of the overturning circulation was found to be sigma(1) = 31.65 kg m(-3) (sigma(1), potential density referred to 1000 db), which is above the isopycnal that typically separates Central and Mediterranean Water (sigma(1) = 31.8 kg m(-3)). In terms of water masses, we describe quantitatively the water mass composition of the main currents. Focusing on the spread of Mediterranean Water, we found that when the northward Mediterranean Water branch weakens in spring and autumn, the westward Mediterranean Water vein strengthens, and vice versa. The maximum net transports of Mediterranean Water across the northern and western sections of the box were estimated at -1.9 +/- 0.6 Sv (summer) and -0.8 +/- 0.2 Sv (spring), respectively. Within the error bar (0.2 Sv), we found no significant net volume transport of Mediterranean Water across the southern section. (C) 2014 Elsevier Ltd. All rights reserved.</t>
  </si>
  <si>
    <t>[Carracedo, L. I.; Gilcoto, M.; Perez, F. F.] Marine Res Inst IIM CSIC, Vigo 36208, Spain; [Mercier, H.] CNRS, Lab Phys Oceans, Inst Francais Rech Exploitat Mer IFREMER, Ctr Brest, F-75700 Paris, France</t>
  </si>
  <si>
    <t>Consejo Superior de Investigaciones Cientificas (CSIC); CSIC - Instituto de Investigaciones Marinas (IIM); Centre National de la Recherche Scientifique (CNRS); Ifremer; Institut de Recherche pour le Developpement (IRD)</t>
  </si>
  <si>
    <t>Carracedo, LI (corresponding author), Marine Res Inst IIM CSIC, Eduardo Cabello 6, Vigo 36208, Spain.</t>
  </si>
  <si>
    <t>lcarracedo@iim.csic.es; migil@iim.csic.es; Herle.Mercier@ifremer.fr; fiz.perez@iim.csic.es</t>
  </si>
  <si>
    <t>Fernandez Perez, Fiz/B-9001-2011; Carracedo, Lidia/AAT-5505-2021; Gil Coto, Miguel/B-4120-2015; MERCIER, Herle/L-4161-2015</t>
  </si>
  <si>
    <t>Fernandez Perez, Fiz/0000-0003-4836-8974; Carracedo, Lidia/0000-0003-3316-7651; Gil Coto, Miguel/0000-0003-3025-4258; MERCIER, Herle/0000-0002-1940-617X</t>
  </si>
  <si>
    <t>CAIBEX Project: Shelf-ocean exchanges in the Canaries-Iberia Large Marine Ecosystem [CTM2007-66408-C02/MAR]; Spanish Council of Education and Science; Spanish Council of Education</t>
  </si>
  <si>
    <t>CAIBEX Project: Shelf-ocean exchanges in the Canaries-Iberia Large Marine Ecosystem; Spanish Council of Education and Science; Spanish Council of Education</t>
  </si>
  <si>
    <t>This work is embraced within the CAIBEX Project: Shelf-ocean exchanges in the Canaries-Iberia Large Marine Ecosystem (CTM2007-66408-C02/MAR), supported by the Spanish Council of Education and Science. The first author is funded by a predoctoral fellowship (FPU) of the Formation National Program of Human Resources, within the framework of the National Plan of Scientific Investigation, Development and Technologic Innovation 2008-2011, from the Spanish Council of Education. Thank you very much to Professor E.D. Barton for his invaluable help with the English review. We also thank the editor and the two anonymous reviewers for their helpful comments and suggestions, which have greatly contributed to improve the original manuscript.</t>
  </si>
  <si>
    <t>10.1016/j.pocean.2013.12.005</t>
  </si>
  <si>
    <t>Green Submitted, Green Published, Green Accepted</t>
  </si>
  <si>
    <t>WOS:000334006100009</t>
  </si>
  <si>
    <t>Hay, C; Mitrovica, JX; Gomez, N; Creveling, JR; Austermann, J; Kopp, RE</t>
  </si>
  <si>
    <t>Hay, Carling; Mitrovica, Jerry X.; Gomez, Natalya; Creveling, Jessica R.; Austermann, Jacqueline; Kopp, Robert E.</t>
  </si>
  <si>
    <t>The sea-level fingerprints of ice-sheet collapse during interglacial periods</t>
  </si>
  <si>
    <t>Interglacials; Sea level; Fingerprinting; Ice sheets; Sea-level highstands</t>
  </si>
  <si>
    <t>U-SERIES EVIDENCE; UNITED-STATES; MASS-SPECTROMETRY; PROBABILISTIC ASSESSMENT; MANTLE VISCOSITY; MARINE TERRACES; SUMBA ISLAND; CORALS; PLIOCENE; AGE</t>
  </si>
  <si>
    <t>Studies of sea level during previous interglacials provide insight into the stability of polar ice sheets in the face of global climate change. Commonly, these studies correct ancient sea-level highstands for the contaminating effect of isostatic adjustment associated with past ice age cycles, and interpret the residuals as being equivalent to the peak eustatic sea level associated with excess melting, relative to present day, of ancient polar ice sheets. However, the collapse of polar ice sheets produces a distinct geometry, or fingerprint, of sea-level change, which must be accounted for to accurately infer peak eustatic sea level from site-specific residual highstands. To explore this issue, we compute fingerprints associated with the collapse of the Greenland Ice Sheet, West Antarctic Ice Sheet, and marine sectors of the East Antarctic Ice Sheet in order to isolate regions that would have been subject to greater-than-eustatic sea-level change for all three cases. These fingerprints are more robust than those associated with modern melting events, when applied to infer eustatic sea level, because: (1) a significant collapse of polar ice sheets reduces the sensitivity of the computed fingerprints to uncertainties in the geometry of the melt regions; and (2) the sea-level signal associated with the collapse will dominate the signal from steric effects. We evaluate these fingerprints at a suite of sites where sea-level records from interglacial marine isotopes stages (MIS) 5e and 11 have been obtained. Using these results, we demonstrate that previously discrepant estimates of peak eustatic sea level during MIS-5e based on sealevel markers in Australia and the Seychelles are brought into closer accord. (C) 2014 Elsevier Ltd. All rights reserved.</t>
  </si>
  <si>
    <t>[Hay, Carling; Mitrovica, Jerry X.; Gomez, Natalya; Austermann, Jacqueline] Harvard Univ, Dept Earth &amp; Planetary Sci, Cambridge, MA 02138 USA; [Creveling, Jessica R.] CALTECH, Div Geol &amp; Planetary Sci, Pasadena, CA 91125 USA; [Kopp, Robert E.] Rutgers State Univ, Dept Earth &amp; Planetary Sci, Piscataway, NJ 08855 USA; [Kopp, Robert E.] Rutgers State Univ, Rutgers Energy Inst, Piscataway, NJ 08855 USA</t>
  </si>
  <si>
    <t>Harvard University; California Institute of Technology; Rutgers University System; Rutgers University New Brunswick; Rutgers University System; Rutgers University New Brunswick</t>
  </si>
  <si>
    <t>Hay, C (corresponding author), Harvard Univ, Dept Earth &amp; Planetary Sci, Cambridge, MA 02138 USA.</t>
  </si>
  <si>
    <t>carlinghay@fas.harvard.edu</t>
  </si>
  <si>
    <t>Creveling, Jessica/HOC-9066-2023; Kopp, Robert E/B-8822-2008; Gomez, Natalya/AAU-4323-2020</t>
  </si>
  <si>
    <t>Kopp, Robert/0000-0003-4016-9428; Austermann, Jacqueline/0000-0003-3754-5082; Gomez, Natalya/0000-0002-2463-7917; Hay, Carling/0000-0002-9240-2036</t>
  </si>
  <si>
    <t>National Science Foundation [ARC-1203414, ARC-1203415]; Harvard University; Canadian Institute for Advanced Research; Office of Polar Programs (OPP); Directorate For Geosciences [1203415] Funding Source: National Science Foundation; Office of Polar Programs (OPP); Directorate For Geosciences [1203414] Funding Source: National Science Foundation</t>
  </si>
  <si>
    <t>National Science Foundation(National Science Foundation (NSF)); Harvard University; Canadian Institute for Advanced Research(Canadian Institute for Advanced Research (CIFAR)); Office of Polar Programs (OPP); Directorate For Geosciences(National Science Foundation (NSF)NSF - Directorate for Geosciences (GEO)); Office of Polar Programs (OPP); Directorate For Geosciences(National Science Foundation (NSF)NSF - Directorate for Geosciences (GEO))</t>
  </si>
  <si>
    <t>CH, JXM and REK were supported by the National Science Foundation (ARC-1203414 and ARC-1203415). JXM also acknowledges support from Harvard University and the Canadian Institute for Advanced Research. The authors would like to thank the editor and Daniel Muhs for their useful feedback.</t>
  </si>
  <si>
    <t>10.1016/j.quascirev.2013.12.022</t>
  </si>
  <si>
    <t>AH1JR</t>
  </si>
  <si>
    <t>WOS:000335876900006</t>
  </si>
  <si>
    <t>Frezzotti, M; Orombelli, G</t>
  </si>
  <si>
    <t>Frezzotti, Massimo; Orombelli, Giuseppe</t>
  </si>
  <si>
    <t>Glaciers and ice sheets: current status and trends</t>
  </si>
  <si>
    <t>Glaciers; Ice sheets; Mass balance; Sea-level rise; Anthropocene</t>
  </si>
  <si>
    <t>SEA-LEVEL RISE; MASS-BALANCE; ANTARCTIC PENINSULA; RECONCILED ESTIMATE; PINE ISLAND; GREENLAND; CAPS; ACCELERATION; ACCUMULATION; VARIABILITY</t>
  </si>
  <si>
    <t>About 10 % of the land surface on Earth is covered by glacier ice, with an estimated total volume equivalent to about 66 m of potential sea-level rise. Almost the totality (99 %) of this volume is locked in the polar ice sheets, while less than 1 % forms all the other mountain glaciers and ice caps. In the last three decades, the general retreat of the mountain glaciers and the accelerated flow and ice loss from several outlet glaciers draining the Greenland and the Antarctic ice sheets came to general attention as a major evidence of climate warming and as a potential contribution to the sea-level rise, to local shortage of water resources and to other environmental risks. Here, we present a short review of the most recent data and assessments on the present status and on trends of glaciers and polar ice sheets. The Greenland ice sheet (12 % of total glacier ice volume) over the last three decades showed an increase of the extent of the surface melt area and an acceleration of many marine-terminating glaciers; as a consequence, the ice sheet is losing ice at an increasing rate that reached -263 +/- A 30 Gt/year in the 2005-2010 time interval, equivalent to a sea-level rise of 0.72 +/- A 0.08 mm/year. The much larger, higher and colder composite Antarctic ice sheet (87 % of total glacier ice volume), in the same 2005-2010 time interval, had an ice loss of -81 +/- A 37 Gt/year. Mountain glaciers and ice caps are retreating in all the major glacierized regions, with the exception of a few mountain areas where contrasting patterns have been observed. Although containing less than 1 % of the total glacier ice, mountain glaciers and ice caps suffered a total ice loss of -259 +/- A 28 Gt/year in the period 2003-2009, equivalent to a sea-level rise of 0.71 +/- A 0.08 mm/year. The overall contribution of glaciers and ice sheets is estimated equivalent to a sea-level rise of 1.50 +/- A 0.16 mm/year for the period 2003-2009, or about 60 % of the total sea-level rise in the same period. Various estimates of the total glacier contribution to the sea-level rise by the end of the twenty-first century have been recently proposed, ranging from a few decimeters to 2 m, with most plausible projections at about 0.5 m. Most probably Greenland, the Antarctic Peninsula and the West Antarctic ice sheet will continue to lose ice, while the sign of the East Antarctica contribution is uncertain. Mountain glaciers will most likely continue to lose ice, although at different rates in the various mountain regions. For the European Alps and the Southern Alps (New Zealand), a loss of more than 70 % of their present volume is expected by the end of the twenty-first century. The glaciers' contraction in the mountain areas may cause slope failures, debris mobilization, outburst floods from glacial lakes, and water deficits, particularly in the summer season, in the arid zones in the coming decades. Together with other changes occurring in the cryosphere such as the Arctic sea-ice reduction, the snow cover decline and the permafrost degradation, the glacier retreat is considered part of a larger picture of environmental changes, directly or indirectly caused or increased by the human impact, leading to new environmental conditions, thus deserving to be indicated as the Anthropocene. Still more open to future responses is the consideration if the ongoing glacier reduction and the rise of the sea level will contribute to leave such a footprint in the geologic record as to require a new stratigraphic unit, a new time epoch in the billion years long history of the Earth.</t>
  </si>
  <si>
    <t>[Frezzotti, Massimo] ENEA, I-00123 Rome, Italy; [Orombelli, Giuseppe] Univ Milano Bicocca, Dipartimento Sci Ambiente, Piazza Sci 1, Milan, Italy</t>
  </si>
  <si>
    <t>Italian National Agency New Technical Energy &amp; Sustainable Economics Development; University of Milano-Bicocca</t>
  </si>
  <si>
    <t>Orombelli, G (corresponding author), Univ Milano Bicocca, Dipartimento Sci Ambiente, Piazza Sci 1, Milan, Italy.</t>
  </si>
  <si>
    <t>giuseppe.orombelli@unimib.it</t>
  </si>
  <si>
    <t>FREZZOTTI, Massimo/AAK-7275-2020</t>
  </si>
  <si>
    <t>FREZZOTTI, Massimo/0000-0002-2461-2883</t>
  </si>
  <si>
    <t>10.1007/s12210-013-0255-z</t>
  </si>
  <si>
    <t>WOS:000332103200007</t>
  </si>
  <si>
    <t>Ball, MM; Gómez, W; Magallanes, X; Rosales, R; Melfo, A; Yarzábal, LA</t>
  </si>
  <si>
    <t>Ball, Maria M.; Gomez, Wileidy; Magallanes, Xavier; Rosales, Rita; Melfo, Alejandra; Andres Yarzabal, Luis</t>
  </si>
  <si>
    <t>Bacteria recovered from a high-altitude, tropical glacier in Venezuelan Andes</t>
  </si>
  <si>
    <t>Bacteria; Psychrophiles; Tropical glaciers; Ice-bacteria; Glacier ice; Andes Mountains</t>
  </si>
  <si>
    <t>CLIMATE-CHANGE; DIVERSITY</t>
  </si>
  <si>
    <t>Glacial-ice microorganisms are intensively studied world-wide for a number of reasons, including their psychrophilic lifestyle, their usefulness in biotechnology procedures and their relationship with the search of life outside our planet. However, because of the difficulties for accessing and working at altitudes of &gt; 5.000 m above sea level, tropical glaciers have received much less attention than their arctic and antarctic counterparts. In the present work we isolated and characterized a total of forty-five pure isolates originating from direct plating of melted ice collected at the base of a rapidly-retreating, small glacier located at around 4.900 m.a.s.l. in Mount Humboldt (Sierra Nevada National Park, M,rida State, Venezuela). Initial examination of melted ice showed the presence of abundant- (&gt; 10(6) cells ml(-1)), morphologically diverse- and active bacterial cells, many of which were very small (dwarf cells). The majority of the isolates were psychrophilic or psychrotolerant and many produced and excreted cold-active extracellular enzymes (proteases and amylases). The antibiotic tests showed an elevated percentage of isolates resistant to high doses (100 mu g/ml) of different antibiotics including ampicillin, penicillin, nalidixic acid, streptomycin, chloramphenicol, kanamycin and tetracycline. Multiresistance was also observed, with 22.22 % of the strains simultaneously resistant up to five of the antibiotics tested. Metal resistance against Ni++, Zn++ and Cu++ was also detected. In accordance with these results, plasmids of low and high molecular weight were detected in 47 % of the isolates. Twenty-two partial 16S rDNA sequences analyzed allowed grouping the isolates within five different phyla/classes: Alpha-, Beta- and Gamma-proteobacteria, Actinobacteria and Flavobacteria. This is the first report concerning South American Andean glacial ice microorganisms.</t>
  </si>
  <si>
    <t>[Ball, Maria M.; Gomez, Wileidy; Magallanes, Xavier; Rosales, Rita; Andres Yarzabal, Luis] Univ Los Andes, Fac Ciencias, Lab Microbiol Mol &amp; Biotecnol, Merida 5101, Venezuela; [Melfo, Alejandra] Univ Los Andes, Fac Ciencias, Ctr Fis Fundamental, Merida 5101, Venezuela</t>
  </si>
  <si>
    <t>University of Los Andes Venezuela; University of Los Andes Venezuela</t>
  </si>
  <si>
    <t>Yarzábal, LA (corresponding author), Univ Los Andes, Fac Ciencias, Lab Microbiol Mol &amp; Biotecnol, Merida 5101, Venezuela.</t>
  </si>
  <si>
    <t>yluis@ula.ve</t>
  </si>
  <si>
    <t>caputo, carlo/N-3747-2014; Yarzábal, Luis Andrés/S-5845-2019</t>
  </si>
  <si>
    <t>Yarzábal, Luis Andrés/0000-0003-1243-7704; Gomez, Wileidy/0000-0002-3980-6365</t>
  </si>
  <si>
    <t>Fondo Nacional de Ciencias, Tecnologia e Innovacion (FONACIT) Project [2011001187]</t>
  </si>
  <si>
    <t>Fondo Nacional de Ciencias, Tecnologia e Innovacion (FONACIT) Project</t>
  </si>
  <si>
    <t>The authors are grateful to Mr. Jorge Fernandez B. and Dr. Andres Eloy Mora (from the LAQEM Lab ULA, Merida) for their technical assistance in Electronic Microscopy imaging. This work was partially financed by Fondo Nacional de Ciencias, Tecnologia e Innovacion (FONACIT) Project No. 2011001187.</t>
  </si>
  <si>
    <t>10.1007/s11274-013-1511-1</t>
  </si>
  <si>
    <t>WOS:000331101000016</t>
  </si>
  <si>
    <t>Fraser, AD; Young, NW; Adams, N</t>
  </si>
  <si>
    <t>Fraser, Alexander D.; Young, Neal W.; Adams, Neil</t>
  </si>
  <si>
    <t>Comparison of Microwave Backscatter Anisotropy Parameterizations of the Antarctic Ice Sheet Using ASCAT</t>
  </si>
  <si>
    <t>IEEE TRANSACTIONS ON GEOSCIENCE AND REMOTE SENSING</t>
  </si>
  <si>
    <t>Antarctica; geoscience; ice surface; microwave measurement; parameter extraction; radar remote sensing</t>
  </si>
  <si>
    <t>KATABATIC-WIND INTENSITY; DRY-SNOW ZONE; SURFACE-PROPERTIES; RADAR BACKSCATTER; EAST ANTARCTICA; AZIMUTH VARIATION; MASS-BALANCE; SCATTEROMETER; ACCUMULATION; SEASAT</t>
  </si>
  <si>
    <t>The C-band EUMETSAT Advanced Scatterometer (ASCAT) was launched in 2007, and provides backscatter measurements with excellent azimuth and incidence angle diversity in polar regions. C-band backscatter measurements can be used to retrieve near-surface snow/firn properties such as grain size and accumulation rate, however the Antarctic Ice Sheet (AIS) exhibits strong microwave backscatter anisotropy as a function of both incidence and azimuth angles, and this anisotropy must be well understood before such physical parameter retrieval can be accurately performed. This paper presents a detailed comparison of several different parameterizations of both the azimuth and the incidence anisotropy. Parameterizations used here result in residuals similar to the radiometric performance of ASCAT, indicating accurate characterization of the anisotropy. The analysis of these parameterizations provides an insight into the physical mechanisms taking place near the surface of the AIS. 30-day composite maps of several parameters are presented, and discussed in the context of near-surface glaciology. This anisotropy characterization will form the basis of a technique for extraction of physical parameters of the AIS.</t>
  </si>
  <si>
    <t>[Fraser, Alexander D.; Young, Neal W.] Univ Tasmania, Antarctic Climate &amp; Ecosyst Cooperat Res Ctr, Hobart, Tas 7001, Australia; [Young, Neal W.] Australian Antarctic Div, Kingston, Tas 7050, Australia; [Adams, Neil] Australian Bur Meteorol, Hobart, Tas 7001, Australia</t>
  </si>
  <si>
    <t>University of Tasmania; Antarctic Climate &amp; Ecosystems Cooperative Research Centre (ACE CRC); Australian Antarctic Division; Bureau of Meteorology - Australia</t>
  </si>
  <si>
    <t>Fraser, AD (corresponding author), Univ Tasmania, Antarctic Climate &amp; Ecosyst Cooperat Res Ctr, Hobart, Tas 7001, Australia.</t>
  </si>
  <si>
    <t>adfraser@utas.edu.au</t>
  </si>
  <si>
    <t>Fraser, Alexander/AFO-7186-2022</t>
  </si>
  <si>
    <t>Fraser, Alexander/0000-0003-1924-0015; Young, Neal/0000-0001-9729-3273</t>
  </si>
  <si>
    <t>Australian Government's Cooperative Research Centres Program through the Antarctic Climate &amp; Ecosystems Cooperative Research Centre; Grants-in-Aid for Scientific Research [13F03748] Funding Source: KAKEN</t>
  </si>
  <si>
    <t>Australian Government's Cooperative Research Centres Program through the Antarctic Climate &amp; Ecosystems Cooperative Research Centre(Australian GovernmentDepartment of Industry, Innovation and ScienceCooperative Research Centres (CRC) Programme); Grants-in-Aid for Scientific Research(Ministry of Education, Culture, Sports, Science and Technology, Japan (MEXT)Japan Society for the Promotion of ScienceGrants-in-Aid for Scientific Research (KAKENHI))</t>
  </si>
  <si>
    <t>This work was supported by the Australian Government's Cooperative Research Centres Program through the Antarctic Climate &amp; Ecosystems Cooperative Research Centre. ASCAT Level 1B data were provided by the EUMETSAT Data Centre version 3.</t>
  </si>
  <si>
    <t>0196-2892</t>
  </si>
  <si>
    <t>1558-0644</t>
  </si>
  <si>
    <t>IEEE T GEOSCI REMOTE</t>
  </si>
  <si>
    <t>IEEE Trans. Geosci. Remote Sensing</t>
  </si>
  <si>
    <t>10.1109/TGRS.2013.2252621</t>
  </si>
  <si>
    <t>Geochemistry &amp; Geophysics; Engineering, Electrical &amp; Electronic; Remote Sensing; Imaging Science &amp; Photographic Technology</t>
  </si>
  <si>
    <t>Geochemistry &amp; Geophysics; Engineering; Remote Sensing; Imaging Science &amp; Photographic Technology</t>
  </si>
  <si>
    <t>285PA</t>
  </si>
  <si>
    <t>WOS:000329404800005</t>
  </si>
  <si>
    <t>Xu, Y; Cowen, LLE; Gardner, C</t>
  </si>
  <si>
    <t>Xu, Yuan; Cowen, Laura L. E.; Gardner, Caleb</t>
  </si>
  <si>
    <t>Group heterogeneity in the Jolly-Seber-Tag-Loss model</t>
  </si>
  <si>
    <t>STATISTICAL METHODOLOGY</t>
  </si>
  <si>
    <t>Mark-recapture; Double tag; Tag loss; Jolly-Seber; Group heterogeneity; Rock lobster</t>
  </si>
  <si>
    <t>CAPTURE-RECAPTURE MODELS; MARK-RECAPTURE; UNEQUAL CATCHABILITY; SURVIVAL; ASSUMPTION; RATES; BIAS</t>
  </si>
  <si>
    <t>Mark-recapture experiments involve capturing individuals from populations of interest, marking and releasing them at an initial sample time, and recapturing individuals from the same populations on subsequent occasions. The Jolly-Seber model is widely used in open-population models since it can estimate important parameters such as population size, recruitment, and survival. However, one of the Jolly-Seber model assumptions that can be easily violated is that of no tag loss. Cowen and Schwarz [L Cowen, CJ. Schwarz, The Jolly-Seber model with tag loss, Biometrics 62 (2006) 677-705] developed the Jolly-Seber-Tag-Loss (JSTL) model to avoid this violation; this model was extended to deal with group heterogeneity by Gonzalez and Cowen [S. Gonzalez, L. Cowen, The Jolly-Seber-tag-loss model with group heterogeneity, The Arbutus Review 1 (2010) 30-42]. In this paper, we studied the group heterogeneous JSTL (GJSTL) model through simulations and found that as sample size and fraction of double tagged individuals increased, bias of parameter estimates is reduced and precision increased. We applied this model to a study of rock lobsters Jesus edwardsii in Tasmania, Australia. Crown Copyright (C) 2013 Published by Elsevier B.V. All rights reserved.</t>
  </si>
  <si>
    <t>[Xu, Yuan; Cowen, Laura L. E.] Univ Victoria, Dept Math &amp; Stat, Victoria, BC V8W 3R4, Canada; [Gardner, Caleb] Univ Tasmania, Inst Marine &amp; Antarctic Studies, Hobart, Tas 7001, Australia</t>
  </si>
  <si>
    <t>University of Victoria; University of Tasmania</t>
  </si>
  <si>
    <t>Cowen, LLE (corresponding author), Univ Victoria, Dept Math &amp; Stat, POB 3060 STN CSC, Victoria, BC V8W 3R4, Canada.</t>
  </si>
  <si>
    <t>xuyuan616@gmail.com; lcowen@uvic.ca; Caleb.Gardner@utas.edu.au</t>
  </si>
  <si>
    <t>Gardner, Caleb/I-7086-2013</t>
  </si>
  <si>
    <t>Gardner, Caleb/0000-0003-0324-4337; Cowen, Laura/0000-0002-0853-1450</t>
  </si>
  <si>
    <t>National Science and Engineering Research Canada Discovery Grant</t>
  </si>
  <si>
    <t>This work was supported by a National Science and Engineering Research Canada Discovery Grant to LC. The authors would like to acknowledge Dr. Carl Schwarz for helpful discussions that improved this work. Simulation studies and analyses were run on Westgrid/Compute Canada with assistance from Dr. Belaid Moa.</t>
  </si>
  <si>
    <t>1572-3127</t>
  </si>
  <si>
    <t>1878-0954</t>
  </si>
  <si>
    <t>STAT METHODOL</t>
  </si>
  <si>
    <t>Stat. Methodol.</t>
  </si>
  <si>
    <t>10.1016/j.stamet.2013.01.002</t>
  </si>
  <si>
    <t>Statistics &amp; Probability</t>
  </si>
  <si>
    <t>285SW</t>
  </si>
  <si>
    <t>WOS:000329416300002</t>
  </si>
  <si>
    <t>Langley, K; von Deschwanden, A; Kohler, J; Sinisalo, A; Matsuoka, K; Hattermann, T; Humbert, A; Nost, OA; Isaksson, E</t>
  </si>
  <si>
    <t>Langley, K.; von Deschwanden, A.; Kohler, J.; Sinisalo, A.; Matsuoka, K.; Hattermann, T.; Humbert, A.; Nost, O. A.; Isaksson, E.</t>
  </si>
  <si>
    <t>Complex network of channels beneath an Antarctic ice shelf</t>
  </si>
  <si>
    <t>Ice Shelf; Antarctica; basal channels</t>
  </si>
  <si>
    <t>PINE ISLAND GLACIER; OCEAN CIRCULATION; BASAL CHANNELS; CREVASSES</t>
  </si>
  <si>
    <t>Ice shelves play an important role in stabilizing the interior grounded ice of the large ice sheets. The thinning of major ice shelves observed in recent years, possibly in connection to warmer ocean waters coming into contact with the ice-shelf base, has focused attention on the ice-ocean interface. Here we reveal a complex network of sub ice-shelf channels under the Fimbul Ice Shelf, Antarctica, mapped using ground-penetrating radar over a 100km(2) grid. The channels are 300-500m wide and 50m high, among the narrowest of any reported. Observing narrow channels beneath an ice shelf that is mainly surrounded by cold ocean waters, with temperatures close to the surface freezing point, shows that channelized basal melting is not restricted to rapidly melting ice shelves, indicating that spatial melt patterns around Antarctica are likely to vary on scales that are not yet incorporated in ice-ocean models.</t>
  </si>
  <si>
    <t>[Langley, K.; von Deschwanden, A.; Kohler, J.; Matsuoka, K.; Hattermann, T.; Nost, O. A.; Isaksson, E.] Norwegian Polar Res Inst, Tromso, Norway; [Humbert, A.] Alfred Wegener Inst Polar &amp; Marine Res, Bremerhaven, Germany</t>
  </si>
  <si>
    <t>Norwegian Polar Institute; Helmholtz Association; Alfred Wegener Institute, Helmholtz Centre for Polar &amp; Marine Research</t>
  </si>
  <si>
    <t>Langley, K (corresponding author), Univ Oslo, Dept Geosci, Oslo, Norway.</t>
  </si>
  <si>
    <t>k.a.langley@geo.uio.no</t>
  </si>
  <si>
    <t>; Matsuoka, Kenichi/B-7298-2017</t>
  </si>
  <si>
    <t>Kohler, Jack/0000-0003-1963-054X; Humbert, Angelika/0000-0002-0244-8760; Sinisalo, Anna/0000-0002-7587-1877; Nost, Ole Anders/0000-0002-6139-4088; Hattermann, Tore/0000-0002-5538-2267; Matsuoka, Kenichi/0000-0002-3587-3405</t>
  </si>
  <si>
    <t>Norwegian Research Council through Norwegian Antarctic Research Expedition; Center for Ice, Climate, and Ecosystems at the Norwegian Polar Institute; German Research Foundation DFG [HU157012-2]</t>
  </si>
  <si>
    <t>Norwegian Research Council through Norwegian Antarctic Research Expedition(Research Council of Norway); Center for Ice, Climate, and Ecosystems at the Norwegian Polar Institute; German Research Foundation DFG(German Research Foundation (DFG))</t>
  </si>
  <si>
    <t>We are grateful to all members of the Fimbulisen Expedition 2009/10 and 2010/11 for support in the field. This study was financed by the Norwegian Research Council through Norwegian Antarctic Research Expedition and the Center for Ice, Climate, and Ecosystems at the Norwegian Polar Institute. A. H. received funding from the German Research Foundation DFG through grant HU157012-2.</t>
  </si>
  <si>
    <t>FEB 28</t>
  </si>
  <si>
    <t>10.1002/2013GL058947</t>
  </si>
  <si>
    <t>AD1VV</t>
  </si>
  <si>
    <t>WOS:000333022700019</t>
  </si>
  <si>
    <t>Marques, GM; Padman, L; Springer, SR; Howard, SL; Özgökmen, TM</t>
  </si>
  <si>
    <t>Marques, Gustavo M.; Padman, Laurie; Springer, Scott R.; Howard, Susan L.; Oezgoekmen, Tamay M.</t>
  </si>
  <si>
    <t>Topographic vorticity waves forced by Antarctic dense shelf water outflows</t>
  </si>
  <si>
    <t>Antarctic outflows; topographic vorticity waves; cross-slope exchanges</t>
  </si>
  <si>
    <t>BOTTOM WATER; WEDDELL SEA; ROTATING FLUID; SLOPE FRONT; VARIABILITY; SYSTEM; CIRCULATION; SIMULATIONS; COORDINATE; OCEAN</t>
  </si>
  <si>
    <t>We use numerical simulations to investigate excitation of topographic vorticity waves (TVWs) along the Antarctic continental slope by outflows of dense shelf water through troughs. Idealized models show that wave frequency depends on the amount of stretching in the ambient fluid over the outflow and on background along-slope mean flow. Frequency is higher for steeper bottom slope, larger outflow density anomaly, and stronger westward mean flow. For weak stratification and weak westward along-slope flows typical of the Antarctic slope, wave energy propagates eastward, in the opposite direction from phase velocity. Our results are consistent with recent observations of TVWs in the southern Weddell Sea. In a realistic simulation of the Ross Sea, TVW properties are modulated on seasonal and shorter time scales as background ocean state varies. We expect these waves to affect mixing, cross-slope exchanges, and sea ice concentration in the vicinity of sources of dense water outflows. Key Points Outflow of Antarctic dense shelf water through troughs generate TVWs Wave frequency depends on the amount of stretching induced in ambient fluid TVW energy flux is generally eastward, opposing phase propagation</t>
  </si>
  <si>
    <t>[Marques, Gustavo M.; Oezgoekmen, Tamay M.] Univ Miami, Rosenstiel Sch Marine &amp; Atmospher Sci, Div Meteorol &amp; Phys Oceanog, Miami, FL 33149 USA; [Padman, Laurie] Earth &amp; Space Res, Corvallis, OR USA; [Springer, Scott R.; Howard, Susan L.] Earth &amp; Space Res, Seattle, WA USA</t>
  </si>
  <si>
    <t>University of Miami</t>
  </si>
  <si>
    <t>Marques, GM (corresponding author), Univ Miami, Rosenstiel Sch Marine &amp; Atmospher Sci, Div Meteorol &amp; Phys Oceanog, 4600 Rickenbacker Causeway, Miami, FL 33149 USA.</t>
  </si>
  <si>
    <t>gmarques@rsmas.miami.edu</t>
  </si>
  <si>
    <t>Padman, Laurence/AAH-3808-2021; Springer, Scott/AAH-3218-2019</t>
  </si>
  <si>
    <t>Springer, Scott/0000-0002-6669-4557; Marques, Gustavo/0000-0001-7238-0290; Howard, Susan/0000-0002-9183-0178; Padman, Laurence/0000-0003-2010-642X</t>
  </si>
  <si>
    <t>National Science Foundation [OCE-0961405, OCE-0722644, OCE-0961369]; Division Of Ocean Sciences; Directorate For Geosciences [0961405] Funding Source: National Science Foundation; Division Of Ocean Sciences; Directorate For Geosciences [0961369] Funding Source: National Science Foundation</t>
  </si>
  <si>
    <t>National Science Foundation(National Science Foundation (NSF)); Division Of Ocean Sciences; Directorate For Geosciences(National Science Foundation (NSF)NSF - Directorate for Geosciences (GEO)); Division Of Ocean Sciences; Directorate For Geosciences(National Science Foundation (NSF)NSF - Directorate for Geosciences (GEO))</t>
  </si>
  <si>
    <t>This study was funded by the National Science Foundation, grants OCE-0961405 and OCE-0722644 (MRI) to Earth &amp; Space Research (ESR) and OCE-0961369 to the University of Miami. We thank K. Brink (WHOI) for providing the code for calculating dispersion curves for inviscid coastal-trapped waves and M. Dinniman (Old Dominion University) for developing the realistic ROMS model of the Ross Sea. We also thank University of Miami's Center for Computational Science for making available their resources. We thank two anonymous reviewers for their constructive comments on this paper. This is ESR contribution 149.</t>
  </si>
  <si>
    <t>10.1002/2013GL059153</t>
  </si>
  <si>
    <t>WOS:000333022700024</t>
  </si>
  <si>
    <t>Thresher, R; Morrongiello, J; Sloyan, BM; Krusic-Golub, K; Shephard, S; Minto, C; Nolan, CP; Cerna, F; Cid, L</t>
  </si>
  <si>
    <t>Thresher, Ronald; Morrongiello, John; Sloyan, Bernadette M.; Krusic-Golub, Kyne; Shephard, Samuel; Minto, Coilin; Nolan, Conor P.; Cerna, Francisco; Cid, Luis</t>
  </si>
  <si>
    <t>Parallel decadal variability of inferred water temperatures for Northern and Southern Hemisphere intermediate water masses</t>
  </si>
  <si>
    <t>Antarctic Intermediate Water; North Atlantic Oscillation; Southern Annular Mode; Arctic Oscillation Index; Sub-polar Mode wWater; Otolith</t>
  </si>
  <si>
    <t>ROUGHY HOPLOSTETHUS-ATLANTICUS; ORANGE ROUGHY; CLIMATE-CHANGE; OCEAN; PACIFIC; MODE</t>
  </si>
  <si>
    <t>We use a novel proxy (growth rates of long-lived deep water fish, orange roughy) to reconstruct inferred water temperatures of intermediate water masses in both Northern and Southern Hemispheres since the mid-1800s. The data are consistent with instrumental records showing long-term warming in the Northern Hemisphere but also indicate decadal variability of intermediate depth temperatures that is coherent across the two hemispheres. This variability correlates with the dominant subpolar annular mode in each hemisphere and implies a bihemispheric oceanic response to external forcing that influences the properties of intermediate depth water masses. Key Points Growth rates of deep-sea fish proxy intermediate depth water temperature Long-term warming in North Atlantic but variable temperatures in South Pacific Parallel variability implies hemispheres respond simultaneously to forcing</t>
  </si>
  <si>
    <t>[Thresher, Ronald; Morrongiello, John; Sloyan, Bernadette M.] CSIRO Wealth Oceans Flagship, Hobart, Tas, Australia; [Sloyan, Bernadette M.] CSIRO, Ctr Australian Weather &amp; Climate, Hobart, Tas, Australia; [Krusic-Golub, Kyne] Fish Aging Serv Pty Ltd, Portarlington, Vic, Australia; [Shephard, Samuel] Queens Univ Belfast, Sch Biol Sci, Belfast, Antrim, North Ireland; [Minto, Coilin] Galway Mayo Inst Technol, Marine &amp; Freshwater Res Ctr, Galway, Ireland; [Nolan, Conor P.] Irish Sea Fisheries Board BIM, Dun Laoghaire, Dublin, Ireland; [Cerna, Francisco; Cid, Luis] Inst Fomento Pesquero, Valparaiso, Chile</t>
  </si>
  <si>
    <t>Commonwealth Scientific &amp; Industrial Research Organisation (CSIRO); Commonwealth Scientific &amp; Industrial Research Organisation (CSIRO); Queens University Belfast; Atlantic Technological University (ATU); Instituto de Fomento Pesquero (Valparaiso)</t>
  </si>
  <si>
    <t>Thresher, R (corresponding author), CSIRO Wealth Oceans Flagship, Hobart, Tas, Australia.</t>
  </si>
  <si>
    <t>ronald.e.thresher@gmail.com</t>
  </si>
  <si>
    <t>Thresher, Ronald/C-7442-2009; Sloyan, Bernadette/N-8989-2014; Morrongiello, John/E-8716-2011; Minto, Coilin/JNR-1568-2023; Cerna, Francisco/JRW-9487-2023</t>
  </si>
  <si>
    <t>Sloyan, Bernadette/0000-0003-0250-0167; Morrongiello, John/0000-0002-9608-4151; Minto, Coilin/0000-0003-0630-6775;</t>
  </si>
  <si>
    <t>CSIRO Wealth from Oceans Flagship; CSIRO Office of the Chief Executive Fellowship; Australian Climate Change Science Program; Department of Climate Change and Energy Efficiency, CSIRO; Bureau of Meteorology</t>
  </si>
  <si>
    <t>CSIRO Wealth from Oceans Flagship(Commonwealth Scientific &amp; Industrial Research Organisation (CSIRO)); CSIRO Office of the Chief Executive Fellowship; Australian Climate Change Science Program; Department of Climate Change and Energy Efficiency, CSIRO; Bureau of Meteorology(Bureau of Meteorology - Australia)</t>
  </si>
  <si>
    <t>We thank D. Tracey and E. Rogan for assistance in obtaining otoliths, M. Clark for the Chilean depth distribution data, A. Thresher for assistance with the CARS database, J. Jones for the SAM reconstruction, and T. O'Kane, D. Smith, and two anonymous referees for commenting on the ms. This project was supported by the CSIRO Wealth from Oceans Flagship, a CSIRO Office of the Chief Executive Fellowship to JM, and the Australian Climate Change Science Program, funded by the Department of Climate Change and Energy Efficiency, CSIRO, and the Bureau of Meteorology.</t>
  </si>
  <si>
    <t>10.1002/2013GL058638</t>
  </si>
  <si>
    <t>Green Accepted, Bronze, Green Published</t>
  </si>
  <si>
    <t>WOS:000333022700022</t>
  </si>
  <si>
    <t>Liakka, J; Colleoni, F; Ahrens, B; Hickler, T</t>
  </si>
  <si>
    <t>Liakka, Johan; Colleoni, Florence; Ahrens, Bodo; Hickler, Thomas</t>
  </si>
  <si>
    <t>The impact of climate-vegetation interactions on the onset of the Antarctic ice sheet</t>
  </si>
  <si>
    <t>climate; vegetation interactions; ice sheet inception; Antarctica; Cenozoic; Eocene; Oligocene boundary; coupled climate; vegetation models</t>
  </si>
  <si>
    <t>GLOBAL CLIMATE; BOREAL FOREST; GLACIATION; MODEL; EOCENE; OCEAN; EOCENE/OLIGOCENE; SIMULATIONS; SENSITIVITY; TRANSITION</t>
  </si>
  <si>
    <t>A global coupled atmosphere/vegetation model and a dynamic ice sheet model were employed to study the impact of climate-vegetation interactions on the onset of the Antarctic ice sheet during the Eocene-Oligocene transition. We found that the CO2 threshold for Antarctic glaciation is highly sensitive to the prevailing vegetation. In our experiments, the CO2 threshold is less than 280 ppm if the Antarctic vegetation is dominated by forests and between 560 and 1120 ppm for tundra and bare ground conditions. The large impact of vegetation on inception is attributed to the ability of canopies to shade the snow-covered ground, which leads to a weaker snow albedo feedback and higher summer temperatures. However, the overall effect of canopy shading on the Antarctic climate also depends on features like local cloudiness and atmospheric meridional heat transport. Our results suggest that vegetation feedbacks on climate are crucial for the timing of the Antarctic glaciation. Key Points The CO2 threshold for Antarctic glaciation is highly sensitive to vegetation Vegetation increases the surface temperature by shading the snow-covered ground The vegetation effect on the local climate is sensitive to the local cloudiness</t>
  </si>
  <si>
    <t>[Liakka, Johan; Hickler, Thomas] Biodivers &amp; Climate Res Ctr LOEWE BiK F, Frankfurt, Germany; [Liakka, Johan; Hickler, Thomas] Senckenberg Gesell Nat Forsch, Frankfurt, Germany; [Colleoni, Florence] Ctr Euromediterraneo &amp; Cambiamenti Climat, Bologna, Italy; [Ahrens, Bodo] Goethe Univ Frankfurt, Inst Atmospher &amp; Environm Sci, D-60054 Frankfurt, Germany; [Hickler, Thomas] Goethe Univ Frankfurt, Inst Phys Geog, D-60054 Frankfurt, Germany</t>
  </si>
  <si>
    <t>Senckenberg Gesellschaft fur Naturforschung (SGN); Goethe University Frankfurt; Goethe University Frankfurt</t>
  </si>
  <si>
    <t>Liakka, J (corresponding author), Biodivers &amp; Climate Res Ctr LOEWE BiK F, Frankfurt, Germany.</t>
  </si>
  <si>
    <t>johan.liakka@senckenberg.de</t>
  </si>
  <si>
    <t>Colleoni, Florence/JMQ-7847-2023; Ahrens, Bodo/A-7439-2008; Hickler, Thomas/S-6287-2016</t>
  </si>
  <si>
    <t>Colleoni, Florence/0000-0003-4582-812X; Ahrens, Bodo/0000-0002-6452-3180; Hickler, Thomas/0000-0002-4668-7552</t>
  </si>
  <si>
    <t>Hesse's Ministry of Higher Education; LOEWE; National Science Foundation</t>
  </si>
  <si>
    <t>Hesse's Ministry of Higher Education; LOEWE; National Science Foundation(National Science Foundation (NSF))</t>
  </si>
  <si>
    <t>We acknowledge support from the research funding programme LOEWE of Hesse's Ministry of Higher Education. LOEWE also provided financial support for the simulations carried out at the LOEWE Frankfurt Centre for Scientific Computing. The AGCM used in this study (CAM3) was developed by NCAR, which is funded by National Science Foundation.</t>
  </si>
  <si>
    <t>10.1002/2013GL058994</t>
  </si>
  <si>
    <t>WOS:000333022700027</t>
  </si>
  <si>
    <t>Johnson, JS; Bentley, MJ; Smith, JA; Finkel, RC; Rood, DH; Gohl, K; Balco, G; Larter, RD; Schaefer, JM</t>
  </si>
  <si>
    <t>Johnson, J. S.; Bentley, M. J.; Smith, J. A.; Finkel, R. C.; Rood, D. H.; Gohl, K.; Balco, G.; Larter, R. D.; Schaefer, J. M.</t>
  </si>
  <si>
    <t>Rapid Thinning of Pine Island Glacier in the Early Holocene</t>
  </si>
  <si>
    <t>SCIENCE</t>
  </si>
  <si>
    <t>ANTARCTIC ICE-SHEET; WEST ANTARCTICA; SEA EMBAYMENT; STABILITY; RETREAT</t>
  </si>
  <si>
    <t>Pine Island Glacier, a major outlet of the West Antarctic Ice Sheet, has been undergoing rapid thinning and retreat for the past two decades. We demonstrate, using glacial-geological and geochronological data, that Pine Island Glacier (PIG) also experienced rapid thinning during the early Holocene, around 8000 years ago. Cosmogenic Be-10 concentrations in glacially transported rocks show that this thinning was sustained for decades to centuries at an average rate of more than 100 centimeters per year, which is comparable with contemporary thinning rates. The most likely mechanism was a reduction in ice shelf buttressing. Our findings reveal that PIG has experienced rapid thinning at least once in the past and that, once set in motion, rapid ice sheet changes in this region can persist for centuries.</t>
  </si>
  <si>
    <t>[Johnson, J. S.; Bentley, M. J.; Smith, J. A.; Larter, R. D.] British Antarctic Survey, Nat Environm Res Council, Cambridge CB3 0ET, England; [Bentley, M. J.] Univ Durham, Dept Geog, Durham DH1 3LE, England; [Finkel, R. C.; Rood, D. H.] Lawrence Livermore Natl Lab, Ctr Accelerator Mass Spectrometry, Livermore, CA 94550 USA; [Finkel, R. C.] Univ Calif Berkeley, Dept Earth &amp; Planetary Sci, Berkeley, CA 94720 USA; [Rood, D. H.] Univ Calif Santa Barbara, Earth Res Inst, Santa Barbara, CA 93106 USA; [Gohl, K.] Helmholtz Ctr Polar &amp; Marine Res, Alfred Wegener Inst, D-27568 Bremerhaven, Germany; [Balco, G.] Berkeley Geochronol Ctr, Berkeley, CA 94709 USA; [Schaefer, J. M.] Columbia Univ, Lamont Doherty Earth Observ, Palisades, NY 10964 USA; [Schaefer, J. M.] Columbia Univ, Dept Earth &amp; Environm Sci, New York, NY 10027 USA</t>
  </si>
  <si>
    <t>UK Research &amp; Innovation (UKRI); Natural Environment Research Council (NERC); NERC British Antarctic Survey; Durham University; United States Department of Energy (DOE); Lawrence Livermore National Laboratory; University of California System; University of California Berkeley; University of California System; University of California Santa Barbara; Helmholtz Association; Alfred Wegener Institute, Helmholtz Centre for Polar &amp; Marine Research; Berkeley Geochronolgy Center; Columbia University; Columbia University</t>
  </si>
  <si>
    <t>Johnson, JS (corresponding author), British Antarctic Survey, Nat Environm Res Council, Madingley Rd, Cambridge CB3 0ET, England.</t>
  </si>
  <si>
    <t>jsj@bas.ac.uk</t>
  </si>
  <si>
    <t>Smith, James A/N-1836-2013; Bentley, Michael J/F-7386-2011</t>
  </si>
  <si>
    <t>Bentley, Michael J/0000-0002-2048-0019; Johnson, Joanne/0000-0003-4537-4447; Gohl, Karsten/0000-0002-9558-2116</t>
  </si>
  <si>
    <t>Natural Environment Research Council; Columbia University Earth Institute/Lamont-Doherty Earth Observatory; Natural Environment Research Council [NE/F014260/1, NE/J005673/1, bas0100027] Funding Source: researchfish; NERC [bas0100027, NE/J005673/1, NE/F014260/1] Funding Source: UKRI</t>
  </si>
  <si>
    <t>Natural Environment Research Council(UK Research &amp; Innovation (UKRI)Natural Environment Research Council (NERC)); Columbia University Earth Institute/Lamont-Doherty Earth Observatory; Natural Environment Research Council(UK Research &amp; Innovation (UKRI)Natural Environment Research Council (NERC)); NERC(UK Research &amp; Innovation (UKRI)Natural Environment Research Council (NERC))</t>
  </si>
  <si>
    <t>The data presented here are archived in the supplementary materials. The project was conceived and developed by M.J.B. and R. D. L. Fieldwork and sampling were planned and undertaken by M.J.B., J.A.S., and J.S.J. K. G. led the cruise (RV Polarstern Expedition ANT-XXVI/3). J.S.J. processed the samples and interpreted the data, with direction from J.M.S., and analyses were performed by R. C. F. and D. H. R. G. B. developed the Monte Carlo simulations for Fig. 2 and fig. S4. M.J.B. and J.S.J. wrote the first draft, and all authors contributed to the interpretation and writing of the paper. This work forms part of the British Antarctic Survey program Polar Science for Planet Earth, funded by the Natural Environment Research Council, and was made possible by a Marie Tharp Fellowship in Earth, Environmental, and Ocean Sciences at Columbia University Earth Institute/Lamont-Doherty Earth Observatory, awarded to J.S.J. The fieldwork was supported by the research program PACES, Topic 3 Lessons from the Past of the Alfred Wegener Institute. This is LDEO publication 7577.</t>
  </si>
  <si>
    <t>AMER ASSOC ADVANCEMENT SCIENCE</t>
  </si>
  <si>
    <t>1200 NEW YORK AVE, NW, WASHINGTON, DC 20005 USA</t>
  </si>
  <si>
    <t>0036-8075</t>
  </si>
  <si>
    <t>1095-9203</t>
  </si>
  <si>
    <t>Science</t>
  </si>
  <si>
    <t>10.1126/science.1247385</t>
  </si>
  <si>
    <t>AC2DZ</t>
  </si>
  <si>
    <t>Green Published, Bronze, Green Accepted</t>
  </si>
  <si>
    <t>WOS:000332309600039</t>
  </si>
  <si>
    <t>Kender, S; Yu, JM; Peck, VL</t>
  </si>
  <si>
    <t>Kender, Sev; Yu, Jimin; Peck, Victoria L.</t>
  </si>
  <si>
    <t>Deep ocean carbonate ion increase during mid Miocene CO2 decline</t>
  </si>
  <si>
    <t>HIMALAYAN EXHUMATION; ICE; EVOLUTION; WATER; PACIFIC; DIOXIDE; CLIMATE; SEA; RECONSTRUCTION; COMPENSATION</t>
  </si>
  <si>
    <t>Characterised by long term cooling and abrupt ice sheet expansion on Antarctica similar to 14 Ma ago, the mid Miocene marked the beginning of the modern ice-house world, yet there is still little consensus on its causes, in part because carbon cycle dynamics are not well constrained. In particular, changes in carbonate ion concentration ([CO32-]) in the ocean, the largest carbon reservoir of the ocean-land-atmosphere system, are poorly resolved. We use benthic foraminiferal B/Ca ratios to reconstruct relative changes in [CO32-] from the South Atlantic, East Pacific, and Southern Oceans. Our results suggest an increase of perhaps similar to 40 mu mol/kg may have occurred between similar to 15 and 14 Ma in intermediate to deep waters in each basin. This long-term increase suggests elevated alkalinity input, perhaps from the Himalaya, rather than other shorter-term mechanisms such as ocean circulation or ecological changes, and may account for some of the proposed atmospheric CO2 decline before similar to 14 Ma.</t>
  </si>
  <si>
    <t>[Kender, Sev] British Geol Survey, Nottingham NG12 5GG, England; [Kender, Sev] Univ Leicester, Dept Geol, Leicester LE1 7RH, Leics, England; [Yu, Jimin] Australian Natl Univ, Res Sch Earth Sci, Canberra, ACT, Australia; [Peck, Victoria L.] British Antarctic Survey, Cambridge CB3 0ET, England</t>
  </si>
  <si>
    <t>UK Research &amp; Innovation (UKRI); Natural Environment Research Council (NERC); NERC British Geological Survey; University of Leicester; Australian National University; UK Research &amp; Innovation (UKRI); Natural Environment Research Council (NERC); NERC British Antarctic Survey</t>
  </si>
  <si>
    <t>Kender, S (corresponding author), British Geol Survey, Nottingham NG12 5GG, England.</t>
  </si>
  <si>
    <t>sk538@le.ac.uk</t>
  </si>
  <si>
    <t>Kender, Sev/B-9409-2016; Yu, Jimin/I-7770-2012</t>
  </si>
  <si>
    <t>Kender, Sev/0000-0003-4216-3214; Yu, Jimin/0000-0002-3896-1777</t>
  </si>
  <si>
    <t>Natural Environment Research Council; grant ARC [DP140101393]; NERC [bas0100024, bgs05002] Funding Source: UKRI; Natural Environment Research Council [bas0100024, bgs05002] Funding Source: researchfish</t>
  </si>
  <si>
    <t>Natural Environment Research Council(UK Research &amp; Innovation (UKRI)Natural Environment Research Council (NERC)); grant ARC(Australian Research Council); NERC(UK Research &amp; Innovation (UKRI)Natural Environment Research Council (NERC)); Natural Environment Research Council(UK Research &amp; Innovation (UKRI)Natural Environment Research Council (NERC))</t>
  </si>
  <si>
    <t>We thank M. Leng for stable isotope analysis and K. Johnson for sample processing. This study is part of the Palaeoclimate and Palaeoenvironment core science programme at the British Geological Survey, funded by the Natural Environment Research Council (S.K., V.P.) and by grant ARC DP140101393 (J.Y.). S.K. publishes with permission of the Executive Director of the British Geological Survey (NERC).</t>
  </si>
  <si>
    <t>FEB 26</t>
  </si>
  <si>
    <t>10.1038/srep04187</t>
  </si>
  <si>
    <t>AB6HO</t>
  </si>
  <si>
    <t>Green Submitted, Green Published, gold, Green Accepted</t>
  </si>
  <si>
    <t>WOS:000331888400002</t>
  </si>
  <si>
    <t>Pandit, D</t>
  </si>
  <si>
    <t>Pandit, Dinesh</t>
  </si>
  <si>
    <t>Chloritization in Paleoproterozoic granite ore system at Malanjkhand, Central India: mineralogical studies and mineral fluid equilibria modelling</t>
  </si>
  <si>
    <t>Activity ratios; alteration; chloritization; granite; hydrothermal fluids</t>
  </si>
  <si>
    <t>CONSISTENT THERMODYNAMIC DATA; THEORETICAL PREDICTION; HIGH-PRESSURES; AQUEOUS ELECTROLYTES; HYDROTHERMAL MINERALIZATION; PHASE-RELATIONS; COPPER-DEPOSIT; MASS-TRANSFER; TEMPERATURES; CHLORITE</t>
  </si>
  <si>
    <t>In the Malanjkhand Granitoid (MG), chlorite occurs in micro-domain along with mineral assemblage biotite, hornblende, quartz, K-feldspar and plagioclase. Chloritization of biotite is the most dominant processes during the hydrothermal alteration in MG ore system followed by alteration of hornblende. Chlorite composition revealed two major types of substitution mechanism, i.e. couples Tschermak (TK) and di-tri-octahedral (DT) which correspond to the coupled exchange of Mg and Fe for Al between end-members clinoclore-daphanite and amesite. TK substitution is more prominent than DT substitution between end-members of chlorite solid solution during hydrothermal alteration in MG. Temperature estimates for chloritization using chlorite geothermometry range from 110 degrees C to 400 degrees C and are consistent with the temperature of hydrothermal mineralization (200-375 degrees C) at Malanjkhand. The chloritization process incorporates K+ and Ca2+ ions in the hydrothermal fluids. Therefore, it is inferred that the chloritization in granitic plutons is due to alteration of biotite and hornblende which increases the oxygen fugacity and activities of K+ and Ca2+ ions in the hydrothermal fluid.</t>
  </si>
  <si>
    <t>Natl Ctr Antarctic &amp; Ocean Res, Goa 403804, India</t>
  </si>
  <si>
    <t>Pandit, D (corresponding author), Natl Ctr Antarctic &amp; Ocean Res, Goa 403804, India.</t>
  </si>
  <si>
    <t>dpandit@hotmail.com</t>
  </si>
  <si>
    <t>Pandit, Dinesh/AAM-6990-2021</t>
  </si>
  <si>
    <t>Pandit, Dinesh/0000-0003-1722-6586</t>
  </si>
  <si>
    <t>CISR, New Delhi</t>
  </si>
  <si>
    <t>I thank Dr S. Rajan, Director, National Centre for Antarctic and Ocean Research, Goa for permission to publish this paper which contains some part of the author's PhD thesis. Prof. Mruganka K. Panigrahi, IIT Kharagpur and Dr Rajesh K. Naik, Geological Survey of India (GSI), Kolkata are acknowledged for support in research during my tenure at IIT Kharagpur. CISR, New Delhi is acknowledged for grant of research fellowship and B. Chattopadhyay, S. K. Sengupta and S. Nandi, EPMA, GSI for EPMA analysis. I also thank R. Srinivasan for his critical suggestions on the MS.</t>
  </si>
  <si>
    <t>FEB 25</t>
  </si>
  <si>
    <t>AC3PR</t>
  </si>
  <si>
    <t>WOS:000332434200019</t>
  </si>
  <si>
    <t>Pagliosa, PR; Doria, JG; Misturini, D; Otegui, MBP; Oortman, MS; Weis, WA; Faroni-Perez, L; Alves, AP; Camargo, MG; Amaral, ACZ; Marques, AC; Lana, PC</t>
  </si>
  <si>
    <t>Pagliosa, Paulo R.; Doria, Joao G.; Misturini, Dairana; Otegui, Mariana B. P.; Oortman, Mariana S.; Weis, Wilson A.; Faroni-Perez, Larisse; Alves, Alexandre P.; Camargo, Mauricio G.; Amaral, A. Cecilia Z.; Marques, Antonio C.; Lana, Paulo C.</t>
  </si>
  <si>
    <t>NONATObase: a database for Polychaeta (Annelida) from the Southwestern Atlantic Ocean</t>
  </si>
  <si>
    <t>DATABASE-THE JOURNAL OF BIOLOGICAL DATABASES AND CURATION</t>
  </si>
  <si>
    <t>INTEGRATED DATABASE; INFORMATION</t>
  </si>
  <si>
    <t>Networks can greatly advance data sharing attitudes by providing organized and useful data sets on marine biodiversity in a friendly and shared scientific environment. NONATObase, the interactive database on polychaetes presented herein, will provide new macroecological and taxonomic insights of the Southwestern Atlantic region. The database was developed by the NONATO network, a team of South American researchers, who integrated available information on polychaetes from between 5 degrees N and 80 degrees S in the Atlantic Ocean and near the Antarctic. The guiding principle of the database is to keep free and open access to data based on partnerships. Its architecture consists of a relational database integrated in the MySQL and PHP framework. Its web application allows access to the data from three different directions: species (qualitative data), abundance (quantitative data) and data set (reference data). The database has built-in functionality, such as the filter of data on user-defined taxonomic levels, characteristics of site, sample, sampler, and mesh size used. Considering that there are still many taxonomic issues related to poorly known regional fauna, a scientific committee was created to work out consistent solutions to current misidentifications and equivocal taxonomy status of some species. Expertise from this committee will be incorporated by NONATObase continually. The use of quantitative data was possible by standardization of a sample unit. All data, maps of distribution and references from a data set or a specified query can be visualized and exported to a commonly used data format in statistical analysis or reference manager software. The NONATO network has initialized with NONATObase, a valuable resource for marine ecologists and taxonomists. The database is expected to grow in functionality as it comes in useful, particularly regarding the challenges of dealing with molecular genetic data and tools to assess the effects of global environment change.</t>
  </si>
  <si>
    <t>[Pagliosa, Paulo R.] Univ Fed Santa Catarina, Dept Geociencias, CFH, BR-88040970 Florianopolis, SC, Brazil; [Pagliosa, Paulo R.; Doria, Joao G.; Misturini, Dairana; Otegui, Mariana B. P.; Oortman, Mariana S.; Weis, Wilson A.; Faroni-Perez, Larisse] Univ Fed Santa Catarina, Nucleo Estudos Mar, CCB, BR-88040900 Florianopolis, SC, Brazil; [Alves, Alexandre P.] Que Art, BR-80520590 Curitiba, Parana, Brazil; [Camargo, Mauricio G.; Lana, Paulo C.] Univ Fed Parana, Ctr Estudos Mar, BR-83255000 Pontal Do Sul, Parana, Brazil; [Amaral, A. Cecilia Z.] Univ Estadual Campinas, Dept Zool, Inst Biol, BR-13083970 Sao Paulo, Brazil; [Marques, Antonio C.] Univ Sao Paulo, Inst Biociencias, BR-05508090 Sao Paulo, Brazil</t>
  </si>
  <si>
    <t>Universidade Federal de Santa Catarina (UFSC); Universidade Federal de Santa Catarina (UFSC); Universidade Federal do Parana; Universidade Estadual de Campinas; Universidade de Sao Paulo</t>
  </si>
  <si>
    <t>Pagliosa, PR (corresponding author), Univ Fed Santa Catarina, Dept Geociencias, CFH, BR-88040970 Florianopolis, SC, Brazil.</t>
  </si>
  <si>
    <t>paulo.pagliosa@ufsc.br</t>
  </si>
  <si>
    <t>Marques, Antonio/E-8049-2011; Lana, Paulo C/A-9325-2010; Fapesp, Biota/F-8655-2017; Amaral, Antonia Cecilia Z/B-6357-2013; Pagliosa, Paulo/E-1948-2013; Doria, Joao Gabriel/O-9671-2015; Camargo, Mauricio/H-7259-2016; Faroni-Perez, Larisse/I-4870-2013</t>
  </si>
  <si>
    <t>Marques, Antonio/0000-0002-2884-0541; Fapesp, Biota/0000-0002-9887-8449; Pagliosa, Paulo/0000-0003-0834-2534; Doria, Joao Gabriel/0000-0003-2142-4921; Misturini, Dairana/0000-0003-2675-8453; Camargo, Mauricio/0000-0002-8827-1176; Faroni-Perez, Larisse/0000-0002-9439-1094; Zacagnini Amaral, Antonia Cecilia/0000-0002-3303-1351</t>
  </si>
  <si>
    <t>Conselho Nacional de Desenvolvimento Cientifico e Tecnologico (CNPq/PROSUL); Conselho Nacional de Desenvolvimento Cientifico e Tecnologico (CNPq/SISBIOTA); Fundacao de Amparo a Pesquisa do Estado de Sao Paulo (FAPESP/Programa Biota); Fundacao de Amparo a Pesquisa do Estado de Sao Paulo (FAPESP/SISBIOTA); Coordenacao de Aperfeicoamento de Pessoal de Nivel Superior (CAPES)</t>
  </si>
  <si>
    <t>Conselho Nacional de Desenvolvimento Cientifico e Tecnologico (CNPq/PROSUL)(Conselho Nacional de Desenvolvimento Cientifico e Tecnologico (CNPQ)); Conselho Nacional de Desenvolvimento Cientifico e Tecnologico (CNPq/SISBIOTA)(Conselho Nacional de Desenvolvimento Cientifico e Tecnologico (CNPQ)); Fundacao de Amparo a Pesquisa do Estado de Sao Paulo (FAPESP/Programa Biota); Fundacao de Amparo a Pesquisa do Estado de Sao Paulo (FAPESP/SISBIOTA); Coordenacao de Aperfeicoamento de Pessoal de Nivel Superior (CAPES)(Coordenacao de Aperfeicoamento de Pessoal de Nivel Superior (CAPES))</t>
  </si>
  <si>
    <t>Conselho Nacional de Desenvolvimento Cientifico e Tecnologico (CNPq/PROSUL; CNPq/SISBIOTA), Fundacao de Amparo a Pesquisa do Estado de Sao Paulo (FAPESP/Programa Biota; FAPESP/SISBIOTA), and Coordenacao de Aperfeicoamento de Pessoal de Nivel Superior (CAPES). Funding for open access charge: Fundacao de Amparo a Pesquisa do Estado de Sao Paulo (FAPESP/Programa Biota).</t>
  </si>
  <si>
    <t>1758-0463</t>
  </si>
  <si>
    <t>DATABASE-OXFORD</t>
  </si>
  <si>
    <t>Database</t>
  </si>
  <si>
    <t>bau002</t>
  </si>
  <si>
    <t>10.1093/database/bau002</t>
  </si>
  <si>
    <t>Mathematical &amp; Computational Biology</t>
  </si>
  <si>
    <t>AF1YY</t>
  </si>
  <si>
    <t>WOS:000334511000001</t>
  </si>
  <si>
    <t>Mervis, J</t>
  </si>
  <si>
    <t>Mervis, Jeffrey</t>
  </si>
  <si>
    <t>US SCIENCE POLICY Antarctic Scientists Continue to Reel From Shutdown</t>
  </si>
  <si>
    <t>News Item</t>
  </si>
  <si>
    <t>FEB 21</t>
  </si>
  <si>
    <t>10.1126/science.343.6173.830</t>
  </si>
  <si>
    <t>AB1LG</t>
  </si>
  <si>
    <t>WOS:000331552600018</t>
  </si>
  <si>
    <t>Burton, MG; Ashley, MCB; Braiding, C; Storey, JWV; Kulesa, C; Hollenbach, DJ; Wolfire, M; Glück, C; Rowell, G</t>
  </si>
  <si>
    <t>Burton, Michael G.; Ashley, Michael C. B.; Braiding, Catherine; Storey, John W. V.; Kulesa, Craig; Hollenbach, David J.; Wolfire, Mark; Glueck, Christian; Rowell, Gavin</t>
  </si>
  <si>
    <t>THE CARBON INVENTORY IN A QUIESCENT, FILAMENTARY MOLECULAR CLOUD IN G328</t>
  </si>
  <si>
    <t>ISM: abundances; ISM: clouds; ISM: molecules; ISM: structure; radio lines: ISM; telescopes</t>
  </si>
  <si>
    <t>COSMIC-RAY IONIZATION; DIFFUSE INTERSTELLAR-MEDIUM; FAR-INFRARED LUMINOSITY; GALACTIC PLANE SURVEY; COLOGNE DATABASE; STAR-FORMATION; LINE EMISSION; MILKY-WAY; C-II; REGIONS</t>
  </si>
  <si>
    <t>We present spectral line images of [CI] 809 GHz, CO J = 1-0 115 GHz and Hi 1.4 GHz line emission, and calculate the corresponding C, CO and H column densities, for a sinuous, quiescent giant molecular cloud about 5 kpc distant along the l = 328 degrees sightline (hereafter G328) in our Galaxy. The [CI] data comes from the High Elevation Antarctic Terahertz telescope, a new facility on the summit of the Antarctic plateau where the precipitable water vapor falls to the lowest values found on the surface of the Earth. The CO and Hi data sets come from the Mopra and Parkes/ATCA telescopes, respectively. We identify a filamentary molecular cloud, similar to 75 x 5 pc long with mass similar to 4 x 10(4) M-circle dot and a narrow velocity emission range of just 4 km s(-1). The morphology and kinematics of this filament are similar in CO, [CI], and Hi, though in the latter appears as self-absorption. We calculate line fluxes and column densities for the three emitting species, which are broadly consistent with a photodissociation region model for a GMC exposed to the average interstellar radiation field. The [C/CO] abundance ratio averaged through the filament is found to be approximately unity. The G328 filament is constrained to be cold (T-Dust &lt; 20 K) by the lack of far-IR emission, to show no clear signs of star formation, and to only be mildly turbulent from the narrow line width. We suggest that it may represent a GMC shortly after formation, or perhaps still in the process of formation.</t>
  </si>
  <si>
    <t>[Burton, Michael G.; Ashley, Michael C. B.; Braiding, Catherine; Storey, John W. V.] Univ New S Wales, Sch Phys, Sydney, NSW 2052, Australia; [Kulesa, Craig] Univ Arizona, Steward Observ, Tucson, AZ 85721 USA; [Hollenbach, David J.] SETI Inst, Carl Sagan Ctr, Mountain View, CA 94043 USA; [Wolfire, Mark] Univ Maryland, Dept Astron, College Pk, MD 20742 USA; [Glueck, Christian] Univ Cologne, KOSMA, Inst Phys 1, D-50937 Cologne, Germany; [Rowell, Gavin] Univ Adelaide, Sch Chem &amp; Phys, Adelaide, SA 5005, Australia</t>
  </si>
  <si>
    <t>University of New South Wales Sydney; University of Arizona; University System of Maryland; University of Maryland College Park; University of Cologne; University of Adelaide</t>
  </si>
  <si>
    <t>Burton, MG (corresponding author), Univ New S Wales, Sch Phys, Sydney, NSW 2052, Australia.</t>
  </si>
  <si>
    <t>m.burton@unsw.edu.au</t>
  </si>
  <si>
    <t>Ashley, Michael/0000-0003-1412-2028; Braiding, Catherine/0000-0002-6475-0797; Burton, Michael/0000-0001-7289-1998; Rowell, Gavin/0000-0002-9516-1581</t>
  </si>
  <si>
    <t>National Science Foundation [PLR-0944335]; Astronomy Australia Limited; University of New South Wales; Australian Government; Education Investment Fund; Australian Research Council (ARC); UNSW; Sydney university; Monash university; ARC [DP120101585]</t>
  </si>
  <si>
    <t>National Science Foundation(National Science Foundation (NSF)); Astronomy Australia Limited; University of New South Wales; Australian Government(Australian Government); Education Investment Fund; Australian Research Council (ARC)(Australian Research Council); UNSW; Sydney university(University of Sydney); Monash university(Monash University); ARC(Australian Research Council)</t>
  </si>
  <si>
    <t>Funding for the HEAT telescope is provided by the National Science Foundation under grant number PLR-0944335. PLATO-R was funded by Astronomy Australia Limited, as well as the University of New South Wales, as an initiative of the Australian Government being conducted as part of the Super Science Initiative and financed from the Education Investment Fund. Logistical support for HEAT and PLATO-R is provided by the United States Antarctic Program.; The Mopra radio telescope is part of the Australia Telescope National Facility. Operations support was provided by the University of New South Wales and the University of Adelaide. The UNSW Digital Filter Bank (the MOPS) used for the observations with Mopra was provided with financial support from the Australian Research Council (ARC), UNSW, Sydney and Monash universities. We also acknowledge ARC support through Discovery Project DP120101585.</t>
  </si>
  <si>
    <t>FEB 20</t>
  </si>
  <si>
    <t>10.1088/0004-637X/782/2/72</t>
  </si>
  <si>
    <t>AF3AV</t>
  </si>
  <si>
    <t>WOS:000334584700014</t>
  </si>
  <si>
    <t>Mecozzi, M; Pietroletti, M; Trifirò, G; Nisini, L</t>
  </si>
  <si>
    <t>Mecozzi, Mauro; Pietroletti, Marco; Trifiro, Gianluca; Nisini, Laura</t>
  </si>
  <si>
    <t>Two-dimensional correlation analysis and multivariate time series analysis as innovative tools for the study and the comparison of the hydrocarbon distributions in marine antarctic cores</t>
  </si>
  <si>
    <t>Marine Antarctic cores; Gaschromatographic analysis; Biogenic hydrocarbons; Anthropogenic hydrocarbons; Petrogenic hydrocarbon; Two-dimensional correlation analysis; Multivariate time series analysis</t>
  </si>
  <si>
    <t>OIL-SPILL; ALIPHATIC-HYDROCARBONS; N-ALKANES; SEDIMENTS; CONTAMINATION; ENVIRONMENT; IDENTIFICATION; ALIGNMENT; STATION; SEA</t>
  </si>
  <si>
    <t>In this paper we describe the use of innovative methods for the study of the hydrocarbon distribution in environmental samples such as marine sedimentary Antarctic cores. In the first and conventional step of this study, we determined by GC analysis the hydrocarbon markers which allow us to estimate the presence of biogenic, anthropogenic and petrogenic sources. These markers were the Carbon Preference Index (CPI), the Low Molecular Weight to High Molecular Weight (LMW/HMW), the pristane to phytane (Pry/Phy), the C-17 to pristine (C-17/Pri) and the C-18 to phytatle (C-18/Phy) ratios, the presence of the so called unresolved complex mixtures (UCM), and the sum of two and three rings to the sum of higher ring (PAH(2.3)/PAH(4.6)) ratio. This part of the study showed the prevalent biogenic origin of hydrocarbons present in each sedimentary core with a minority presence of anthropogenic and pyrogenic sources of hydrocarbons. In the second and innovative step of this study we examined the GC chromatographic data sets of the cores by means of two-dimensional correlation analysis (2DCORR) techniques such as two-dimensional mapping (2DMAP) and two-dimensional disrelation (2DDIS) analysis. The results of 2DMAP showed a more homogeneous distribution of hydrocarbons present in the inshore core whereas the offshore core showed to be highly heterogeneous. 2DDIS results confirmed these findings describing these differences as related to the presence of a wide content of hydrocarbons within the C-20-C-40 range in the offshore core, depending reasonably on its specific stratigraphic and hydrologic conditions. At last, we applied Multivariate Time Series Analysis (MTSA) to study the effect of time on the spatial distribution of hydrocarbons along the sections of the cores. MTSA confirmed the different hydrological conditions present in the two sites. The innovative approach for the examination of hydrocarbon distribution by 2DCORR and MTSA techniques allows us to retrieve information which, on the opposite, can be hardly retrieved by means of the conventional examination of GC results based on comparisons of the hydrocarbon contents and markers. (C) 2013 Elsevier B.V. All rights reserved.</t>
  </si>
  <si>
    <t>[Mecozzi, Mauro; Pietroletti, Marco; Trifiro, Gianluca; Nisini, Laura] ISPRA, Lab Chemometr &amp; Environm Applicat, I-00128 Rome, Italy</t>
  </si>
  <si>
    <t>Italian Institute for Environmental Protection &amp; Research (ISPRA)</t>
  </si>
  <si>
    <t>Mecozzi, M (corresponding author), ISPRA, Lab Chemometr &amp; Environm Applicat, Via Castel Romano 100, I-00128 Rome, Italy.</t>
  </si>
  <si>
    <t>mauro.mecozzi@isprambiente.it</t>
  </si>
  <si>
    <t>Trifiro, Gianluca/K-9744-2016</t>
  </si>
  <si>
    <t>Trifiro, Gianluca/0000-0003-1147-7296</t>
  </si>
  <si>
    <t>scientific research project Features and Fate of Microcomponents in Antarctica and Relationships with Climate Changes, Italian Minster of University and Research [PROGDEF09-125]</t>
  </si>
  <si>
    <t>scientific research project Features and Fate of Microcomponents in Antarctica and Relationships with Climate Changes, Italian Minster of University and Research</t>
  </si>
  <si>
    <t>This study had the financial support of the scientific research project PROGDEF09-125 Features and Fate of Microcomponents in Antarctica and Relationships with Climate Changes by the Italian Minster of University and Research. We are grateful to Dr. Luisa Bergamin of ISPRA, Rome, for her precious contribution to the discussion of the results shown in this study. At last, we also thank two anonymous reviewers for all the suggestions and comments to our paper.</t>
  </si>
  <si>
    <t>10.1016/j.marchem.2013.12.003</t>
  </si>
  <si>
    <t>AB3FB</t>
  </si>
  <si>
    <t>WOS:000331675600002</t>
  </si>
  <si>
    <t>Aristegui, J; Duarte, CM; Reche, I; Gómez-Pinchetti, JL</t>
  </si>
  <si>
    <t>Aristegui, Javier; Duarte, Carlos M.; Reche, Isabel; Gomez-Pinchetti, Juan L.</t>
  </si>
  <si>
    <t>Krill Excretion Boosts Microbial Activity in the Southern Ocean</t>
  </si>
  <si>
    <t>DISSOLVED ORGANIC-CARBON; ANTARCTIC KRILL; EUPHAUSIA-SUPERBA; SCOTIA SEA; PHYTOPLANKTON; BACTERIA; GROWTH; ICE; TEMPERATURE; LIMITATION</t>
  </si>
  <si>
    <t>Antarctic krill are known to release large amounts of inorganic and organic nutrients to the water column. Here we test the role of krill excretion of dissolved products in stimulating heterotrophic bacteria on the basis of three experiments where ammonium and organic excretory products released by krill were added to bacterial assemblages, free of grazers. Our results demonstrate that the addition of krill excretion products (but not of ammonium alone), at levels expected in krill swarms, greatly stimulates bacteria resulting in an order-of-magnitude increase in growth and production. Furthermore, they suggest that bacterial growth rate in the Southern Ocean is suppressed well below their potential by resource limitation. Enhanced bacterial activity in the presence of krill, which are major sources of DOC in the Southern Ocean, would further increase recycling processes associated with krill activity, resulting in highly efficient krill-bacterial recycling that should be conducive to stimulating periods of high primary productivity in the Southern Ocean.</t>
  </si>
  <si>
    <t>[Aristegui, Javier; Gomez-Pinchetti, Juan L.] Univ Las Palmas Gran Canaria, Inst Oceanog &amp; Cambio Global IOCAG, Las Palmas Gran Canaria, Spain; [Duarte, Carlos M.] CSIC UIB, Inst Mediterraneo Estudios Avanzados IMEDEA, Esporles, Illes Balears, Spain; [Duarte, Carlos M.] Univ Western Australia, UWA Oceans Inst, Perth, WA 6009, Australia; [Reche, Isabel] Univ Granada, Fac Ciencias, Dept Ecol, Granada, Spain; [Gomez-Pinchetti, Juan L.] Spanish Bank Algae BEA, Telde, Gran Canaria, Spain</t>
  </si>
  <si>
    <t>Universidad de Las Palmas de Gran Canaria; Consejo Superior de Investigaciones Cientificas (CSIC); ATTITUS Educacao; Universitat de les Illes Balears; University of Barcelona; University of Western Australia; University of Granada</t>
  </si>
  <si>
    <t>Aristegui, J (corresponding author), Univ Las Palmas Gran Canaria, Inst Oceanog &amp; Cambio Global IOCAG, Las Palmas Gran Canaria, Spain.</t>
  </si>
  <si>
    <t>javier.aristegui@ulpgc.es</t>
  </si>
  <si>
    <t>Pinchetti, Juan Luis Gómez/AAB-3479-2020; Duarte Quesada, Carlos Manuel/ABD-6208-2021; Duarte, Carlos M/A-7670-2013; Arístegui, Javier/D-5833-2013; Reche, Isabel/K-7120-2014</t>
  </si>
  <si>
    <t>Duarte, Carlos M/0000-0002-1213-1361; Arístegui, Javier/0000-0002-7526-7741; Reche, Isabel/0000-0003-2908-1724; Gomez Pinchetti, Juan Luis/0000-0003-4668-0462</t>
  </si>
  <si>
    <t>Spanish Ministry of Science and Innovation [REN2002-04165-CO3-O2, POL2006-00550/CTM]</t>
  </si>
  <si>
    <t>This research is a contribution to projects ICEPOS (REN2002-04165-CO3-O2) and ATOS (POL2006-00550/CTM), funded by the Spanish Ministry of Science and Innovation. The funders had no role in study design, data collection and analysis, decision to publish, or preparation of the manuscript.</t>
  </si>
  <si>
    <t>FEB 19</t>
  </si>
  <si>
    <t>e89391</t>
  </si>
  <si>
    <t>10.1371/journal.pone.0089391</t>
  </si>
  <si>
    <t>AB3TA</t>
  </si>
  <si>
    <t>gold, Green Published</t>
  </si>
  <si>
    <t>WOS:000331711900138</t>
  </si>
  <si>
    <t>Staples, DA</t>
  </si>
  <si>
    <t>Staples, David A.</t>
  </si>
  <si>
    <t>A revision of the callipallenid genus Pseudopallene Wilson, 1878 (Pycnogonida, Callipallenidae)</t>
  </si>
  <si>
    <t>Meridionale; Cordylochele; Parapallene; Arctic; Sub-Antarctic; southern Australia</t>
  </si>
  <si>
    <t>ARTHROPODA; AUSTRALIA; SEA; ISLANDS</t>
  </si>
  <si>
    <t>Analysis of three northern hemisphere Boreal-Arctic species of Pseudopallene has shown that those species are morphologically distinguishable from their congeners in Australian waters. The holotypes of Australian species Pseudopallene laevis, Pseudopallene ambigua and Pseudopallene harrisi are compared with each other and with additional material from southern Australia. Sixteen species of Pseudopallene are assigned to a new genus Meridionale. Meridionale dubia is assigned to species inquirenda. The genus Cordylochele Sars, 1888 is resurrected. A diagnosis of each genus is provided along with additional figures. A brief summary of the systematic position of Pseudopallene up to the present time is provided. Three species are temporarily assigned to species incertae sedis pending further review.</t>
  </si>
  <si>
    <t>Museum Victoria, Melbourne, Vic 3001, Australia</t>
  </si>
  <si>
    <t>Museum Victoria</t>
  </si>
  <si>
    <t>Staples, DA (corresponding author), Museum Victoria, GPO Box 666, Melbourne, Vic 3001, Australia.</t>
  </si>
  <si>
    <t>dstaples@museum.vic.gov.au</t>
  </si>
  <si>
    <t>10.11646/zootaxa.3765.4.3</t>
  </si>
  <si>
    <t>AB5BS</t>
  </si>
  <si>
    <t>WOS:000331804500003</t>
  </si>
  <si>
    <t>Achtert, P; Tesche, M</t>
  </si>
  <si>
    <t>Achtert, P.; Tesche, M.</t>
  </si>
  <si>
    <t>Assessing lidar-based classification schemes for polar stratospheric clouds based on 16 years of measurements at Esrange, Sweden</t>
  </si>
  <si>
    <t>polar stratospheric clouds; lidar</t>
  </si>
  <si>
    <t>NITRIC-ACID; ARCTIC STRATOSPHERE; DUMONT-DURVILLE; MICROPHYSICAL PROPERTIES; HETEROGENEOUS FORMATION; ANTARCTIC STRATOSPHERE; DEPOLARIZATION RATIO; PARTICLES; CLIMATOLOGY; TEMPERATURE</t>
  </si>
  <si>
    <t>Lidar measurements of polar stratospheric clouds (PSCs) are commonly analyzed in classification schemes that apply the backscatter ratio and the particle depolarization ratio. This similarity of input data suggests comparable results of different classification schemesdespite measurements being performed with a variety of mostly custom-made instruments. Based on a time series of 16 years of lidar measurements at Esrange (68 degrees N, 21 degrees E), Sweden, we show that PSC classification differs substantially depending on the applied scheme. The discrepancies result from varying threshold values of lidar-derived parameters used to define certain PSC types. The resulting inconsistencies could impact the understanding of long-term PSC observations documented in the literature. We identify two out of seven considered classification schemes that are most likely to give reliable results and should be used in future lidar-based studies. Using polarized backscatter ratios gives the advantage of increased contrast for observations of weakly backscattering and weakly depolarizing particles. Improved confidence in PSC classification can be achieved by a more comprehensive consideration of the effect of measurement uncertainties. The particle depolarization ratio is the key to a reliable identification of different PSC types. Hence, detailed information on the calibration of the polarization-sensitive measurement channels should be provided to assess the findings of a study. Presently, most PSC measurements with lidar are performed at 532 nm only. The information from additional polarization-sensitive measurements in the near infrared could lead to an improved PSC classification. Coincident lidar-based temperature measurements at PSC level might provide useful information for an assessment of PSC classification.</t>
  </si>
  <si>
    <t>[Achtert, P.] Stockholm Univ, Dept Meteorol, S-10691 Stockholm, Sweden; [Tesche, M.] Stockholm Univ, Dept Appl Environm Sci, S-10691 Stockholm, Sweden</t>
  </si>
  <si>
    <t>Stockholm University; Stockholm University</t>
  </si>
  <si>
    <t>Achtert, P (corresponding author), Stockholm Univ, Dept Meteorol, S-10691 Stockholm, Sweden.</t>
  </si>
  <si>
    <t>peggy@misu.su.se</t>
  </si>
  <si>
    <t>Tesche, Matthias/S-6848-2019</t>
  </si>
  <si>
    <t>Tesche, Matthias/0000-0003-0096-4785; Achtert, Peggy/0000-0003-0156-5276</t>
  </si>
  <si>
    <t>FEB 16</t>
  </si>
  <si>
    <t>10.1002/2013JD020355</t>
  </si>
  <si>
    <t>AD1LD</t>
  </si>
  <si>
    <t>WOS:000332994600019</t>
  </si>
  <si>
    <t>Nghiem, SV; Hall, DK; Rigor, IG; Li, P; Neumann, G</t>
  </si>
  <si>
    <t>Nghiem, S. V.; Hall, D. K.; Rigor, I. G.; Li, P.; Neumann, G.</t>
  </si>
  <si>
    <t>Effects of Mackenzie River discharge and bathymetry on sea ice in the Beaufort Sea</t>
  </si>
  <si>
    <t>Arctic sea ice; Mackenzie River; Beaufort Sea; river discharge; bathymetry; Antarctic</t>
  </si>
  <si>
    <t>TRENDS; BASIN</t>
  </si>
  <si>
    <t>Mackenzie River discharge and bathymetry effects on sea ice in the Beaufort Sea are examined in 2012 when Arctic sea ice extent hit a record low. Satellite-derived sea surface temperature revealed warmer waters closer to river mouths. By 5 July 2012, Mackenzie warm waters occupied most of an open water area about 316,000km(2). Surface temperature in a common open water area increased by 6.5 degrees C between 14 June and 5 July 2012, before and after the river waters broke through a recurrent landfast ice barrier formed over the shallow seafloor offshore the Mackenzie Delta. In 2012, melting by warm river waters was especially effective when the strong Beaufort Gyre fragmented sea ice into unconsolidated floes. The Mackenzie and other large rivers can transport an enormous amount of heat across immense continental watersheds into the Arctic Ocean, constituting a stark contrast to the Antarctic that has no such rivers to affect sea ice.</t>
  </si>
  <si>
    <t>[Nghiem, S. V.; Li, P.; Neumann, G.] CALTECH, Jet Prop Lab, Pasadena, CA 91125 USA; [Hall, D. K.] NASA, Goddard Space Flight Ctr, Greenbelt, MD 20771 USA; [Rigor, I. G.] Univ Washington, Seattle, WA 98195 USA</t>
  </si>
  <si>
    <t>National Aeronautics &amp; Space Administration (NASA); NASA Jet Propulsion Laboratory (JPL); California Institute of Technology; National Aeronautics &amp; Space Administration (NASA); NASA Goddard Space Flight Center; University of Washington; University of Washington Seattle</t>
  </si>
  <si>
    <t>Nghiem, SV (corresponding author), CALTECH, Jet Prop Lab, Pasadena, CA 91125 USA.</t>
  </si>
  <si>
    <t>Son.V.Nghiem@jpl.nasa.gov</t>
  </si>
  <si>
    <t>Hall, Dorothy K./D-5562-2012</t>
  </si>
  <si>
    <t>National Aeronautics and Space Administration (NASA) Cryospheric Sciences Program; NASA; Office of Polar Programs (OPP); Directorate For Geosciences [1022710] Funding Source: National Science Foundation</t>
  </si>
  <si>
    <t>National Aeronautics and Space Administration (NASA) Cryospheric Sciences Program(National Aeronautics &amp; Space Administration (NASA)); NASA(National Aeronautics &amp; Space Administration (NASA)); Office of Polar Programs (OPP); Directorate For Geosciences(National Science Foundation (NSF)NSF - Directorate for Geosciences (GEO))</t>
  </si>
  <si>
    <t>The research carried out at the Jet Propulsion Laboratory (JPL), California Institute of Technology, and at NASA Goddard Space Flight Center (GSFC) was supported by the National Aeronautics and Space Administration (NASA) Cryospheric Sciences Program. Rigor is funded by NASA and other contributors to the U.S. Interagency Arctic Buoy Program. We thank Jody Hoon-Starr and Nick DiGirolamo of Science Systems and Applications, Inc. (SSAI), and Lisa Nguyen of JPL for programming help. We thank Michael Dettinger of the U.S. Geological Survey for his help with additional river discharge data.</t>
  </si>
  <si>
    <t>10.1002/2013GL058956</t>
  </si>
  <si>
    <t>AD1JO</t>
  </si>
  <si>
    <t>WOS:000332990500018</t>
  </si>
  <si>
    <t>Siegfried, MR; Fricker, HA; Roberts, M; Scambos, TA; Tulaczyk, S</t>
  </si>
  <si>
    <t>Siegfried, Matthew R.; Fricker, Helen A.; Roberts, Mackenzie; Scambos, Ted A.; Tulaczyk, Slawek</t>
  </si>
  <si>
    <t>A decade ofWest Antarctic subglacial lake interactions from combined ICESat and CryoSat-2altimetry</t>
  </si>
  <si>
    <t>subglacial lakes; altimetry; CryoSat-2; ICESat; glacier dynamics; ice stream</t>
  </si>
  <si>
    <t>WEST ANTARCTICA; WATER; SHEET; BENEATH; FLOW; GREENLAND; SYSTEM; STREAM; MODEL; SHELF</t>
  </si>
  <si>
    <t>We use CryoSat-2 interferometric satellite radar altimetry over the Mercer and Whillans ice streams, West Antarctica, to derive surface elevation changes due to subglacial lake activity at monthly resolution for the period 2010 to 2013. We validate CryoSat-2 elevation measurements, trends, and spatial patterns of change using satellite image differencing and in situ vertical movement from Global Positioning System (GPS) data. Two subglacial lake discharge events occur in the same subglacial-hydrological catchment within a 9month period. Using GPS measurements that are spanning the gap between the Ice, Cloud, and land Elevation Satellite and Cryosat-2 missions, we cross-calibrate the two missions to establish the efficacy of CryoSat-2 altimetry to measure dynamic changes on the ice sheets.</t>
  </si>
  <si>
    <t>[Siegfried, Matthew R.; Fricker, Helen A.; Roberts, Mackenzie] Univ Calif San Diego, Scripps Inst Oceanog, Inst Geophys &amp; Planetary Phys, La Jolla, CA 92093 USA; [Scambos, Ted A.] Univ Colorado Boulder, CIRES, Natl Snow &amp; Ice Data Ctr, Boulder, CO USA; [Tulaczyk, Slawek] Univ Calif Santa Cruz, Santa Cruz, CA 95064 USA</t>
  </si>
  <si>
    <t>University of California System; University of California San Diego; Scripps Institution of Oceanography; University of Colorado System; University of Colorado Boulder; University of California System; University of California Santa Cruz</t>
  </si>
  <si>
    <t>Siegfried, MR (corresponding author), Univ Calif San Diego, Scripps Inst Oceanog, Inst Geophys &amp; Planetary Phys, La Jolla, CA 92093 USA.</t>
  </si>
  <si>
    <t>mrsiegfried@ucsd.edu</t>
  </si>
  <si>
    <t>Scambos, Ted A/B-1856-2009; Tulaczyk, Slawek/O-7375-2018</t>
  </si>
  <si>
    <t>SCAMBOS, Ted A./0000-0003-4268-6322; Tulaczyk, Slawek/0000-0002-9711-4332; Fricker, Helen Amanda/0000-0002-0921-1432</t>
  </si>
  <si>
    <t>NASA [NNX11AQ78H, NNX10AG21G]; NSF [ANT-0636970, ANT-0838885]; Office of Polar Programs (OPP); Directorate For Geosciences [0839142] Funding Source: National Science Foundation; Office of Polar Programs (OPP); Directorate For Geosciences [0838885] Funding Source: National Science Foundation; NASA [NNX11AQ78H, 134118, 138817, NNX10AG21G] Funding Source: Federal RePORTER</t>
  </si>
  <si>
    <t>NASA(National Aeronautics &amp; Space Administration (NASA)); NSF(National Science Foundation (NSF)); Office of Polar Programs (OPP); Directorate For Geosciences(National Science Foundation (NSF)NSF - Directorate for Geosciences (GEO)); Office of Polar Programs (OPP); Directorate For Geosciences(National Science Foundation (NSF)NSF - Directorate for Geosciences (GEO)); NASA(National Aeronautics &amp; Space Administration (NASA))</t>
  </si>
  <si>
    <t>This work was carried out as part of the WISSARD project, supported by NASA grants NNX11AQ78H (Siegfried and Fricker) and NNX10AG21G (Scambos) and NSF grants ANT-0636970 (Tulaczyk) and ANT-0838885 (Severinghaus and Fricker). We thank UNAVCO, Raytheon Polar Services, Antarctic Support Contract (ASC), Kenn Borek Air, and the New York Air National Guard for logistical support; the European Space Agency for CryoSat-2 data; S. Carter, D. Sandwell, E. Garcia, A. Borsa, and A. Shepherd for helpful discussion; and two anonymous reviewers for their insightful comments.</t>
  </si>
  <si>
    <t>10.1002/2013GL058616</t>
  </si>
  <si>
    <t>WOS:000332990500021</t>
  </si>
  <si>
    <t>Tomasi, C; Petkov, BH</t>
  </si>
  <si>
    <t>Tomasi, Claudio; Petkov, Boyan H.</t>
  </si>
  <si>
    <t>Calculations of relative optical air masses for various aerosol types and minor gases in Arctic and Antarctic atmospheres</t>
  </si>
  <si>
    <t>Relative optical air mass; Arctic aerosol; Rayleigh scattering; Water vapor; Ozone; Antarctic aerosol</t>
  </si>
  <si>
    <t>MEAN VERTICAL PROFILES; REFRACTIVE-INDEX; POLAR STRATOSPHERE; MCMURDO STATION; SUN PHOTOMETRY; DEPTH SPECTRA; WATER-VAPOR; OZONE; TEMPERATURE; APPROXIMATION</t>
  </si>
  <si>
    <t>The dependence functions of relative optical air mass on apparent solar zenith angle have been calculated over the &lt; 87 degrees range for the vertical profiles of wet-air molecular number density in the Arctic and Antarctic atmospheres, extinction coefficients of different aerosol types, and molecular number density of water vapor, ozone, nitrogen dioxide, and oxygen dimer. The calculations were made using as weight functions the seasonal average vertical profiles of (i) pressure and temperature derived from multiyear sets of radiosounding measurements performed at Ny-angstrom lesund, Alert, Mario Zucchelli, and Neumayer stations; (ii) volume extinction coefficients of background summer aerosol, Arctic haze, and Kasatochi and Pinatubo volcanic aerosol measured with lidars or balloon-borne samplings; and (iii) molecular number concentrations of the above minor gases, derived from radiosonde, ozonesonde, and satellite-based observations. The air mass values were determined using a formula based on a realistic atmospheric air-refraction model. They were systematically checked by comparing their mutual differences with the uncertainties arising from the seasonal and daily variations in pressure and temperature conditions within the various ranges, where aerosol and gases attenuate the solar radiation most efficiently. The results provide evidence that secant-approximated and midlatitude air mass values are inappropriate for analyzing the Sun photometer measurements performed at polar sites. They indicate that the present evaluations can be reliably used to estimate the aerosol optical depth from the Arctic and Antarctic measurements of total optical depth, after appropriate corrections for the Rayleigh scattering and gaseous absorption optical depths.</t>
  </si>
  <si>
    <t>[Tomasi, Claudio; Petkov, Boyan H.] CNR, Inst Atmospher Sci &amp; Climate, Climate Change Div, Bologna, Italy</t>
  </si>
  <si>
    <t>Consiglio Nazionale delle Ricerche (CNR); Istituto di Scienze dell'Atmosfera e del Clima (ISAC-CNR)</t>
  </si>
  <si>
    <t>Tomasi, C (corresponding author), CNR, Inst Atmospher Sci &amp; Climate, Climate Change Div, Bologna, Italy.</t>
  </si>
  <si>
    <t>c.tomasi@isac.cnr.it</t>
  </si>
  <si>
    <t>Petkov, Boyan/0000-0002-8328-340X</t>
  </si>
  <si>
    <t>Programma Nazionale di Ricerche in Antartide (PNRA) [2006/6.01]</t>
  </si>
  <si>
    <t>Programma Nazionale di Ricerche in Antartide (PNRA)</t>
  </si>
  <si>
    <t>The authors gratefully acknowledge Andreas Herber (Alfred Wegener Institute, Bremerhaven, Germany) for providing some sets of ground-based SP-AWI Sun photometer and KARL lidar measurements performed at the AWIPEV Arctic Research Base at Ny-Alesund (Spitsbergen) over the last 10 years. The research activity was supported by the Programma Nazionale di Ricerche in Antartide (PNRA) and developed as a part of subproject 2006/6.01: POLAR-AOD: a network to characterize the means, variability and trends of the climate-forcing properties of aerosols in polar regions.</t>
  </si>
  <si>
    <t>10.1002/2013JD020600</t>
  </si>
  <si>
    <t>WOS:000332994600018</t>
  </si>
  <si>
    <t>Majer, AP; Petti, MAV; Corbisier, TN; Ribeiro, AP; Theophilo, CYS; Ferreira, PAD; Figueira, RCL</t>
  </si>
  <si>
    <t>Majer, Alessandra Pereira; Varella Petti, Monica Angelica; Corbisier, Thais Navajas; Ribeiro, Andreza Portella; Sawamura Theophilo, Carolina Yume; de Lima Ferreira, Paulo Alves; Lopes Figueira, Rubens Cesar</t>
  </si>
  <si>
    <t>Bioaccumulation of potentially toxic trace elements in benthic organisms of Admiralty Bay (King George Island, Antarctica)</t>
  </si>
  <si>
    <t>Bioaccumulation; Biomagnification; Trace elements; Admiralty Bay; Antarctica</t>
  </si>
  <si>
    <t>MARINE ORGANISMS; STABLE-ISOTOPES; HEAVY-METALS; CONTAMINATION; BIOMAGNIFICATION; CADMIUM; MERCURY; SIZE</t>
  </si>
  <si>
    <t>Data about the concentration, accumulation and transfer of potentially toxic elements in Antarctic marine food webs are essential for understanding the impacts of these elements, and for monitoring the pollution contribution of scientific stations, mainly in Admiralty Bay due to the 2012 fire in the Brazilian scientific station. Accordingly, the concentration of As, Cd, Cu, Ni, Pb and Zn was measured in eight benthic species collected in the 2005/2006 austral summer and the relationship between concentration and trophic position (indicated by delta N-15 values) was tested. A wide variation in metal content was observed depending on the species and the element. In the studied trophic positions, it was observed bioaccumulation for As, Cd and Pb, which are toxic elements with no biological function. In addition, Cd showed a positive relationship between concentration and trophic level suggesting the possible biomagnification of this element. (C) 2013 Elsevier Ltd. All rights reserved.</t>
  </si>
  <si>
    <t>[Majer, Alessandra Pereira; Varella Petti, Monica Angelica; Corbisier, Thais Navajas; Ribeiro, Andreza Portella; Sawamura Theophilo, Carolina Yume; de Lima Ferreira, Paulo Alves; Lopes Figueira, Rubens Cesar] Univ Sao Paulo, Inst Oceanog, BR-05508900 Butanta, SP, Brazil; [Majer, Alessandra Pereira] Fac Estacio Cotia, BR-06711280 Cotia, SP, Brazil; [Majer, Alessandra Pereira] Fac Estacio Europanamer Humanidades &amp; Tecnol, BR-06711280 Cotia, SP, Brazil; [Ribeiro, Andreza Portella] Univ Nove Julho UNINOVE, BR-05001100 Sao Paulo, Brazil</t>
  </si>
  <si>
    <t>Universidade de Sao Paulo; Universidade Nove de Julho</t>
  </si>
  <si>
    <t>Ribeiro, AP (corresponding author), Univ Sao Paulo, Inst Oceanog, Pca Oceanog 191, BR-05508900 Butanta, SP, Brazil.</t>
  </si>
  <si>
    <t>andrezpr@usp.br</t>
  </si>
  <si>
    <t>Figueira, Rubens/AAC-1045-2022; Petti, Monica A V/S-6367-2016; Theophilo, Carolina Yume Sawamura/AAQ-9963-2021; Portella, Andreza A/B-9754-2017; Ribeiro, Andreza Portella/N-9082-2019; Figueira, Rubens RCL/C-5958-2013; Corbisier, Thais N./R-8255-2017; Ferreira, Paulo/H-3654-2012; Theophilo, Carolina Yume Sawamura/AAD-1127-2019; Pereira Majer, Alessandra/B-5366-2014</t>
  </si>
  <si>
    <t>Figueira, Rubens/0000-0001-8945-4540; Theophilo, Carolina Yume Sawamura/0000-0002-9707-1010; Ribeiro, Andreza Portella/0000-0002-1763-4558; Ferreira, Paulo/0000-0001-9723-3166; Pereira Majer, Alessandra/0000-0002-3248-8122</t>
  </si>
  <si>
    <t>CNPq; Network 2 Project (CNPq) [550354/2002-6]; Instituto Nacional de Ciencia e Tecnologia Antartico de Pesquisas Ambientais (CNPq) [574018/2008-5]; Instituto Nacional de Ciencia e Tecnologia Antartico de Pesquisas Ambientais (FAPERJ) [E-26/170.023/2008]; Ministerio do Meio Ambiente (MMA); Ministerio de Ciencia e Tecnologia (MCT); Comissao Interministerial para Recursos do Mar (CIRM)</t>
  </si>
  <si>
    <t>CNPq(Conselho Nacional de Desenvolvimento Cientifico e Tecnologico (CNPQ)); Network 2 Project (CNPq)(Conselho Nacional de Desenvolvimento Cientifico e Tecnologico (CNPQ)); Instituto Nacional de Ciencia e Tecnologia Antartico de Pesquisas Ambientais (CNPq)(Conselho Nacional de Desenvolvimento Cientifico e Tecnologico (CNPQ)); Instituto Nacional de Ciencia e Tecnologia Antartico de Pesquisas Ambientais (FAPERJ)(Fundacao Carlos Chagas Filho de Amparo a Pesquisa do Estado do Rio De Janeiro (FAPERJ)); Ministerio do Meio Ambiente (MMA); Ministerio de Ciencia e Tecnologia (MCT); Comissao Interministerial para Recursos do Mar (CIRM)</t>
  </si>
  <si>
    <t>The authors thank the anonymous referee for reviewing this manuscript, and also Alexandre Barbosa Salaroli, Jose Lourenco Friedmann Angeli and Charles Silva for technical support during analysis. Financial support was provided by a CNPq fellowship to APM. Our collections complied with the current Brazilian laws. Sponsorship from Network 2 Project (CNPq process 550354/2002-6), Instituto Nacional de Ciencia e Tecnologia Antartico de Pesquisas Ambientais (CNPq process 574018/2008-5 and FAPERJ process E-26/170.023/2008), Ministerio do Meio Ambiente (MMA), Ministerio de Ciencia e Tecnologia (MCT) and Comissao Interministerial para Recursos do Mar (CIRM).</t>
  </si>
  <si>
    <t>FEB 15</t>
  </si>
  <si>
    <t>10.1016/j.marpolbul.2013.12.015</t>
  </si>
  <si>
    <t>AC3QM</t>
  </si>
  <si>
    <t>WOS:000332436300052</t>
  </si>
  <si>
    <t>Post, AL; Galton-Fenzi, BK; Riddle, MJ; Herraiz-Borreguero, L; O'Brien, PE; Hemer, MA; McMinn, A; Rasch, D; Craven, M</t>
  </si>
  <si>
    <t>Post, A. L.; Galton-Fenzi, B. K.; Riddle, M. J.; Herraiz-Borreguero, L.; O'Brien, P. E.; Hemer, M. A.; McMinn, A.; Rasch, D.; Craven, M.</t>
  </si>
  <si>
    <t>Modern sedimentation, circulation and life beneath the Amery Ice Shelf, East Antarctica</t>
  </si>
  <si>
    <t>CONTINENTAL SHELF RESEARCH</t>
  </si>
  <si>
    <t>Sub-ice shelf; Sedimentary processes; Surface sediments; Oceanography; Benthic ecosystem; Diatoms</t>
  </si>
  <si>
    <t>LAST GLACIAL MAXIMUM; PRYDZ BAY; WATER MASSES; WEDDELL SEA; ROSS SEA; SYSTEM; SHEET; HISTORY; LAZAREV; RETREAT</t>
  </si>
  <si>
    <t>The surface sedimentary record from six cores collected from beneath the Amery Ice Shelf, East Antarctica, provides a unique view of the sedimentary and oceanographic processes in this sub-ice shelf setting. The composition and age of the surface sediments indicate spatial variations in ice shelf cavity-ocean interaction, which are consistent with patterns of ocean inflow and outflow modelled and observed beneath the ice shelf. Sediments within 100 km of the ice shelf front (site AM01) show the greatest open ocean influence with a young surface age and the highest total diatom abundance, compared to older ages and lower diatom abundances at sites deeper in the cavity (AM03-AM06). The variable marine influence between sites determines the nature of benthic communities. Seabed imagery indicates the existence of sessile suspension feeders in areas of strong marine inflow (site AM01b), while grazers, deposit feeders and a few suspension feeders occur at sites more distal from the shelf calving front where the food supply is lower (sites AM03 and AM04). Understanding the sedimentary and oceanographic processes within the sub-ice shelf environment allows better constraint of interpretations of down core sediment records, an improved understanding of the nature of biological communities in sub-ice shelf environments, and a baseline for determining the sensitivity of the system to any future changes in ocean dynamics. Crown Copyright (C) 2013 Published by Elsevier Ltd. All rights reserved.</t>
  </si>
  <si>
    <t>[Post, A. L.; O'Brien, P. E.; Hemer, M. A.] Geosci Australia, Canberra, ACT 2601, Australia; [Galton-Fenzi, B. K.; Herraiz-Borreguero, L.; Rasch, D.; Craven, M.] Univ Tasmania, Antarctic Climate &amp; Ecosyst Cooperat Res Ctr, Hobart, Tas 7001, Australia; [Riddle, M. J.; Rasch, D.; Craven, M.] Australian Antarctic Div, Kingston, Tas 7050, Australia; [O'Brien, P. E.] Macquarie Univ, Dept Geog &amp; Environm, N Ryde, NSW 2109, Australia; [Hemer, M. A.] CSIRO Marine &amp; Atmospher Res, Ctr Australian Weather &amp; Climate Res, Hobart, Tas 7001, Australia; [McMinn, A.] Univ Tasmania, Inst Marine &amp; Antarctic Studies, Hobart, Tas 7001, Australia</t>
  </si>
  <si>
    <t>Geoscience Australia; Antarctic Climate &amp; Ecosystems Cooperative Research Centre (ACE CRC); University of Tasmania; Australian Antarctic Division; Macquarie University; Commonwealth Scientific &amp; Industrial Research Organisation (CSIRO); University of Tasmania</t>
  </si>
  <si>
    <t>Post, AL (corresponding author), Geosci Australia, GPO Box 378, Canberra, ACT 2601, Australia.</t>
  </si>
  <si>
    <t>alix.post@ga.gov.au</t>
  </si>
  <si>
    <t>McMinn, Andrew/A-9910-2008; Herraiz-Borreguero, Laura/D-5795-2015; Hemer, Mark/M-1905-2013</t>
  </si>
  <si>
    <t>Herraiz-Borreguero, Laura/0000-0002-4455-801X; Post, Alexandra/0000-0002-6287-3283; Hemer, Mark/0000-0002-7725-3474; O'Brien, Philip/0000-0003-3446-3292; Galton-Fenzi, Benjamin Keith/0000-0003-1404-4103</t>
  </si>
  <si>
    <t>ASAC [ASAC 1210, ASAC 1164]</t>
  </si>
  <si>
    <t>ASAC</t>
  </si>
  <si>
    <t>The authors would like to thank T. Watson, C. Thun, A. McLachlan and B. Poignent (all of Geoscience Australia) for laboratory analysis, and personnel who have assisted with the AMISOR programme, both in the field and with technical input in Australia. The sub-ice shelf sediments were first collected as part of the AMISOR geoscience programme under an ASAC grant (ASAC 1210) to Dr P. Harris (Geoscience Australia) as part of the larger AMISOR programme (ASAC 1164). We thank Chris Carson for identification of rock fragments, and Scott Nichol, Kim Picard and several anonymous reviewers for constructive reviews of an earlier version of this manuscript. A.L.P., M.A.H. and P.E.O. publish with the permission of the Chief Executive Officer, Geoscience Australia.</t>
  </si>
  <si>
    <t>0278-4343</t>
  </si>
  <si>
    <t>1873-6955</t>
  </si>
  <si>
    <t>CONT SHELF RES</t>
  </si>
  <si>
    <t>Cont. Shelf Res.</t>
  </si>
  <si>
    <t>10.1016/j.csr.2013.10.010</t>
  </si>
  <si>
    <t>AB3HJ</t>
  </si>
  <si>
    <t>WOS:000331681600007</t>
  </si>
  <si>
    <t>Walraven, N; van Os, BJH; Klaver, GT; Middelburg, JJ; Davies, GR</t>
  </si>
  <si>
    <t>Walraven, N.; van Os, B. J. H.; Klaver, G. Th.; Middelburg, J. J.; Davies, G. R.</t>
  </si>
  <si>
    <t>The lead (Pb) isotope signature, behaviour and fate of traffic-related lead pollution in roadside soils in The Netherlands</t>
  </si>
  <si>
    <t>SCIENCE OF THE TOTAL ENVIRONMENT</t>
  </si>
  <si>
    <t>Lead; Isotopes; Highways; Soils; Groundwater; Transport</t>
  </si>
  <si>
    <t>STABLE LEAD; FOREST SOILS; MEDITERRANEAN SOILS; ANTHROPOGENIC LEAD; ATMOSPHERIC LEAD; GREENLAND SNOWS; SEDIMENT CORES; ANTARCTIC SNOW; MINERAL SOIL; HEAVY-METALS</t>
  </si>
  <si>
    <t>In this study the origin, behaviour and fate of anthropogenic Pb in sandy roadside soils were assessed by measuring soil characteristics, Pb isotope composition and content. In 1991 and 2003 samples were taken at different depth intervals at approximately 8 and 75 m from two highways in The Netherlands. The Pb isotope composition of the litter layer (Pb-206/Pb-207 = 1.12-1.14) differs from the deeper soil samples (Pb-206/Pb-207 = 1.20-1.21). Based on a mixing model it is concluded that the samples contain two Pb sources: natural Pb and anthropogenic Pb, the latter mainly derived from gasoline. Pb-206/Pb-207 ratios demonstrate that the roadside soils were polluted to a depth of similar to 15 cm. Within this depth interval, anthropogenic Pb content is associated with organic matter. Although Pb pollution only reached a depth of similar to 15 cm, this does not mean that the topsoils retain all anthropogenic Pb. Due to the low pH and negligible binding capacity of soils at depths &gt;15 cm, anthropogenic Pb migrated towards groundwater after reaching depths of &gt;15 cm. The Pb isotope composition of the groundwater (Pb-206/Pb-207 = 1.135-1.185) establishes that groundwater is polluted with anthropogenic Pb. The contribution of anthropogenic Pb to the groundwater varies between similar to 30 and 100%. Based on the difference in soil Pb content and Pb isotope compositions over a period of 12 years, downward Pb migration is calculated to vary from 72 +/- 95 to 324 +/- 279 mg m(-2) y(-1). Assuming that the downward Pb flux is constant over time, it is calculated that 35-90% of the atmospherically delivered Pb has migrated to the groundwater. (C) 2013 Elsevier B.V. All rights reserved.</t>
  </si>
  <si>
    <t>[Walraven, N.] GeoConnect, NL-1901 PV Castricum, Netherlands; [van Os, B. J. H.] Rijksdienst Archeol Cultuurlandschap &amp; Monumenten, NL-3800 BP Amersfoort, Netherlands; [Klaver, G. Th.] Bur Rech Geol &amp; Minieres, F-45060 Orleans 2, France; [Middelburg, J. J.] Univ Utrecht, Fac Geosci, NL-3508 TA Utrecht, Netherlands; [Davies, G. R.] Vrije Univ Amsterdam, Fac Earth &amp; Life Sci, NL-1081 HV Amsterdam, Netherlands</t>
  </si>
  <si>
    <t>Bureau de Recherches Geologiques et Minieres (BRGM); Utrecht University; Vrije Universiteit Amsterdam</t>
  </si>
  <si>
    <t>Walraven, N (corresponding author), GeoConnect, NL-1901 PV Castricum, Netherlands.</t>
  </si>
  <si>
    <t>n.walraven@geoconnect.nl; b.vanos@rce.nl; g.klaver@brgm.nl; j.b.m.middelburg@uu.nl; g.r.davies@vu.nl</t>
  </si>
  <si>
    <t>Middelburg, Jack/B-4951-2011; van Os, Bertil/ABU-8673-2022</t>
  </si>
  <si>
    <t>Middelburg, Jack/0000-0003-3601-9072; van Os, Bertil/0000-0003-1739-1696; Davies, Gareth Rees/0000-0002-6136-9202</t>
  </si>
  <si>
    <t>TNO; Deltares</t>
  </si>
  <si>
    <t>This work was supported financially by TNO and Deltares. We thank Jaap Willemse and Hans Reinders of the Dutch National Institute of Public Health and the Environment (RIVM) for collaborating in this research (providing the roadside samples from 1991). Erik van Vilsteren and Rob van Galen are acknowledged for performing the chemical and isotopic analysis. Special thanks to Menno van der Heiden for providing the map. We thank the four anonymous reviewers for their thorough and constructive reviews of the manuscript.</t>
  </si>
  <si>
    <t>0048-9697</t>
  </si>
  <si>
    <t>1879-1026</t>
  </si>
  <si>
    <t>SCI TOTAL ENVIRON</t>
  </si>
  <si>
    <t>Sci. Total Environ.</t>
  </si>
  <si>
    <t>10.1016/j.scitotenv.2013.11.110</t>
  </si>
  <si>
    <t>AB6RB</t>
  </si>
  <si>
    <t>WOS:000331916100098</t>
  </si>
  <si>
    <t>O'Donnell, JP; Nyblade, AA</t>
  </si>
  <si>
    <t>O'Donnell, J. P.; Nyblade, A. A.</t>
  </si>
  <si>
    <t>Antarctica's hypsometry and crustal thickness: Implications for the origin of anomalous topography in East Antarctica</t>
  </si>
  <si>
    <t>Antarctica; hypsometry; crust; mantle; seismic; gravity</t>
  </si>
  <si>
    <t>WILKES SUBGLACIAL BASIN; UPPER-MANTLE STRUCTURE; DRONNING MAUD LAND; VELOCITY STRUCTURE; EARTHS CRUST; CONTINENTAL-CRUST; SEISMIC STRUCTURE; WAVE TOMOGRAPHY; MIZUHO PLATEAU; BENEATH AFRICA</t>
  </si>
  <si>
    <t>The hypsometry of Antarctica revealed by BEDMAP2 data is characterised by deglaciated modal elevations of similar to-450 m and similar to 650 m for West and East Antarctica, respectively, and an East Antarctic plateau that is topographically anomalous by similar to 400-600 m with respect to global continental modal elevation estimates. Superimposed on the East Antarctic plateau are the Gamburtsev Subglacial Mountains, the Dronning Maud Land Mountains and the Vostok Highlands with modal elevations similar to 400 m in excess of the East Antarctic mode. To ascertain whether East Antarctica's anomalous topography can be attributed to Airy-type crustal compensation, a continental-scale crustal thickness model was derived from the inversion of GOCO03S satellite gravity data constrained by seismic crustal thickness estimates. The average crustal thickness of East Antarctica is similar to 40 km (for West Antarctica similar to 24 km), a value typical of continental shields, and while crustal thicknesses of &gt;50 km locally beneath the Gamburtsev Subglacial Mountains and Dronning Maud Land can account for their differential modal elevation above the plateau, crustal thicknesses elsewhere across East Antarctica offer no suggestion of crustal-level continental-scale support for the broader plateau. Enderby Land, for example, resides on the plateau and is characterised by a modal elevation of similar to 750 m and crust similar to 40 km thick, whereas off the plateau in East Antarctica, the Aurora and Wilkes Subglacial Basins have modal elevations of similar to-50 m and similar to 50 m, respectively, yet similarly thick crust. The lack of crustal support for the elevated broader East Antarctic plateau, coupled with seismic images showing fast upper mantle velocities beneath the plateau, suggest a mid-to-lower mantle source for East Antarctica's anomalous topography. (C) 2013 Elsevier B.V. All rights reserved.</t>
  </si>
  <si>
    <t>[O'Donnell, J. P.; Nyblade, A. A.] Penn State Univ, Dept Geosci, University Pk, PA 16802 USA</t>
  </si>
  <si>
    <t>Pennsylvania Commonwealth System of Higher Education (PCSHE); Pennsylvania State University; Pennsylvania State University - University Park</t>
  </si>
  <si>
    <t>O'Donnell, JP (corresponding author), Penn State Univ, Dept Geosci, University Pk, PA 16802 USA.</t>
  </si>
  <si>
    <t>jpo1@psu.edu</t>
  </si>
  <si>
    <t>O'Donnell, John Paul/0000-0003-1524-2312</t>
  </si>
  <si>
    <t>National Science Foundation [ANT-0537597, ANT-0537371, ANT-0838934, ANT-0838973]; Directorate For Geosciences; Office of Polar Programs (OPP) [1246776] Funding Source: National Science Foundation</t>
  </si>
  <si>
    <t>National Science Foundation(National Science Foundation (NSF)); Directorate For Geosciences; Office of Polar Programs (OPP)(National Science Foundation (NSF)NSF - Directorate for Geosciences (GEO))</t>
  </si>
  <si>
    <t>This study was funded by National Science Foundation grants ANT-0537597, ANT-0537371, ANT-0838934 and ANT-0838973. Anya M. Reading and an anonymous reviewer are thanked for their constructive reviews. Figures in the paper were produced using GMT (Wessel and Smith, 1998).</t>
  </si>
  <si>
    <t>10.1016/j.epsl.2013.11.051</t>
  </si>
  <si>
    <t>AB0SO</t>
  </si>
  <si>
    <t>WOS:000331502600015</t>
  </si>
  <si>
    <t>Pichat, S; Abouchami, W; Galer, SJG</t>
  </si>
  <si>
    <t>Pichat, Sylvain; Abouchami, Wafa; Galer, Stephen J. G.</t>
  </si>
  <si>
    <t>Lead isotopes in the Eastern Equatorial Pacific record Quaternary migration of the South Westerlies</t>
  </si>
  <si>
    <t>eolian dust sources; South America; Pb, Nd, Sr isotopes; Atacama; Chilean Lake District; Glacial termination</t>
  </si>
  <si>
    <t>LAST GLACIAL MAXIMUM; TRANSATLANTIC DUST TRANSPORT; LAKE DISTRICT; CLIMATE VARIABILITY; LLANQUIHUE DRIFT; CENTRAL CHILE; EOLIAN DUST; DOME-C; PB; PROVENANCE</t>
  </si>
  <si>
    <t>The influence of atmospheric dust on climate and biogeochemical cycles in the oceans is well understood but poorly quantified. Glacial atmospheric dust loads were generally greater than those during the Holocene, as shown, for example, by the covariation of dust fluxes in the Equatorial Pacific and Antarctic ice cores. Nevertheless, it remains unclear whether these increases in dust flux were associated with changes in sources of dust, which would in turn suggest variations in wind patterns, climate or paleoenvironment. Such questions can be answered using radiogenic isotope tracers of dust provenance. Here, we present a 160-kyr high-precision lead isotope time-series of dust input to the Eastern Equatorial Pacific (EEP) from core ODP Leg 138, Site 849 (0 degrees 11.59' N, 110 degrees 31.18' W). The Pb isotope record, combined with Nd isotope data, rules out contributions from Northern Hemisphere dust sources, north of the Intertropical Convergence Zone, such as Asia or North Africa/Sahara; similarly, eolian sources in Australia, Central America, the Northern Andes and Patagonia appear insignificant based upon the radiogenic isotope data. Fluctuations in Pb isotope ratios throughout the last 160 kyr show, instead, that South America remained the prevailing source of dusts to the EEP. There are two distinct South American Pb isotope end-members, constrained to be located in the south Central Volcanic Zone (CVZ, 22 degrees S - 27.5 degrees S) and the South Volcanic Zone (SVZ, 33 degrees S - 430 degrees S), with the former most likely originating in the Atacama Desert. Dust availability in the SVZ appears to be related to the weathering of volcanic deposits and the development of ash-derived Andosols, and influenced by local factors that might include vegetation cover. Variations in the dust fluxes from the two sources are in phase with both the dust flux and temperature records from Antarctican ice cores. We show that the forcing of dust provenance over time in the EEP overall is influenced by high-southerly-latitude climate conditions, leading to changes in the latitudinal position and strength of the South Westerlies as well as the coastal winds that blow northward along the Chilean margin. The net result is a modulation of dust emission from the Atacama Desert and the SVZ via a northward migration of the South Westerlies during cold periods and southward retreat during glacial terminations. (C) 2013 Elsevier B.V. All rights reserved.</t>
  </si>
  <si>
    <t>[Pichat, Sylvain] Ecole Normale Super Lyon, CNRS UMR 5276, Lab Geol Lyon LGL TPE, F-69007 Lyon, France; [Pichat, Sylvain; Abouchami, Wafa; Galer, Stephen J. G.] Max Planck Inst Chem, D-55020 Mainz, Germany; [Abouchami, Wafa] Univ Munster, Inst Mineral, D-48149 Munster, Germany</t>
  </si>
  <si>
    <t>Ecole Normale Superieure de Lyon (ENS de LYON); Universite Claude Bernard Lyon 1; Centre National de la Recherche Scientifique (CNRS); CNRS - National Institute for Earth Sciences &amp; Astronomy (INSU); Max Planck Society; University of Munster</t>
  </si>
  <si>
    <t>Pichat, S (corresponding author), Ecole Normale Super Lyon, CNRS UMR 5276, Lab Geol Lyon LGL TPE, F-69007 Lyon, France.</t>
  </si>
  <si>
    <t>spichat@ens-lyon.fr</t>
  </si>
  <si>
    <t>Pichat, Sylvain/C-8407-2012</t>
  </si>
  <si>
    <t>Pichat, Sylvain/0000-0001-8558-6298</t>
  </si>
  <si>
    <t>CNRS - INSU ECLIPSE II grant; Leibniz Prize; DFG</t>
  </si>
  <si>
    <t>CNRS - INSU ECLIPSE II grant; Leibniz Prize(German Research Foundation (DFG)); DFG(German Research Foundation (DFG))</t>
  </si>
  <si>
    <t>Part of this project was supported by a CNRS - INSU ECLIPSE II grant to S. Pichat. W. Abouchami was funded partly by the Leibniz Prize awarded by the DFG to K. Mezger. A. Hofmann is thanked for providing financial support for S. Pichat during his stay at MPIC and comments on an early draft of the manuscript. We thank P. Telouk for maintaining the ICP-MS lab in Lyon in state-of-the-art condition, E. Albalat for maintaining the clean lab in Lyon in perfect condition, H. Feldmann and P. Jaeckel for their help with the TIMS and in the clean labs in Mainz. The pink student team, S. Darfeuil and E. Poupart, is thanked for help with the leaching experiments. This research used samples provided by the Ocean Drilling Program (ODP849) and the Oregon State University Marine Geology Repository (VNTR01-8PC). We are grateful to H. Bonnaveira for providing the samples of Chimborazo ash. We thank the Editor G.M. Henderson, M. Paul and two anonymous reviewers for their helpful comments.</t>
  </si>
  <si>
    <t>10.1016/j.epsl.2013.11.035</t>
  </si>
  <si>
    <t>WOS:000331502600029</t>
  </si>
  <si>
    <t>Molina-Kescher, M; Frank, M; Hathorne, E</t>
  </si>
  <si>
    <t>Molina-Kescher, Mario; Frank, Martin; Hathorne, Ed</t>
  </si>
  <si>
    <t>South Pacific dissolved Nd isotope compositions and rare earth element distributions: Water mass mixing versus biogeochemical cycling</t>
  </si>
  <si>
    <t>TRANSPACIFIC HYDROGRAPHIC SECTIONS; TOTAL GEOSTROPHIC CIRCULATION; 43 DEGREES S; NEODYMIUM ISOTOPES; OCEAN CIRCULATION; FLOW PATTERNS; WORLD OCEAN; SCORPIO EXPEDITION; BOUNDARY EXCHANGE; DEEP-WATER</t>
  </si>
  <si>
    <t>Despite its enormous extent and importance for global climate, the South Pacific has been poorly investigated in comparison to other regions with respect to chemical oceanography. Here we present the first detailed analysis of dissolved radiogenic Nd isotopes (epsilon(Nd)) and rare earth elements (REEs) in intermediate and deep waters of the mid-latitude (similar to 40 degrees S) South Pacific along a meridional transect between South America and New Zealand. The goal of our study is to gain better insight into the distribution and mixing of water masses in the South Pacific and to evaluate the validity of Nd isotopes as a water mass tracer in this remote region of the ocean. The results demonstrate that biogeochemical cycling (scavenging processes in the Eastern Equatorial Pacific) and release of LREEs from the sediment clearly influence the distribution of the dissolved REE concentrations at certain locations. Nevertheless, the Nd isotope signatures clearly trace water masses including AAIW (Antarctic Intermediate Water) (average epsilon(Nd) = -8.2 +/- 0.3), LCDW (Lower Circumpolar Deep Water) (average epsilon(Nd) = -8.3 +/- 0.3), NPDW (North Pacific Deep Water) (average epsilon(Nd) = -5.9 +/- 0.3), and the remnants of NADW (North Atlantic Deep Water) (average epsilon(Nd) = -9.7 +/- 0.3). Filtered water samples taken from the sediment-water interface under the deep western boundary current off New Zealand suggest that boundary exchange processes are limited at this location and highlight the spatial and temporal variability of this process. These data will serve as a basis for the paleoceanographic application of Nd isotopes in the South Pacific. (C) 2013 Elsevier Ltd. All rights reserved.</t>
  </si>
  <si>
    <t>[Molina-Kescher, Mario; Frank, Martin; Hathorne, Ed] GEOMAR Helmholtz Ctr Ocean Res Kiel, D-24148 Kiel, Germany</t>
  </si>
  <si>
    <t>Helmholtz Association; GEOMAR Helmholtz Center for Ocean Research Kiel</t>
  </si>
  <si>
    <t>Molina-Kescher, M (corresponding author), GEOMAR Helmholtz Ctr Ocean Res Kiel, Wischhofstr 1-3, D-24148 Kiel, Germany.</t>
  </si>
  <si>
    <t>mmolina-kescher@geomar.de</t>
  </si>
  <si>
    <t>Hathorne, Ed/AAC-6315-2020</t>
  </si>
  <si>
    <t>Hathorne, Ed/0000-0002-7813-2455; Frank, Martin/0000-0002-8606-4421; Molina-Kescher, Mario/0000-0002-3064-040X</t>
  </si>
  <si>
    <t>Bundesministerium fur Bildung und Forschung, Germany [03G0213B]</t>
  </si>
  <si>
    <t>Bundesministerium fur Bildung und Forschung, Germany(Federal Ministry of Education &amp; Research (BMBF))</t>
  </si>
  <si>
    <t>We would like to thank the Bundesministerium fur Bildung und Forschung, Germany for funding this project (No.: 03G0213B), the crew members and participants of expedition SO213, in particular D. Nurnberg and R. Tiedemann for organizing and leading the cruise, which was part of the collaborative SOPATRA (SOuth PAcific paleoceanographic TRAnsect) project between the GEOMAR Helmholtz Centre for Ocean Research Kiel and the Alfred Wegener Institute for Polar and Marine Research (AWI) in Bremerhaven. R. Tiedemann ( AWI) provided the nutrient data. We also thank J. Rempfer, University of Berne, for providing the modelled section of the study area and Jutta Heinze for laboratory assistance. Comments by the associate editor Mark Rehkamper, as well as by David Wilson and two anonymous reviewers improved the quality of this paper significantly.</t>
  </si>
  <si>
    <t>10.1016/j.gca.2013.11.038</t>
  </si>
  <si>
    <t>291QC</t>
  </si>
  <si>
    <t>WOS:000329842900011</t>
  </si>
  <si>
    <t>Abouchami, W; Galer, SJG; de Baar, HJW; Middag, R; Vance, D; Zhao, Y; Klunder, M; Mezger, K; Feldmann, H; Andreae, MO</t>
  </si>
  <si>
    <t>Abouchami, W.; Galer, S. J. G.; de Baar, H. J. W.; Middag, R.; Vance, D.; Zhao, Y.; Klunder, M.; Mezger, K.; Feldmann, H.; Andreae, M. O.</t>
  </si>
  <si>
    <t>Biogeochemical cycling of cadmium isotopes in the Southern Ocean along the Zero Meridian</t>
  </si>
  <si>
    <t>LIMITS PHYTOPLANKTON GROWTH; MARINE-PHYTOPLANKTON; ATLANTIC SECTOR; IRON LIMITATION; PHYTOCHELATIN PRODUCTION; CARBONIC-ANHYDRASE; DISSOLVED ZINC; TRACE-ELEMENTS; WATER COLUMN; WEDDELL GYRE</t>
  </si>
  <si>
    <t>We present depth profiles of Cd isotopes and concentrations from the Southern Ocean at four stations in the Atlantic sector along the Greenwich Meridian (47 degrees S to 68 degrees S) located across the main Antarctic frontal zones and productivity belt. The vertical profiles of Cd concentration typically show low values in surface waters, elevated values at intermediate depths, reflecting remineralization of sinking particulate organic matter, and constant values in deep waters. The surface-to-deep isotopic gradient shows heavy Cd isotope signatures in the mixed surface layer, becoming more pronounced northward, with values up to epsilon(112/110) Cd of around +4.1 in the Subantarctic sector of the Southern Ocean. Deep Antarctic waters display a uniform and light epsilon(112/110) Cd of +1.18 +/- 0.38 and Cd concentrations of 0.761 +/- 0.101 nmol/kg (n = 23, 2SD). Intermediate waters are characterized by epsilon(112/110) Cd lying between those of surface and deep waters, with a constant value of about +0.8 in the High Nutrient Low Chlorophyll sector and a notably higher value of +2.3 in the Subantarctic sector. The Cd isotope fractionation in the Southern Ocean closely follows a simple closed-system Rayleigh model, in which biological uptake of Cd imparts the epsilon(112/110) Cd signature to the surface layer while that of deep waters is determined by the flux of regenerated isotopically-light Cd from sinking organic matter from the surface ocean and the degree of mixing of distinct water masses. The vertical gradient documented for Cd isotopes and nutrient ratios, along with the meridional gradient in surface waters, highlights the important role played by upwelling in the Southern Ocean in closing the meridional overturning circulation via the export of Antarctic intermediate and mode waters which have a distinctive chemical (low Cd:P) and Cd isotope (heavy) signature. The combined Cd-Zn isotope systematics provide evidence for a strong link between the magnitude of biological Cd stable isotope fractionation and Zn availability in the contrasted nutrient and ecological regimes of the Southern Ocean. Substitution of Cd for Zn in the enzyme carbonic anhydrase appears to be the driving mechanism for Cd isotope fractionation in the Antarctic Circumpolar Current, while an excess-uptake mechanism seems to predominate in the Weddell Gyre. Our study highlights some of the complexities of the biogeochemical cycling of Cd in the oceans. Nevertheless, systematic variations in Cd isotopic compositions with water mass distribution in the Southern Ocean suggest that Cd isotopes could, with some caveats, be useful tracers of changes in past nutrient utilization and deep water circulation. (C) 2013 Elsevier Ltd. All rights reserved.</t>
  </si>
  <si>
    <t>[Abouchami, W.; Galer, S. J. G.; Feldmann, H.; Andreae, M. O.] Max Planck Inst Chem, Biogeochem Dept, D-55020 Mainz, Germany; [Abouchami, W.] Univ Munster, Inst Mineral, D-48149 Munster, Germany; [de Baar, H. J. W.; Middag, R.; Klunder, M.] Royal Netherlands Inst Sea Res, NL-1790 AB Den Burg, Netherlands; [Middag, R.] Univ Otago, Dept Chem, Dunedin, New Zealand; [Vance, D.] ETH, Inst Geochem &amp; Petr, Dept Earth Sci, CH-8092 Zurich, Switzerland; [Zhao, Y.] Nu Instruments Ltd, Wrexham LL13 9XS, Wales; [Klunder, M.] Ctgb, Wageningen, Netherlands; [Mezger, K.] Univ Bern, Inst Geol, CH-3012 Bern, Switzerland</t>
  </si>
  <si>
    <t>Max Planck Society; University of Munster; Utrecht University; Royal Netherlands Institute for Sea Research (NIOZ); University of Otago; Swiss Federal Institutes of Technology Domain; ETH Zurich; University of Bern</t>
  </si>
  <si>
    <t>Abouchami, W (corresponding author), Federgrasweg 54, D-55122 Mainz, Germany.</t>
  </si>
  <si>
    <t>wafa.abouchami@mpic.de</t>
  </si>
  <si>
    <t>Middag, Rob/D-6423-2013; Andreae, Meinrat/B-1068-2008; Mezger, Klaus/D-9502-2011</t>
  </si>
  <si>
    <t>Middag, Rob/0000-0002-3326-530X; Andreae, Meinrat/0000-0003-1968-7925; Mezger, Klaus/0000-0002-2443-8539; Zhao, Ye/0000-0002-6300-4477</t>
  </si>
  <si>
    <t>Max Planck Society Research fellowship; DFG through the Leibniz Prize Award; Max Planck Society</t>
  </si>
  <si>
    <t>Max Planck Society Research fellowship; DFG through the Leibniz Prize Award; Max Planck Society(Max Planck Society)</t>
  </si>
  <si>
    <t>We thank the four reviewers for their critical and insightful comments that led to significant improvement to the manuscript and A. Bowie for editorial handling. WA was funded by a Max Planck Society Research fellowship and the DFG through the Leibniz Prize Award to KM. Ingrid Raczek is thanked for her help in the laboratory. Mark Rehkamper, Peter Croot and Oliver Baars are thanked for discussion and Jay Cullen for kindly sharing his compilation of the global Cd-P dataset. This research was funded by the Max Planck Society. Lastly, we thank the entire crew and scientific team on cruise Ant XXIV/3 aboard the FS Polarstern for enabling the collection of the samples used in this study.</t>
  </si>
  <si>
    <t>10.1016/j.gca.2013.10.022</t>
  </si>
  <si>
    <t>WOS:000329842900021</t>
  </si>
  <si>
    <t>Ryan, PG</t>
  </si>
  <si>
    <t>Ryan, Peter G.</t>
  </si>
  <si>
    <t>Litter survey detects the South Atlantic 'garbage patch'</t>
  </si>
  <si>
    <t>Marine debris; Plastic litter; South Atlantic gyre; Seaweed; Survey; Windage</t>
  </si>
  <si>
    <t>FLOATING DEBRIS; MARINE DEBRIS; SUBTROPICAL GYRE; PLASTIC DEBRIS; OCEAN; SEA; ENVIRONMENT; ABUNDANCE; SURFACE</t>
  </si>
  <si>
    <t>A distance-based technique was used to assess the distribution and abundance of floating marine debris (&gt;1 cm) in the southeast Atlantic Ocean between Cape Town and Tristan da Cunha, crossing the southern edge of the South Atlantic 'garbage patch' predicted by surface drift models. Most litter was made of plastic (97%). Detection distances were influenced by the size and buoyancy of litter items. Litter density decreased from coastal waters off Cape Town (&gt;100 items km(-2)) to oceanic waters (&lt;10 items km(-2)), and was consistently higher (6.2 +/- 1.3 items km(-2)) from 3 to 8 E than in adjacent oceanic waters (2.7 +/- 0.3 items km(-2)) or in the central South Atlantic around Tristan (1.0 +/- 0.4 items km(-2)). The area with high litter density had few seaweeds, suggesting that most litter had been drifting for a long time. The results indicate that floating debris is accumulating in the South Atlantic gyre as far south as 34-35 degrees S. (C) 2013 Elsevier Ltd. All rights reserved.</t>
  </si>
  <si>
    <t>Univ Cape Town, DST NRF Ctr Excellence, Percy FitzPatrick Inst African Ornithol, ZA-7701 Rondebosch, South Africa</t>
  </si>
  <si>
    <t>University of Cape Town; National Research Foundation - South Africa</t>
  </si>
  <si>
    <t>Ryan, PG (corresponding author), Univ Cape Town, DST NRF Ctr Excellence, Percy FitzPatrick Inst African Ornithol, ZA-7701 Rondebosch, South Africa.</t>
  </si>
  <si>
    <t>peter.ryan@uct.ac.za</t>
  </si>
  <si>
    <t>Ryan, Peter/0000-0002-3356-2056</t>
  </si>
  <si>
    <t>National Research Foundation; University of Cape Town</t>
  </si>
  <si>
    <t>I thank Bruce Dyer, Mara Nydegger and Chris Bell for assistance with litter surveys, and the officers of the S.A. Agulhas II for permission to use the bridge during inclement weather. The project was part of the South African National Antarctic Programme, with financial support from the National Research Foundation and the University of Cape Town.</t>
  </si>
  <si>
    <t>10.1016/j.marpolbul.2013.12.010</t>
  </si>
  <si>
    <t>WOS:000332436300039</t>
  </si>
  <si>
    <t>Tachikawa, K; Timmermann, A; Vidal, L; Sonzogni, C; Timm, OE</t>
  </si>
  <si>
    <t>Tachikawa, Kazuyo; Timmermann, Axel; Vidal, Laurence; Sonzogni, Corinne; Timm, Oliver Elison</t>
  </si>
  <si>
    <t>CO2 radiative forcing and Intertropical Convergence Zone influences on western Pacific warm pool climate over the past 400 ka</t>
  </si>
  <si>
    <t>Mg/Ca-SST; Transient model simulation; Western Pacific warm pool; CO2 forcing</t>
  </si>
  <si>
    <t>PAPUA-NEW-GUINEA; OCEAN CIRCULATION; TERMINATION-I; ICE-CORE; TEMPERATURE; RECORD; MODEL; SEA; VARIABILITY; RECONSTRUCTION</t>
  </si>
  <si>
    <t>The western Pacific warm pool (WPWP) is an important heat source for the atmospheric circulation and influences climate conditions worldwide. Estimating WPWP sensitivity to past radiative forcing perturbations is important for understanding the magnitudes and patterns of current and projected tropical climate change. Here we present a new Mg/Ca-based sea surface temperature (SST) reconstruction over the past 400 ka from the Bismarck Sea, off Papua New Guinea, along with benthic foraminiferal 8180 records and a transient intermediate complexity earth system model simulation. The Mg/Ca-SST record exhibits a close similarity with atmospheric CO2 content for the whole study period. Our model analysis demonstrates that greenhouse gas forcing is the primary driver for glacial/interglacial SST changes in the entire WPWP region. Mg/Ca-SST in the Bismarck Sea also includes a weaker precessional component, which covaries with reconstructed and simulated local precipitation, and simulated surface currents. We propose that orbitally driven latitudinal shifts of the Intertropical Convergence Zone and oceanic heat advection are responsible for this residual SST variability. On glacial timescales the reconstructed WPVVP surface temperature changes over the past 400 ka are highly correlated with East Antarctic air temperature variations. The strong effect of greenhouse gas forcings on both records and on global mean temperature variability allows us to determine a scaling factor of 1-1.5 between reconstructed WPWP temperature anomalies and estimates of the global mean temperature. (C) 2013 Elsevier Ltd. All rights reserved.</t>
  </si>
  <si>
    <t>[Tachikawa, Kazuyo; Vidal, Laurence; Sonzogni, Corinne] Aix Marseille Univ, CNRS, IRD, CEREGE UM34, F-13545 Aix En Provence, France; [Timmermann, Axel; Timm, Oliver Elison] Univ Hawaii, IPRC, SOEST, Honolulu, HI 96822 USA; [Timm, Oliver Elison] Univ Albany, DAES, Albany, NY 12220 USA</t>
  </si>
  <si>
    <t>Universite PSL; College de France; Aix-Marseille Universite; Centre National de la Recherche Scientifique (CNRS); Institut de Recherche pour le Developpement (IRD); University of Hawaii System; State University of New York (SUNY) System; State University of New York (SUNY) Albany</t>
  </si>
  <si>
    <t>Tachikawa, K (corresponding author), Aix Marseille Univ, CNRS, IRD, CEREGE UM34, F-13545 Aix En Provence, France.</t>
  </si>
  <si>
    <t>kazuyo@cerege.fr</t>
  </si>
  <si>
    <t>Sonzogni, Corinne/AAG-5816-2019; Timmermann, Axel/Y-2799-2019; Vidal, Laurence/C-1860-2019; Elison Timm, Oliver/L-2543-2018</t>
  </si>
  <si>
    <t>Timmermann, Axel/0000-0003-0657-2969; Elison Timm, Oliver/0000-0001-8871-0602</t>
  </si>
  <si>
    <t>INSU; French Polar Institute IPEV; US National Science Foundation [1010869]; Directorate For Geosciences; Div Atmospheric &amp; Geospace Sciences [1010869] Funding Source: National Science Foundation</t>
  </si>
  <si>
    <t>INSU(Centre National de la Recherche Scientifique (CNRS)); French Polar Institute IPEV; US National Science Foundation(National Science Foundation (NSF)); Directorate For Geosciences; Div Atmospheric &amp; Geospace Sciences(National Science Foundation (NSF)NSF - Directorate for Geosciences (GEO))</t>
  </si>
  <si>
    <t>We acknowledge support from INSU and the French Polar Institute IPEV, who provided the RV Marion Dufresne and CALYPSO coring system used during the MD148 IMAGES XIII PECTEN cruise. We thank Luc Beaufort (Chief Scientist), Yvon Balut and the crew of the PECTEN cruise. We appreciate insightful discussions with Drs. D. Paillard, L. Stott and G. Schmidt. Two anonymous reviewers are thanked for their helpful comments and suggestions. This research was funded by the European Community (Project Past4Future) to K.T. and L.V., MicroForam (CYBER/LEFE-INSU/CNRS) to K.T. and ANR MAGORB (ANR-09-BLAN-0053-01) to L.V. A.T. and O. T. were supported by grant 1010869 from the US National Science Foundation.</t>
  </si>
  <si>
    <t>10.1016/j.quascirev.2013.12.018</t>
  </si>
  <si>
    <t>AB7SN</t>
  </si>
  <si>
    <t>WOS:000331991100003</t>
  </si>
  <si>
    <t>Glasser, NF; Davies, BJ; Carrivick, JL; Rodés, A; Hambrey, MJ; Smellie, JL; Domack, E</t>
  </si>
  <si>
    <t>Glasser, N. F.; Davies, B. J.; Carrivick, J. L.; Rodes, A.; Hambrey, M. J.; Smellie, J. L.; Domack, E.</t>
  </si>
  <si>
    <t>Ice-stream initiation, duration and thinning on James Ross Island, northern Antarctic Peninsula</t>
  </si>
  <si>
    <t>Antarctica; Ice streams; Cosmogenic isotope dating</t>
  </si>
  <si>
    <t>LAST GLACIAL MAXIMUM; PRINCE GUSTAV CHANNEL; EXPOSURE AGES; GEOLOGICAL CONSTRAINTS; CLIMATE HISTORY; FLOW DYNAMICS; WEDDELL SEA; LEVEL; REGION; BE-10</t>
  </si>
  <si>
    <t>Predicting the future response of the Antarctic Ice Sheet to climate change requires an understanding of the ice streams that dominate its dynamics. Here we use cosmogenic isotope exposure-age dating (Al-26, Be-10 and Cl-36) of erratic boulders on ice-free land on James Ross Island, north-eastern Antarctic Peninsula, to define the evolution of Last Glacial Maximum (LGM) ice in the adjacent Prince Gustav Channel. These data include ice-sheet extent, thickness and dynamical behaviour. Prior to similar to 18 ka, the LGM Antarctic Peninsula Ice Sheet extended to the continental shelf-edge and transported erratic boulders onto high-elevation mesas on James Ross Island. After similar to 18 ka there was a period of rapid ice-sheet surface-lowering, coincident with the initiation of the Prince Gustav Ice Stream. This timing coincided with rapid increases in atmospheric temperature and eustatic sea-level rise around the Antarctic Peninsula. Collectively, these data provide evidence for a transition from a thick, cold-based LGM Antarctic Peninsula Ice Sheet to a thinner, partially warm-based ice sheet during deglaciation. Crown Copyright (C) 2013 Published by Elsevier Ltd. All rights reserved.</t>
  </si>
  <si>
    <t>[Glasser, N. F.; Davies, B. J.; Hambrey, M. J.] Aberystwyth Univ, Dept Geog &amp; Earth Sci, Aberystwyth SY23 3DB, Dyfed, Wales; [Carrivick, J. L.] Univ Leeds, Sch Geog, Leeds LS2 9JT, W Yorkshire, England; [Rodes, A.] SUERC, E Kilbride, Lanark, Scotland; [Smellie, J. L.] Univ Leicester, Dept Geol, Leicester LE1 7RH, Leics, England; [Domack, E.] Hamilton Coll, Dept Geosci, Clinton, NY 13323 USA</t>
  </si>
  <si>
    <t>Aberystwyth University; University of Leeds; Scottish Universities Research &amp; Reactor Center; University of Leicester; Hamilton College</t>
  </si>
  <si>
    <t>Glasser, NF (corresponding author), Aberystwyth Univ, Dept Geog &amp; Earth Sci, Aberystwyth SY23 3DB, Dyfed, Wales.</t>
  </si>
  <si>
    <t>nfg@aber.ac.uk</t>
  </si>
  <si>
    <t>Rodes, Angel/C-9228-2011</t>
  </si>
  <si>
    <t>Rodes, Angel/0000-0001-8488-7689; Glasser, Neil/0000-0002-8245-2670; Davies, Bethan/0000-0002-8636-1813; Carrivick, Jonathan/0000-0002-9286-5348</t>
  </si>
  <si>
    <t>UK Natural Environment Research Council (NERC) under the Antarctic Funding Initiative [NE/F012942/1]; NERC CIAF grant [9035/0407]; British Antarctic Survey; Directorate For Geosciences; Office of Polar Programs (OPP) [1430002] Funding Source: National Science Foundation; Natural Environment Research Council [ciaf010001, NE/F012942/1, NE/F015518/1, NE/F012896/1] Funding Source: researchfish; NERC [NE/F015518/1, ciaf010001, NE/F012896/1, NE/F012942/1] Funding Source: UKRI</t>
  </si>
  <si>
    <t>UK Natural Environment Research Council (NERC) under the Antarctic Funding Initiative(UK Research &amp; Innovation (UKRI)Natural Environment Research Council (NERC)); NERC CIAF grant; British Antarctic Survey;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</si>
  <si>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This work was funded by the UK Natural Environment Research Council (NERC) under the Antarctic Funding Initiative NE/F012942/1). Transport, logistics and fieldwork on James Ross Island were supported by the British Antarctic Survey, and we thank the captain and crew of the RRS Ernest Shackleton and the RRS James Clark Ross for their support. We thank Alan Hill for his field logistical support. 10Be,26Al,36Cl analyses were supported by a NERC CIAF grant (9035/0407), and we also acknowledge Joyce Wilcox and Allan Davidson (both SUERC) for help with these analyses.</t>
  </si>
  <si>
    <t>10.1016/j.quascirev.2013.11.012</t>
  </si>
  <si>
    <t>WOS:000331991100007</t>
  </si>
  <si>
    <t>Edgar, GJ; Stuart-Smith, RD; Willis, TJ; Kininmonth, S; Baker, SC; Banks, S; Barrett, NS; Becerro, MA; Bernard, ATF; Berkhout, J; Buxton, CD; Campbell, SJ; Cooper, AT; Davey, M; Edgar, SC; Försterra, G; Galván, DE; Irigoyen, AJ; Kushner, DJ; Moura, R; Parnell, PE; Shears, NT; Soler, G; Strain, EMA; Thomson, RJ</t>
  </si>
  <si>
    <t>Edgar, Graham J.; Stuart-Smith, Rick D.; Willis, Trevor J.; Kininmonth, Stuart; Baker, Susan C.; Banks, Stuart; Barrett, Neville S.; Becerro, Mikel A.; Bernard, Anthony T. F.; Berkhout, Just; Buxton, Colin D.; Campbell, Stuart J.; Cooper, Antonia T.; Davey, Marlene; Edgar, Sophie C.; Foersterra, Guenter; Galvan, David E.; Irigoyen, Alejo J.; Kushner, David J.; Moura, Rodrigo; Parnell, P. Ed; Shears, Nick T.; Soler, German; Strain, Elisabeth M. A.; Thomson, Russell J.</t>
  </si>
  <si>
    <t>Global conservation outcomes depend on marine protected areas with five key features</t>
  </si>
  <si>
    <t>NATURE</t>
  </si>
  <si>
    <t>SIZE-STRUCTURE; RESERVES; ABUNDANCE; HOTSPOTS; NETWORK; FISHES; REEFS</t>
  </si>
  <si>
    <t>In line with global targets agreed under the Convention on Biological Diversity, the number of marine protected areas (MPAs) is increasing rapidly, yet socio-economic benefits generated by MPAs remain difficult to predict and under debate(1,2). MPAs often fail to reach their full potential as a consequence of factors such as illegal harvesting, regulations that legally allow detrimental harvesting, or emigration of animals outside boundaries because of continuous habitat or inadequate size of reserve(3-5). Here we show that the conservation benefits of 87 MPAs investigated worldwide increase exponentially with the accumulation of five key features: no take, well enforced, old (&gt;10 years), large (&gt;100 km(2)), and isolated by deep water or sand. Using effective MPAs with four or five key features as an unfished standard, comparisons of underwater survey data from effective MPAs with predictions based on survey data from fished coasts indicate that total fish biomass has declined about two-thirds from historical baselines as a result of fishing. Effective MPAs also had twice as many large (&gt;250 mm total length) fish species per transect, five times more large fish biomass, and fourteen times more shark biomass than fished areas. Most (59%) of the MPAs studied had only one or two key features and were not ecologically distinguishable from fished sites. Our results show that global conservation targets based on area alone will not optimize protection of marine biodiversity. More emphasis is needed on better MPA design, durable management and compliance to ensure that MPAs achieve their desired conservation value.</t>
  </si>
  <si>
    <t>[Edgar, Graham J.; Stuart-Smith, Rick D.; Kininmonth, Stuart; Barrett, Neville S.; Berkhout, Just; Buxton, Colin D.; Cooper, Antonia T.; Davey, Marlene; Soler, German; Thomson, Russell J.] Univ Tasmania, Inst Marine &amp; Antarctic Studies, Hobart, Tas 7001, Australia; [Willis, Trevor J.] Univ Portsmouth, Inst Marine Sci, Sch Biol Sci, Portsmouth PO4 9LY, Hants, England; [Kininmonth, Stuart] Stockholm Univ, Stockholm Resilience Ctr, SE-10691 Stockholm, Sweden; [Baker, Susan C.] Univ Tasmania, Sch Plant Sci, Hobart, Tas 7001, Australia; [Banks, Stuart] Charles Darwin Fdn, Puerto Ayora, Galapagos, Ecuador; [Becerro, Mikel A.] Nat Prod &amp; Agrobiol Inst IPNA CSIC, Bites Lab, San Cristobal la Laguna 38206, Tenerife, Spain; [Bernard, Anthony T. F.] South African Environm Observat Network, Elwandle Node, ZA-6140 Grahamstown, South Africa; [Campbell, Stuart J.] Indonesia Marine Program, Wildlife Conservat Soc, Bogor 16151, Indonesia; [Edgar, Sophie C.] Dept Water, Perth, WA 6000, Australia; [Foersterra, Guenter] Pontificia Univ Catolica Valparaiso, Escuela Ciencias Mar, Fac Recursos Nat, Valparaiso, Chile; [Galvan, David E.; Irigoyen, Alejo J.] Consejo Nacl Invest Cient &amp; Tecn, Ctr Nacl Patagon, RA-9120 Puerto Madryn, Argentina; [Kushner, David J.] Natl Pk Serv, Ventura, CA 93001 USA; [Moura, Rodrigo] Univ Fed Rio de Janeiro, Inst Biol, BR-21941902 Rio De Janeiro, Brazil; [Parnell, P. Ed] Univ Calif San Diego, Scripps Inst Oceanog, La Jolla, CA 92093 USA; [Shears, Nick T.] Univ Auckland, Leigh Marine Lab, Leigh 0985, New Zealand; [Strain, Elisabeth M. A.] Univ Bologna, Dipartimento Sci Biol Geol &amp; Ambientali, I-16348123 Ravenna, Italy</t>
  </si>
  <si>
    <t>University of Tasmania; University of Portsmouth; Stockholm University; University of Tasmania; Consejo Superior de Investigaciones Cientificas (CSIC); CSIC - Instituto de Productos Naturales y Agrobiologia (IPNA); National Research Foundation - South Africa; South African Environmental Observation Network (SAEON); Wildlife Conservation Society - Indonesia; Pontificia Universidad Catolica de Valparaiso; Consejo Nacional de Investigaciones Cientificas y Tecnicas (CONICET); Centro Nacional Patagonico (CENPAT); United States Department of the Interior; Universidade Federal do Rio de Janeiro; University of California System; University of California San Diego; Scripps Institution of Oceanography; University of Auckland; University of Bologna</t>
  </si>
  <si>
    <t>Edgar, GJ (corresponding author), Univ Tasmania, Inst Marine &amp; Antarctic Studies, GPO Box 252-49, Hobart, Tas 7001, Australia.</t>
  </si>
  <si>
    <t>g.edgar@utas.edu.au</t>
  </si>
  <si>
    <t>Stuart-Smith, Rick D/M-1829-2013; Kininmonth, Stuart/N-9299-2013; de Moura, Rodrigo Leao/AAL-5781-2020; Willis, Trevor/F-5337-2012; Stuart-Smith, Rick/I-5214-2019; Baker, Susan C/F-9307-2011; Buxton, Colin/AAV-3489-2021; Edgar, Graham/C-8341-2013; Becerro, Mikel/ABC-9478-2021; Edgar, Graham/AAY-3797-2020; Baker, Susan/O-8482-2019; Bernard, Anthony/M-8292-2019; Strain, Elisabeth/U-3520-2017; Thomson, Russell/H-5653-2012; Barrett, Neville/J-7593-2014</t>
  </si>
  <si>
    <t>Stuart-Smith, Rick D/0000-0002-8874-0083; Kininmonth, Stuart/0000-0001-9198-3396; de Moura, Rodrigo Leao/0000-0002-5597-6196; Willis, Trevor/0000-0002-0357-1189; Stuart-Smith, Rick/0000-0002-8874-0083; Edgar, Graham/0000-0003-0833-9001; Becerro, Mikel/0000-0002-6047-350X; Edgar, Graham/0000-0003-0833-9001; Baker, Susan/0000-0002-7593-0267; Bernard, Anthony/0000-0003-0482-6283; Galvan, David/0000-0001-8132-6069; Campbell, Stuart/0000-0002-1158-3200; Buxton, Colin/0000-0002-3256-5220; Strain, Elisabeth/0000-0003-2165-9544; Berkhout, Just/0000-0002-1656-4535; Thomson, Russell/0000-0003-4949-4120; Barrett, Neville/0000-0002-6167-1356</t>
  </si>
  <si>
    <t>Australian Research Council; Fulbright Visiting Scholarship; Institute for Marine and Antarctic Studies; Marine Biodiversity Hub; Australian Government's National Environmental Research Program; National Geographic Society; Conservation International; Wildlife Conservation Society; Winifred Violet Scott Trust; Tasmanian Parks and Wildlife Service; Winston Churchill Memorial Trust; University of Tasmania; ASSEMBLE Marine</t>
  </si>
  <si>
    <t>Australian Research Council(Australian Research Council); Fulbright Visiting Scholarship; Institute for Marine and Antarctic Studies; Marine Biodiversity Hub; Australian Government's National Environmental Research Program(Australian Government); National Geographic Society(National Geographic Society); Conservation International; Wildlife Conservation Society; Winifred Violet Scott Trust; Tasmanian Parks and Wildlife Service; Winston Churchill Memorial Trust; University of Tasmania; ASSEMBLE Marine</t>
  </si>
  <si>
    <t>We thank the many Reef Life Survey (RLS) divers who contributed to data collection. Development of the RLS data set was supported by the former Commonwealth Environment Research Facilities Program, whereas analyses were supported by the Australian Research Council, a Fulbright Visiting Scholarship (to G.J.E.), the Institute for Marine and Antarctic Studies, and the Marine Biodiversity Hub, a collaborative partnership funded under the Australian Government's National Environmental Research Program. Surveys were assisted by grants from the National Geographic Society, Conservation International, Wildlife Conservation Society, Winifred Violet Scott Trust, Tasmanian Parks and Wildlife Service, the Winston Churchill Memorial Trust, University of Tasmania, and ASSEMBLE Marine. We are grateful to the many park officers who assisted the study by providing permits and assisting with field activities, and to numerous marine institutions worldwide for hosting survey trips.</t>
  </si>
  <si>
    <t>0028-0836</t>
  </si>
  <si>
    <t>1476-4687</t>
  </si>
  <si>
    <t>Nature</t>
  </si>
  <si>
    <t>FEB 13</t>
  </si>
  <si>
    <t>+</t>
  </si>
  <si>
    <t>10.1038/nature13022</t>
  </si>
  <si>
    <t>AA5AK</t>
  </si>
  <si>
    <t>Green Accepted, Green Submitted, Green Published</t>
  </si>
  <si>
    <t>WOS:000331107700037</t>
  </si>
  <si>
    <t>Fretwell, PT; Staniland, IJ; Forcada, J</t>
  </si>
  <si>
    <t>Fretwell, Peter T.; Staniland, Iain J.; Forcada, Jaume</t>
  </si>
  <si>
    <t>Whales from Space: Counting Southern Right Whales by Satellite</t>
  </si>
  <si>
    <t>EUBALAENA-AUSTRALIS; OCEAN; WATER</t>
  </si>
  <si>
    <t>We describe a method of identifying and counting whales using very high resolution satellite imagery through the example of southern right whales breeding in part of the Golfo Nuevo, Peninsula Valdes in Argentina. Southern right whales have been extensively hunted over the last 300 years and although numbers have recovered from near extinction in the early 20th century, current populations are fragmented and are estimated at only a small fraction of pre-hunting total. Recent extreme right whale calf mortality events at Peninsula Valdes, which constitutes the largest single population, have raised fresh concern for the future of the species. The WorldView2 satellite has a maximum 50 cm resolution and a water penetrating coastal band in the far-blue part of the spectrum that allows it to see deeper into the water column. Using an image covering 113 km(2),we identified 55 probable whales and 23 other features that are possibly whales, with a further 13 objects that are only detected by the coastal band. Comparison of a number of classification techniques, to automatically detect whale-like objects, showed that a simple thresholding technique of the panchromatic and coastal band delivered the best results. This is the first successful study using satellite imagery to count whales; a pragmatic, transferable method using this rapidly advancing technology that has major implications for future surveys of cetacean populations.</t>
  </si>
  <si>
    <t>[Fretwell, Peter T.] British Antarctic Survey, Mapping &amp; Geog Informat Ctr, Cambridge CB3 0ET, England; [Staniland, Iain J.; Forcada, Jaume] British Antarctic Survey, Ecosyst Dept, Cambridge CB3 0ET, England</t>
  </si>
  <si>
    <t>UK Research &amp; Innovation (UKRI); Natural Environment Research Council (NERC); NERC British Antarctic Survey; UK Research &amp; Innovation (UKRI); Natural Environment Research Council (NERC); NERC British Antarctic Survey</t>
  </si>
  <si>
    <t>Fretwell, PT (corresponding author), British Antarctic Survey, Mapping &amp; Geog Informat Ctr, Cambridge CB3 0ET, England.</t>
  </si>
  <si>
    <t>ptf@bas.ac.uk</t>
  </si>
  <si>
    <t>Forcada, Jaume/GYU-0677-2022; Staniland, Iain/I-4725-2012</t>
  </si>
  <si>
    <t>Staniland, Iain/0000-0003-2736-9134</t>
  </si>
  <si>
    <t>NERC [bas010011, bas0100025] Funding Source: UKRI; Natural Environment Research Council [bas010011, bas0100025] Funding Source: researchfish</t>
  </si>
  <si>
    <t>FEB 12</t>
  </si>
  <si>
    <t>e88655</t>
  </si>
  <si>
    <t>10.1371/journal.pone.0088655</t>
  </si>
  <si>
    <t>AA7FJ</t>
  </si>
  <si>
    <t>WOS:000331262600089</t>
  </si>
  <si>
    <t>Senner, NR; Hochachka, WM; Fox, JW; Afanasyev, V</t>
  </si>
  <si>
    <t>Senner, Nathan R.; Hochachka, Wesley M.; Fox, James W.; Afanasyev, Vsevolod</t>
  </si>
  <si>
    <t>An Exception to the Rule: Carry-Over Effects Do Not Accumulate in a Long-Distance Migratory Bird</t>
  </si>
  <si>
    <t>RED KNOTS; HABITAT QUALITY; CONSEQUENCES; SURVIVAL; FITNESS; WINTER; TRANSITION; ARRIVAL; LIMOSA; NORTH</t>
  </si>
  <si>
    <t>Recent years have seen a growing consensus that events during one part of an animal's annual cycle can detrimentally affect its future fitness. Notably, migratory species have been shown to commonly display such carry-over effects, facing severe time constraints and physiological stresses that can influence events across seasons. However, to date, no study has examined a full annual cycle to determine when these carry-over effects arise and how long they persist within and across years. Understanding when carry-over effects are created and how they persist is critical to identifying those periods and geographic locations that constrain the annual cycle of a population and determining how selection is acting upon individuals throughout the entire year. Using three consecutive years of migration tracks and four consecutive years of breeding success data, we tested whether carry-over effects in the form of timing deviations during one migratory segment of the annual cycle represent fitness costs that persist or accumulate across the annual cycle for a long-distance migratory bird, the Hudsonian godwit, Limosa haemastica. We found that individual godwits could migrate progressively later than population mean over the course of an entire migration period, especially southbound migration, but that these deviations did not accumulate across the entire year and were not consistently detected among individuals across years. Furthermore, neither the accumulation of lateness during previous portions of the annual cycle nor arrival date at the breeding grounds resulted in individuals suffering reductions in their breeding success or survival. Given their extreme life history, such a lack of carry-over effects suggests that strong selection exists on godwits at each stage of the annual cycle and that carry-over effects may not be able to persist in such a system, but also emphasizes that high-quality stopover and wintering sites are critical to the maintenance of long-distance migratory populations.</t>
  </si>
  <si>
    <t>[Senner, Nathan R.; Hochachka, Wesley M.] Cornell Univ, Cornell Lab Ornithol, Ithaca, NY USA; [Fox, James W.; Afanasyev, Vsevolod] British Antarctic Survey, Cambridge CB3 0ET, England</t>
  </si>
  <si>
    <t>Cornell University; UK Research &amp; Innovation (UKRI); Natural Environment Research Council (NERC); NERC British Antarctic Survey</t>
  </si>
  <si>
    <t>Senner, NR (corresponding author), Univ Groningen, Anim Ecol Grp, Groningen, Netherlands.</t>
  </si>
  <si>
    <t>n.r.senner@rug.nl</t>
  </si>
  <si>
    <t>Hochachka, Wesley/J-9768-2012</t>
  </si>
  <si>
    <t>Hochachka, Wesley/0000-0002-0595-7827; Fox, James W./0000-0002-3107-696X</t>
  </si>
  <si>
    <t>National Science Foundation [1110444]; David and Lucile Packard Foundation; U.S. Fish and Wildlife Service NMBCA [4474, 4073]; Faucett Family Foundation; Cornell University internal grants; Arctic Audubon Society; Ducks Unlimited Canada; American Museum of Natural History; Natural Environment Research Council [bas010011] Funding Source: researchfish; Division Of Environmental Biology; Direct For Biological Sciences [1110444] Funding Source: National Science Foundation; NERC [bas010011] Funding Source: UKRI</t>
  </si>
  <si>
    <t>National Science Foundation(National Science Foundation (NSF)); David and Lucile Packard Foundation(The David &amp; Lucile Packard Foundation); U.S. Fish and Wildlife Service NMBCA; Faucett Family Foundation; Cornell University internal grants; Arctic Audubon Society; Ducks Unlimited Canada; American Museum of Natural History; Natural Environment Research Council(UK Research &amp; Innovation (UKRI)Natural Environment Research Council (NERC)); Division Of Environmental Biology; Direct For Biological Sciences(National Science Foundation (NSF)NSF - Directorate for Biological Sciences (BIO)); NERC(UK Research &amp; Innovation (UKRI)Natural Environment Research Council (NERC))</t>
  </si>
  <si>
    <t>National Science Foundation (# 1110444); David and Lucile Packard Foundation (www.packard.org); U.S. Fish and Wildlife Service NMBCA (# 4474 and 4073); Faucett Family Foundation (http://faucett-family-foundation.idilogic.aidpage.com/prn-index.htm); Cornell University internal grants; Arctic Audubon Society (http://www.arcticaudubon.org/grants.html); Ducks Unlimited Canada (http://www.ducks.ca/our-science/graduate-fellowships/); American Museum of Natural History (http://www. amnh.org/our-research/vertebrate-zoology/ornithology/grants).The funders had no role in study design, data collection and analysis, decision to publish, or preparation of the manuscript.</t>
  </si>
  <si>
    <t>FEB 11</t>
  </si>
  <si>
    <t>e86588</t>
  </si>
  <si>
    <t>10.1371/journal.pone.0086588</t>
  </si>
  <si>
    <t>AA7DT</t>
  </si>
  <si>
    <t>WOS:000331258100011</t>
  </si>
  <si>
    <t>Abadi, F; Barbraud, C; Besson, D; Bried, J; Crochet, PA; Delord, K; Forcada, J; Grosbois, V; Phillips, RA; Sagar, P; Thompson, P; Waugh, S; Weimerskirch, H; Wood, AG; Gimenez, O</t>
  </si>
  <si>
    <t>Abadi, Fitsum; Barbraud, Christophe; Besson, Dominique; Bried, Joel; Crochet, Pierre-Andre; Delord, Karine; Forcada, Jaume; Grosbois, Vladimir; Phillips, Richard A.; Sagar, Paul; Thompson, Paul; Waugh, Susan; Weimerskirch, Henri; Wood, Andrew G.; Gimenez, Olivier</t>
  </si>
  <si>
    <t>Importance of accounting for phylogenetic dependence in multi-species mark-recapture studies</t>
  </si>
  <si>
    <t>ECOLOGICAL MODELLING</t>
  </si>
  <si>
    <t>Bayesian hierarchical model; Comparative demography; Mark-recapture; Phylogeny; Procellariiformes; Survival probability</t>
  </si>
  <si>
    <t>CAPTURE-RECAPTURE; BAYESIAN MODELS; SURVIVAL RATES; REGRESSION; DISPERSAL; RECRUITMENT; SYNCHRONY; PREDATION; TESTS; BIRDS</t>
  </si>
  <si>
    <t>Species in comparative demography studies often have a common phylogenetic or evolutionary ancestry and hence, they cannot fully be treated as independent samples in the statistical analysis. Although the serious implication of ignoring phylogeny has long been recognized, no attempt has been made so far to account for the lack of statistical independence due to phylogeny in multi-species mark-recapture comparative demography studies. In this paper, we propose a Bayesian hierarchical model that explicitly accounts for phylogenetic dependence among species, and to correct for imperfect detection, which is a common phenomenon in free-ranging species. We illustrate the method using individual mark-recapture data collected from 16 seabird species of the order Procellariiformes. Data on body mass and phylogeny of these species are compiled from literature. We investigate the relationship between adult survival and body mass with and without accounting for phylogeny. If we ignore phylogeny, we obtain a positive survival-body mass relationship. However, this relationship is no longer statistically significant once phylogenetic dependence is taken into account, implying that survival may actually depend on an unmeasured variable that is correlated with body mass due to a shared dependence on phylogeny. The proposed model allows the integration of multi-species mark-recapture data and phylogenetic information, and it is therefore a valuable tool in ecological and evolutionary biology. (C) 2013 Elsevier B.V. All rights reserved.</t>
  </si>
  <si>
    <t>[Abadi, Fitsum; Crochet, Pierre-Andre; Gimenez, Olivier] Ctr Ecol Fonct &amp; Evolut, UMR 5175, F-34293 Montpellier 5, France; [Abadi, Fitsum] Univ Cape Town, Dept Biol Sci, Anim Demog Unit, ZA-7701 Rondebosch, South Africa; [Abadi, Fitsum] Univ Cape Town, Dept Stat Sci, ZA-7701 Rondebosch, South Africa; [Barbraud, Christophe; Besson, Dominique; Delord, Karine; Weimerskirch, Henri] Ctr Etud Biol Chize, UPR CNRS 1934, F-79360 Villiers En Bois, France; [Bried, Joel] Univ Acores, Ctr IMAR, Dept Oceanog &amp; Pescas, P-9901862 Horta, Acores, Portugal; [Forcada, Jaume; Phillips, Richard A.; Wood, Andrew G.] British Antarctic Survey, Nat Environm Res Council, Cambridge CB3 0ET, England; [Grosbois, Vladimir] Ctr Cooperat Int Rech Agron Dev CIRAD, Dept ES, UR22, F-34398 Montpellier 5, France; [Sagar, Paul] Natl Inst Water &amp; Atmospher Res Ltd, Christchurch, New Zealand; [Thompson, Paul] Univ Aberdeen, Inst Biol &amp; Environm Sci, Lighthouse Field Stn, Cromarty IV11 8YL, Scotland; [Waugh, Susan] Museum New Zealand Te Papa Tongarewa, Wellington, New Zealand</t>
  </si>
  <si>
    <t>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University of Cape Town; University of Cape Town; Universidade dos Acores; UK Research &amp; Innovation (UKRI); Natural Environment Research Council (NERC); NERC British Antarctic Survey; CIRAD; National Institute of Water &amp; Atmospheric Research (NIWA) - New Zealand; University of Aberdeen</t>
  </si>
  <si>
    <t>Abadi, F (corresponding author), Ctr Ecol Fonct &amp; Evolut, UMR 5175, Campus CNRS,1919 Route Mende, F-34293 Montpellier 5, France.</t>
  </si>
  <si>
    <t>fitaba@gmail.com</t>
  </si>
  <si>
    <t>Weimerskirch, Henri/F-5562-2013; Barbraud, Christophe/A-5870-2012; Thompson, Paul/B-6742-2009; Weimerskirch, Henri/K-7306-2019; Gimenez, Olivier/G-4281-2010; Forcada, Jaume/GYU-0677-2022</t>
  </si>
  <si>
    <t>Barbraud, Christophe/0000-0003-0146-212X; Weimerskirch, Henri/0000-0002-0457-586X; Gimenez, Olivier/0000-0001-7001-5142</t>
  </si>
  <si>
    <t>Swiss National Science Foundation [PBBEP3_133501]; Natural Environment Research Council [bas0100025] Funding Source: researchfish; NERC [bas0100025] Funding Source: UKRI; Swiss National Science Foundation (SNF) [PBBEP3_133501] Funding Source: Swiss National Science Foundation (SNF)</t>
  </si>
  <si>
    <t>Swiss National Science Foundation(Swiss National Science Foundation (SNSF)); Natural Environment Research Council(UK Research &amp; Innovation (UKRI)Natural Environment Research Council (NERC)); NERC(UK Research &amp; Innovation (UKRI)Natural Environment Research Council (NERC)); Swiss National Science Foundation (SNF)(Swiss National Science Foundation (SNSF))</t>
  </si>
  <si>
    <t>We thank two anonymous referees and Jasper Slingsby for helpful comments on the manuscript. We acknowledge the financial support of the Swiss National Science Foundation (PBBEP3_133501 to FA). We thank all the people involved in the collection of the data.</t>
  </si>
  <si>
    <t>0304-3800</t>
  </si>
  <si>
    <t>1872-7026</t>
  </si>
  <si>
    <t>ECOL MODEL</t>
  </si>
  <si>
    <t>Ecol. Model.</t>
  </si>
  <si>
    <t>FEB 10</t>
  </si>
  <si>
    <t>10.1016/j.ecolmodel.2013.11.017</t>
  </si>
  <si>
    <t>AB3EJ</t>
  </si>
  <si>
    <t>WOS:000331673800023</t>
  </si>
  <si>
    <t>Kaczmarek, L; Michalczyk, L; McInnes, SJ</t>
  </si>
  <si>
    <t>Kaczmarek, Lukasz; Michalczyk, Lukasz; McInnes, Sandra J.</t>
  </si>
  <si>
    <t>Annotated zoogeography of non-marine Tardigrada. Part I: Central America</t>
  </si>
  <si>
    <t>biogeography; new records; species list; tardigrades; taxonomy</t>
  </si>
  <si>
    <t>SP-NOV EUTARDIGRADA; MACROBIOTIDAE TARDIGRADA; HUFELANDI GROUP; COSTA-RICA; PHYLOGENY; PARACHELA; DIPHASCON; ISLAND; HYPSIBIIDAE; TENNESSEE</t>
  </si>
  <si>
    <t>Dividing the world into nine regions, this first paper describes literature records of the limno-terrestrial tardigrades (Tardigrada) reported from Central America. Updating previously published species lists we have revised the taxonomy and provided additional habitat, geographic co-ordinates, and biogeographic comments. It is hoped this work will serve as a reference point and background for further zoogeographic studies.</t>
  </si>
  <si>
    <t>[Kaczmarek, Lukasz] Adam Mickiewicz Univ, Fac Biol, Dept Anim Taxon &amp; Ecol, PL-61614 Poznan, Poland; [Michalczyk, Lukasz] Jagiellonian Univ, Inst Zool, Dept Entomol, PL-30387 Krakow, Poland; [McInnes, Sandra J.] British Antarctic Survey, Cambridge CB3 0ET, England</t>
  </si>
  <si>
    <t>Adam Mickiewicz University; Jagiellonian University; UK Research &amp; Innovation (UKRI); Natural Environment Research Council (NERC); NERC British Antarctic Survey</t>
  </si>
  <si>
    <t>Kaczmarek, L (corresponding author), Adam Mickiewicz Univ, Fac Biol, Dept Anim Taxon &amp; Ecol, Umultowska 89, PL-61614 Poznan, Poland.</t>
  </si>
  <si>
    <t>kaczmar@amu.edu.pl; LM@tardigrada.net; s.mcinnes@bas.ac.uk</t>
  </si>
  <si>
    <t>McInnes, Sandra/AAN-4773-2020; Kaczmarek, Lukasz/A-2000-2008; Michalczyk, Lukasz/D-1362-2009</t>
  </si>
  <si>
    <t>McInnes, Sandra/0000-0003-3403-9379; Kaczmarek, Lukasz/0000-0002-5260-6253; Michalczyk, Lukasz/0000-0002-2912-4870</t>
  </si>
  <si>
    <t>Polish Ministry of Science and Higher Education [IP2010 015570]; NERC [bas0100025] Funding Source: UKRI; Natural Environment Research Council [bas0100025] Funding Source: researchfish</t>
  </si>
  <si>
    <t>Polish Ministry of Science and Higher Education(Ministry of Science and Higher Education, Poland); NERC(UK Research &amp; Innovation (UKRI)Natural Environment Research Council (NERC)); Natural Environment Research Council(UK Research &amp; Innovation (UKRI)Natural Environment Research Council (NERC))</t>
  </si>
  <si>
    <t>This work was partially supported by the Polish Ministry of Science and Higher Education via the Iuventus Plus programme (grant: IP2010 015570, Invertebrate biodiversity in temporary ponds of Costa Rica-verification of the Great American Biotic Interchange hypothesis) to LK.</t>
  </si>
  <si>
    <t>FEB 5</t>
  </si>
  <si>
    <t>301YL</t>
  </si>
  <si>
    <t>WOS:000330568100001</t>
  </si>
  <si>
    <t>Ferrari, B; Winsley, T; Ji, M; Neilan, B</t>
  </si>
  <si>
    <t>Ferrari, Belinda; Winsley, Tristrom; Ji, Mukan; Neilan, Brett</t>
  </si>
  <si>
    <t>Insights into the distribution and abundance of the ubiquitous Candidatus Saccharibacteria phylum following tag pyrosequencing</t>
  </si>
  <si>
    <t>DIVISION TM7; BACTERIA; DIVERSITY; DOMAIN; MICROORGANISMS; GREENGENES; MICROBIOTA; SEQUENCES; DATABASE; RARE</t>
  </si>
  <si>
    <t>The phylum candidatus Saccharibacteria formerly known as Candidate Division TM7 is a highly ubiquitous phylum with 16S rRNA gene sequences reported in soils, sediments, wastewater and animals, as well as a host of clinical environments. Here, the application of two taxon-specific primers on environmental and human-associated samples using bar-coded tag pyrosequencing revealed two new clades for this phylum to exist and we propose that the division consists of 2 monophyletic and 2 polyphyletic clades. Investigation into TM7 ecology revealed that a high proportion (58%) of phylotypes were sample specific, few were widely distributed and of those most widely distributed all belonged to subdivision 3. Additionally, 50% of the most relatively abundant phylotypes observed were also subdivision 3 members. Community analysis showed that despite the presence of a high proportion of unique phylotypes, specific groups of samples still harbor similar TM7 communities with samples clustering together. The lack of relatively abundant phylotypes from subdivisions 1, 2 and 4 and the presence of very few cosmopolitan members' highlights not only the site specific nature of this phylum but provides insight into why the majority of studies into TM7 have been biased towards subdivision 3.</t>
  </si>
  <si>
    <t>[Ferrari, Belinda; Winsley, Tristrom; Ji, Mukan; Neilan, Brett] UNSW Australia, Sch Biotechnol &amp; Biomol Sci, Randwick, NSW 2052, Australia</t>
  </si>
  <si>
    <t>University of New South Wales Sydney</t>
  </si>
  <si>
    <t>Ferrari, B (corresponding author), UNSW Australia, Sch Biotechnol &amp; Biomol Sci, Randwick, NSW 2052, Australia.</t>
  </si>
  <si>
    <t>b.ferrari@unsw.edu.au</t>
  </si>
  <si>
    <t>Ferrari, Belinda/AAI-3022-2020; Neilan, Brett A/I-5767-2012; Ji, Mukan/AAI-5743-2020</t>
  </si>
  <si>
    <t>Ferrari, Belinda/0000-0001-5043-3726; Neilan, Brett A/0000-0001-6113-772X; Ji, Mukan/0000-0001-8139-2875</t>
  </si>
  <si>
    <t>UNSW</t>
  </si>
  <si>
    <t>The authors would like to thank Dr Andrew Bissett from CSIRO Canberra for sharing his knowledge on using ARB. We would also like to thank researchers from UNSW, Macquarie University and the Australian Antarctic Division for the supply of gDNA from a range of samples; Drs Nathan Fenning for the supply of clinical gDNA, Tiffanie Nelson for seal gut gDNA, Chris Fan Lu for sponge gDNA, Rachael Anderson for Antarctic soil gDNA and Malcolm Walter, Karthikeyan Gunasekaran, Jason Lowe for Australian soil gDNA samples. This work was fully supported by UNSW internal grant funding schemes.</t>
  </si>
  <si>
    <t>FEB 4</t>
  </si>
  <si>
    <t>10.1038/srep03957</t>
  </si>
  <si>
    <t>AA6OK</t>
  </si>
  <si>
    <t>WOS:000331217500001</t>
  </si>
  <si>
    <t>Severi, M; Becagli, S; Frosini, D; Marconi, M; Traversi, R; Udisti, R</t>
  </si>
  <si>
    <t>Severi, Mirko; Becagli, Silvia; Frosini, Daniele; Marconi, Miriam; Traversi, Rita; Udisti, Roberto</t>
  </si>
  <si>
    <t>A Novel Fast Ion Chromatographic Method for the Analysis of Fluoride in Antarctic Snow and Ice</t>
  </si>
  <si>
    <t>ENVIRONMENTAL SCIENCE &amp; TECHNOLOGY</t>
  </si>
  <si>
    <t>EPICA DOME-C; CONTINUOUS-FLOW ANALYSIS; HIGH-RESOLUTION; VOLCANIC SYNCHRONIZATION; CHEMICAL-ANALYSIS; CORES; VOSTOK; GREENLAND; SULFATE; KYR</t>
  </si>
  <si>
    <t>Ice cores are widely used to reconstruct past changes of the climate system. For instance, the ice core record of numerous water-soluble and insoluble chemical species that are trapped in snow and ice offer the possibility to investigate past changes of various key compounds present in the atmosphere (i.e., aerosol, reactive gases). We developed a new method for the quantitative determination of fluoride in ice cores at sub-mu g L-1 levels by coupling a flow injection analysis technique with a fast ion chromatography separation based on the heart cut column switching technology. Sensitivity, linear range (up to 60 mu g L-1), reproducibility, and detection limit (0.02 mu g L-1) were evaluated for the new method. This method was successfully applied to the analysis of fluoride at trace levels in more than 450 recent snow samples collected during the 1998-1999 International Trans-Antarctica Scientific Expedition traverse in East Antarctica at sites located between 170 and 850 km from the coastline.</t>
  </si>
  <si>
    <t>[Severi, Mirko; Becagli, Silvia; Frosini, Daniele; Marconi, Miriam; Traversi, Rita; Udisti, Roberto] Univ Florence, Dept Chem Ugo Schiff, I-50019 Florence, Italy</t>
  </si>
  <si>
    <t>Severi, M (corresponding author), Univ Florence, Dept Chem Ugo Schiff, Via Lastruccia 3, I-50019 Florence, Italy.</t>
  </si>
  <si>
    <t>mirko.severi@unifi.it</t>
  </si>
  <si>
    <t>Udisti, Roberto/M-7966-2015; Liu, Yifan/S-6217-2017; Becagli, Silvia/GNW-2665-2022; Traversi, Rita/M-7586-2015; Severi, Mirko/J-2508-2012</t>
  </si>
  <si>
    <t>Udisti, Roberto/0000-0003-4440-8238; Traversi, Rita/0000-0002-9790-2195; Becagli, Silvia/0000-0003-3633-4849; Severi, Mirko/0000-0003-1511-6762</t>
  </si>
  <si>
    <t>Italian Ministry of University and Research (MIUR), Programma Nazionale di Ricerche in Antartide (PNRA), through the Biogeochemical characterization of Antarctic sub-glacial lakes (CaBiLA) project</t>
  </si>
  <si>
    <t>This research was carried out in the framework of national projects funded by the Italian Ministry of University and Research (MIUR), Programma Nazionale di Ricerche in Antartide (PNRA), through the Biogeochemical characterization of Antarctic sub-glacial lakes (CaBiLA) project. This research represents an Italian contribution to the International Trans-Antarctic Scientific Expedition (ITASE) project. We very much appreciate the insightful comments provided by the journal reviewers.</t>
  </si>
  <si>
    <t>0013-936X</t>
  </si>
  <si>
    <t>1520-5851</t>
  </si>
  <si>
    <t>ENVIRON SCI TECHNOL</t>
  </si>
  <si>
    <t>Environ. Sci. Technol.</t>
  </si>
  <si>
    <t>10.1021/es404126z</t>
  </si>
  <si>
    <t>AA3TL</t>
  </si>
  <si>
    <t>WOS:000331015100054</t>
  </si>
  <si>
    <t>Lv, W; Li, XJ; Feng, EM</t>
  </si>
  <si>
    <t>Lv, Wei; Li, Xiaojiao; Feng, Enmin</t>
  </si>
  <si>
    <t>A Parameter Identification Method to Determine Salinity of Sea Ice Using Temperature and Thickness Observations</t>
  </si>
  <si>
    <t>INTERNATIONAL JOURNAL OF THERMOPHYSICS</t>
  </si>
  <si>
    <t>Ice salinity; Parameter identification; Temperature observations; Thickness observations</t>
  </si>
  <si>
    <t>NONSMOOTH THERMODYNAMIC SYSTEM; MODEL</t>
  </si>
  <si>
    <t>This study is intended to provide a parameter identification method to determine the salinity of sea ice using temperature and thickness measurements. This method is particularly effective when field data are sparse and unsatisfactory due to the difficulties associated with fieldwork, especially during the polar winter. The main idea of the method is described. The salinity profile is calculated by the temperature and thickness observations, which were measured at Nella Fjord around Zhongshan Station, Antarctica during the polar night time by the 22nd Chinese Antarctic Research Expedition. Another simulation for temperature profiles during a different measurement period is performed. Results show that better simulations of the salinity and temperature distributions are possible with the estimated parameters than with Eicken's and THESCI's methods. This method will help people to understand the salinity evolution of sea ice more thoroughly.</t>
  </si>
  <si>
    <t>[Lv, Wei; Li, Xiaojiao] Shanghai Univ, Dept Math, Shanghai 200444, Peoples R China; [Feng, Enmin] Dalian Univ Technol, Sch Math Sci, Dalian 116024, Peoples R China</t>
  </si>
  <si>
    <t>Shanghai University; Dalian University of Technology</t>
  </si>
  <si>
    <t>Lv, W (corresponding author), Shanghai Univ, Dept Math, Shanghai 200444, Peoples R China.</t>
  </si>
  <si>
    <t>lvwei@shu.edu.cn</t>
  </si>
  <si>
    <t>National Natural Science Foundation of China [11101262, 11171050, U1232112]; Dalian University of Technology Special Fund [DUTTX2011106]; Key Disciplines of Shanghai Municipality [S30104]; First-class Discipline of Universities in Shanghai</t>
  </si>
  <si>
    <t>National Natural Science Foundation of China(National Natural Science Foundation of China (NSFC)); Dalian University of Technology Special Fund; Key Disciplines of Shanghai Municipality; First-class Discipline of Universities in Shanghai</t>
  </si>
  <si>
    <t>This work was supported by the National Natural Science Foundation of China under Grant Nos. 11101262, 11171050, U1232112, Dalian University of Technology Special Fund under Grant No. DUTTX2011106, Key Disciplines of Shanghai Municipality under Grant No. S30104, and a grant of The First-class Discipline of Universities in Shanghai. We are grateful to all the 2006 winter-over crews at Zhongshan Station in the 22nd CHINARE, for their field work support.</t>
  </si>
  <si>
    <t>SPRINGER/PLENUM PUBLISHERS</t>
  </si>
  <si>
    <t>0195-928X</t>
  </si>
  <si>
    <t>1572-9567</t>
  </si>
  <si>
    <t>INT J THERMOPHYS</t>
  </si>
  <si>
    <t>Int. J. Thermophys.</t>
  </si>
  <si>
    <t>FEB</t>
  </si>
  <si>
    <t>10.1007/s10765-014-1594-4</t>
  </si>
  <si>
    <t>Thermodynamics; Chemistry, Physical; Mechanics; Physics, Applied</t>
  </si>
  <si>
    <t>Thermodynamics; Chemistry; Mechanics; Physics</t>
  </si>
  <si>
    <t>AL7UU</t>
  </si>
  <si>
    <t>WOS:000339342200006</t>
  </si>
  <si>
    <t>Zhang, T; Zhang, YQ; Liu, HY; Su, J; Zhao, LX; Yu, LY</t>
  </si>
  <si>
    <t>Zhang, Tao; Zhang, Yu-Qin; Liu, Hong-Yu; Su, Jing; Zhao, Li-Xun; Yu, Li-Yan</t>
  </si>
  <si>
    <t>Cryptococcus fildesensis sp nov., a psychrophilic basidiomycetous yeast isolated from Antarctic moss</t>
  </si>
  <si>
    <t>INTERNATIONAL JOURNAL OF SYSTEMATIC AND EVOLUTIONARY MICROBIOLOGY</t>
  </si>
  <si>
    <t>DIVERSITY; COMMUNITIES; SYSTEMATICS; MACROALGAE; D1/D2</t>
  </si>
  <si>
    <t>Two yeast strains isolated from the moss Chorisodontium aciphyllum from the Fildes Region, King George Island, maritime Antarctica, were classified as members of the genus Cryptococcus based on sequence analyses of the D1/D2 domains of the large subunit rRNA gene and the internal transcribed spacer (ITS) regions. The rRNA gene sequence analyses indicated that the two strains represented a novel species of the genus Cryptococcus, for which the name Cryptococcus fildesensis sp. nov. is proposed (type strain: CPCC 300017(T)=DSM 26442(T)=CBS 12705(T)). The MycoBank number of the novel species is MB 805542.</t>
  </si>
  <si>
    <t>[Yu, Li-Yan] Chinese Acad Med Sci, Inst Med Biotechnol, Beijing 100050, Peoples R China; Peking Union Med Coll, Beijing 100050, Peoples R China</t>
  </si>
  <si>
    <t>Chinese Academy of Medical Sciences - Peking Union Medical College; Institute of Medicinal Biotechnology - CAMS; Chinese Academy of Medical Sciences - Peking Union Medical College; Peking Union Medical College</t>
  </si>
  <si>
    <t>Yu, LY (corresponding author), Chinese Acad Med Sci, Inst Med Biotechnol, Beijing 100050, Peoples R China.</t>
  </si>
  <si>
    <t>yly@cpcc.ac.cn</t>
  </si>
  <si>
    <t>yu, liyan/GYD-2950-2022; Zhang, Yu-Qin/AEH-7339-2022</t>
  </si>
  <si>
    <t>yu, liyan/0000-0002-8861-9806; Zhang, Yu-Qin/0000-0002-1739-6705</t>
  </si>
  <si>
    <t>National Infrastructure of Microbial Resources [NIMR-2013-3]; National Natural Science Foundation of China (NSFC) [30970038, 31170041]; National Science and Technology Major Special Project on Major New Drug Innovation [2012ZX09301002-001, 2012ZX09301002-003]; Special Fund for Health-scientific Research in the Public Interest [201002021]</t>
  </si>
  <si>
    <t>National Infrastructure of Microbial Resources; National Natural Science Foundation of China (NSFC)(National Natural Science Foundation of China (NSFC)); National Science and Technology Major Special Project on Major New Drug Innovation; Special Fund for Health-scientific Research in the Public Interest</t>
  </si>
  <si>
    <t>This research was supported by the National Infrastructure of Microbial Resources (no. NIMR-2013-3), the National Natural Science Foundation of China (NSFC) (nos: 30970038 and 31170041), the National Science and Technology Major Special Project on Major New Drug Innovation (nos: 2012ZX09301002-001 and 2012ZX09301002-003) and the Special Fund for Health-scientific Research in the Public Interest (no. 201002021). We thank the Chinese Arctic and Antarctic Administration (CAA) and Shunan Cao of China's 28th Antarctic expedition team for sample collection.</t>
  </si>
  <si>
    <t>MICROBIOLOGY SOC</t>
  </si>
  <si>
    <t>14-16 MEREDITH ST, LONDON, ENGLAND</t>
  </si>
  <si>
    <t>1466-5026</t>
  </si>
  <si>
    <t>1466-5034</t>
  </si>
  <si>
    <t>INT J SYST EVOL MICR</t>
  </si>
  <si>
    <t>Int. J. Syst. Evol. Microbiol.</t>
  </si>
  <si>
    <t>10.1099/ijs.0.054981-0</t>
  </si>
  <si>
    <t>AJ8CR</t>
  </si>
  <si>
    <t>WOS:000337930800054</t>
  </si>
  <si>
    <t>Combes, V; Matano, RP</t>
  </si>
  <si>
    <t>Combes, Vincent; Matano, Ricardo P.</t>
  </si>
  <si>
    <t>A two-way nested simulation of the oceanic circulation in the Southwestern Atlantic</t>
  </si>
  <si>
    <t>ANTARCTIC CIRCUMPOLAR CURRENT; BRAZIL-MALVINAS CONFLUENCE; SOUTH-ATLANTIC; SEASONAL VARIABILITY; VOLUME TRANSPORT; UPWELLING DRIVEN; SHELF-BREAK; CURRENTS; MODEL; WIND</t>
  </si>
  <si>
    <t>This article presents the results of a high-resolution (1/12 degrees), two-way nested simulation of the oceanic circulation in the southwestern Atlantic region. A comparison between the model results and extant observations indicates that the nested model has skill in reproducing the best-known aspects of the regional circulation, e. g., the volume transport of the ACC, the latitudinal position of the BMC, the shelf break upwelling of Patagonia, and the Zapiola Anticyclone. Sensitivity experiments indicate that the bottom stress parameterization significantly impacts the mean location of the Brazil/Malvinas Confluence and the transport of the Zapiola Anticyclone. The transport of the Brazil Current strengthens during the austral summer and weakens during the austral winter. These variations are driven by the wind stress curl over the southwestern Atlantic. The variations of the transport of the Malvinas Current are out of phase with those of the Brazil Current. Most of the seasonal variability of this current is concentrated in the offshore portion of the jet, the inshore portion has a weak seasonality that modulates the magnitude of the Patagonian shelf break upwelling. Using passive tracers we show that most of the entrainment of deep waters into the shelf occurs in the southernmost portion of the Patagonian shelf and along the inshore boundary of the Brazil Current. Shelf waters are preferentially detrained near the Brazil/Malvinas Confluence. Consistent with previous studies, our simulation also shows that south of similar to 42 degrees S the Malvinas Current is composed of two jets, which merge near 42 degrees S to form a single jet farther north.</t>
  </si>
  <si>
    <t>[Combes, Vincent; Matano, Ricardo P.] Oregon State Univ, Coll Earth Ocean &amp; Atmospher Sci, Corvallis, OR 97331 USA</t>
  </si>
  <si>
    <t>Oregon State University</t>
  </si>
  <si>
    <t>Combes, V (corresponding author), Oregon State Univ, Coll Earth Ocean &amp; Atmospher Sci, Corvallis, OR 97331 USA.</t>
  </si>
  <si>
    <t>vcombes@coas.oregonstate.edu</t>
  </si>
  <si>
    <t>combes, vincent/AAA-2343-2020</t>
  </si>
  <si>
    <t>combes, vincent/0000-0002-0416-1827</t>
  </si>
  <si>
    <t>NASA [NNX08AR40G, NNX12AF67G]; NOAA [NA13OAR4310132]; National Science Foundation [OCE-0928348]; NASA [NNX08AR40G, NNX12AF67G, 95461, 75169] Funding Source: Federal RePORTER</t>
  </si>
  <si>
    <t>NASA(National Aeronautics &amp; Space Administration (NASA)); NOAA(National Oceanic Atmospheric Admin (NOAA) - USA); National Science Foundation(National Science Foundation (NSF)); NASA(National Aeronautics &amp; Space Administration (NASA))</t>
  </si>
  <si>
    <t>The authors acknowledge the financial support of NASA through Grants NNX08AR40G and NNX12AF67G, NOAA through Grant NA13OAR4310132 and the National Science Foundation through Grant OCE-0928348.</t>
  </si>
  <si>
    <t>10.1002/2013JC009498</t>
  </si>
  <si>
    <t>AH6SO</t>
  </si>
  <si>
    <t>WOS:000336261200007</t>
  </si>
  <si>
    <t>Domingues, R; Goni, G; Swart, S; Dong, SF</t>
  </si>
  <si>
    <t>Domingues, Ricardo; Goni, Gustavo; Swart, Sebastiaan; Dong, Shenfu</t>
  </si>
  <si>
    <t>Wind forced variability of the Antarctic Circumpolar Current south of Africa between 1993 and 2010</t>
  </si>
  <si>
    <t>MERIDIONAL HEAT-TRANSPORT; OCEAN; TEMPERATURE; FRONTS; TRENDS; CIRCULATION; LOCATION; SECTION; EDDIES; DEPTH</t>
  </si>
  <si>
    <t>The variability of the Antarctic Circumpolar Current (ACC) system is largely linked to the atmospheric forcing. The objective of this work is to assess the link between local wind forcing mechanisms and the variability of the upper-ocean temperature and the dynamics of the different fronts in the ACC region south of South Africa. To accomplish this, in situ and satellite-derived observations are used between 1993 and 2010. The main finding of this work is that meridional changes in the westerlies linked with the Southern Annular Mode (SAM) drive temperature anomalies in the Ekman layer and changes in the Subantarctic Front (SAF) and Antarctic Polar Front (APF) transports through Ekman dynamics. The development of easterly anomalies between 35 degrees S and 45 degrees S during positive SAM is linked to reduced (increased) SAF (APF) transports and a warmer mixed layer in the ACC. The link between the changes in the wind stress and the SAF and APF transport variations occurs through the development of Ekman pumping anomalies near the frontal boundaries, driving an opposite response on the SAF and APF transports. The observed wind-driven changes in the frontal transports suggest small changes to the net ACC transport. In addition, observations indicate that the SAF and APF locations in this region are not linked to the local wind forcing, emphasizing the importance of other factors (e. g., baroclinic instabilities generated by bottom topography) to changes in the frontal location. Results obtained here highlight the importance of repeat XBT temperature sections and their combined analysis with other in situ and remote sensing observations.</t>
  </si>
  <si>
    <t>[Domingues, Ricardo; Dong, Shenfu] Univ Miami, Cooperat Inst Marine &amp; Atmospher Studies, Miami, FL 33136 USA; [Domingues, Ricardo; Goni, Gustavo; Dong, Shenfu] NOAA, Atlantic Oceanog &amp; Meteorol Lab, Miami, FL 33149 USA; [Swart, Sebastiaan] CSIR NRE, Southern Ocean Carbon &amp; Climate Observ, Stellenbosch, South Africa; [Swart, Sebastiaan] Univ Cape Town, Dept Oceanog, Marine Res Inst, ZA-7925 Cape Town, South Africa</t>
  </si>
  <si>
    <t>University of Miami; National Oceanic Atmospheric Admin (NOAA) - USA; Atlantic Oceanographic &amp; Meteorological Laboratory (AOML); University of Cape Town</t>
  </si>
  <si>
    <t>Domingues, R (corresponding author), Univ Miami, Cooperat Inst Marine &amp; Atmospher Studies, Miami, FL 33136 USA.</t>
  </si>
  <si>
    <t>Ricardo.Domingues@noaa.gov</t>
  </si>
  <si>
    <t>Goni, Gustavo J/D-2017-2012; Dong, Shenfu/I-4435-2013; Domingues, Ricardo M/A-9842-2017; Swart, Sebastiaan/U-5498-2017</t>
  </si>
  <si>
    <t>Dong, Shenfu/0000-0001-8247-8072; Swart, Sebastiaan/0000-0002-2251-8826</t>
  </si>
  <si>
    <t>CNES; Cooperative Institute for Marine and Atmospheric Studies (CIMAS) of the University of Miami [NA17RJ1226]; Cooperative Institute for Marine and Atmospheric Studies (CIMAS) of the National Oceanic and Atmospheric Administration (NOAA) [NA17RJ1226]; NOAA Climate Program Office; NOAA Atlantic Oceanographic and Meteorological Laboratory</t>
  </si>
  <si>
    <t>CNES(Centre National D'etudes Spatiales); Cooperative Institute for Marine and Atmospheric Studies (CIMAS) of the University of Miami; Cooperative Institute for Marine and Atmospheric Studies (CIMAS) of the National Oceanic and Atmospheric Administration (NOAA); NOAA Climate Program Office(National Oceanic Atmospheric Admin (NOAA) - USA); NOAA Atlantic Oceanographic and Meteorological Laboratory(National Oceanic Atmospheric Admin (NOAA) - USA)</t>
  </si>
  <si>
    <t>Argo and CTD profiles were obtained from the Global Temperature-Salinity Profile Programme (http://www.nodc.noaa.gov/GTSPP). The altimetry products were produced by Ssalto/Duacs, distributed by AVISO, and supported by the CNES. NOAA High Resolution SST data were provided by the NOAA/OAR/ESRL PSD, Boulder, Colorado, USA (http://www.esrl.noaa.gov/psd/). The XBT data are made freely available by the Atlantic Oceanographic and Meteorological Laboratory (http://www.aoml.noaa.gov/phod). The authors would like to thank Silvia Garzoli, Qi Yao, Claudia Schmid, Marlos Goes, and Francis Bringas for the discussions on the data analysis, and Molly Baringer, Elizabeth Johns, and Gregory Foltz for helpful suggestions on the manuscript. The South African National Antarctic Programme (SANAP) and the University of Cape Town are also acknowledged for their continued support in undertaking the research voyages along the AX25/GoodHope transect. The authors would also like to thank the three anonymous reviewers for the insightful comments and suggestions. This research was carried out under the auspices of the Cooperative Institute for Marine and Atmospheric Studies (CIMAS), a joint institute of the University of Miami and the National Oceanic and Atmospheric Administration (NOAA), Cooperative Agreement NA17RJ1226. This work was funded by the NOAA Climate Program Office and by the NOAA Atlantic Oceanographic and Meteorological Laboratory.</t>
  </si>
  <si>
    <t>10.1002/2013JC008908</t>
  </si>
  <si>
    <t>WOS:000336261200030</t>
  </si>
  <si>
    <t>Fernandez, D; Bowen, M; Carter, L</t>
  </si>
  <si>
    <t>Fernandez, D.; Bowen, M.; Carter, L.</t>
  </si>
  <si>
    <t>Intensification and variability of the confluence of subtropical and subantarctic boundary currents east of New Zealand</t>
  </si>
  <si>
    <t>CIRCUMPOLAR CURRENT; OCEAN; SOUTH; OCEANOGRAPHY; CIRCULATION; TRANSPORT; FRONTS; RECORD; MODEL</t>
  </si>
  <si>
    <t>The confluence of subtropical and subantarctic boundary currents east of New Zealand creates strong fronts. The fronts have clear signatures in sea surface height (SSH) and sea surface temperature (SST) which make the confluence a good region to investigate the variability of the boundary currents of the South Pacific. Analysis of the 20 year time series of the SSH is used to investigate the location and strength of fronts, measured as the gradient in SSH (del SSH), and the eddy kinetic energy (EKE) and their relationship to local and large-scale wind forcing. The intensity of the del SSH and the EKE have increased at a rate of 0.02 cm km(-1) and 32 cm(2) s(-2) decade(-1), respectively. There is a significant correlation (r=0.7, p &lt; 0.01) between the rSSH and EKE signals, reflecting baroclinic instabilities inherent in the fronts. Differences between northward and southward wind-driven transports across the confluence from the Island Rule are also increasing at 7.5 Sv decade(-1) along with an upward trend in the SST differences across the region. Time series of the Southern Annular Mode (SAM) and Southern Oscillation Index (SOI) and local winds were compared to the frontal strength. Although the positive trend in the SOI coincides with increasing subtropical inflows, there is little correspondence of the indices and local winds with short-term variability. While these results indicate a connection between the intensification of the confluence and South Pacific winds, there is little change in frontal location north of Bollons Seamount which suggests bathymetry influences the location of the confluence.</t>
  </si>
  <si>
    <t>[Fernandez, D.; Bowen, M.] Univ Auckland, Sch Environm, Auckland 1, New Zealand; [Fernandez, D.] Natl Inst Water &amp; Atmospher Res Ltd, Wellington, New Zealand; [Carter, L.] Victoria Univ Wellington, Antarctic Res Ctr, Wellington, New Zealand</t>
  </si>
  <si>
    <t>University of Auckland; National Institute of Water &amp; Atmospheric Research (NIWA) - New Zealand; Victoria University Wellington</t>
  </si>
  <si>
    <t>Fernandez, D (corresponding author), Univ Auckland, Sch Environm, Auckland 1, New Zealand.</t>
  </si>
  <si>
    <t>Denise.Fernandez@niwa.co.nz</t>
  </si>
  <si>
    <t>Fernandez, Denise/0000-0002-8192-9537</t>
  </si>
  <si>
    <t>Cnes; Victoria University of Wellington MSc scholarship; Gareth Morgan Foundation</t>
  </si>
  <si>
    <t>Cnes(Centre National D'etudes Spatiales); Victoria University of Wellington MSc scholarship; Gareth Morgan Foundation</t>
  </si>
  <si>
    <t>The altimeter products were produced by Ssalto/Duacs and distributed by Aviso, with support from Cnes (http://www.aviso.oceanobs.com/duacs/). MDT_CNES-CLS09 was produced by CLS Space Oceanography Division and distributed by Aviso, with support from Cnes (http://www.aviso.oceanobs.com/). D.F. was supported by a Victoria University of Wellington MSc scholarship and M. B. received support from the Gareth Morgan Foundation. The authors would like to thank the Editor and to three anonymous reviewers for their helpful comments which improved the manuscript. We also thank Phil Sutton for providing valuable comments and constructive advice.</t>
  </si>
  <si>
    <t>10.1002/2013JC009153</t>
  </si>
  <si>
    <t>WOS:000336261200031</t>
  </si>
  <si>
    <t>Rabert, C; Gutiérrez-Moraga, A; Navarrete-Gallegos, A; Navarrete-Campos, D; Bravo, LA; Gidekel, M</t>
  </si>
  <si>
    <t>Rabert, Claudia; Gutierrez-Moraga, Ana; Navarrete-Gallegos, Alejandro; Navarrete-Campos, Dario; Bravo, Leon A.; Gidekel, Manuel</t>
  </si>
  <si>
    <t>Expression of a Deschampsia antarctica Desv. Polypeptide with Lipase Activity in a Pichia pastoris Vector</t>
  </si>
  <si>
    <t>INTERNATIONAL JOURNAL OF MOLECULAR SCIENCES</t>
  </si>
  <si>
    <t>Deschampsia antarctica; lipase; Pichia pastoris; detergent tolerance</t>
  </si>
  <si>
    <t>FAMILY</t>
  </si>
  <si>
    <t>The current study isolated and characterized the Lip3F9 polypeptide sequence of Deschampsia antarctica Desv. (GeneBank Accession Number JX846628), which was found to be comprised of 291 base pairs and was, moreover, expressed in Pichia pastoris X-33 cells. The enzyme was secreted after 24 h of P. pastoris culture incubation and through induction with methanol. The expressed protein showed maximum lipase activity (35 U/L) with an optimal temperature of 37 degrees C. The lipase-expressed enzyme lost 50% of its specific activity at 25 degrees C, a behavior characteristic of a psychrotolerant enzyme. Recombinant enzyme activity was measured in the presence of ionic and non-ionic detergents, and a decrease in enzyme activity was detected for all concentrations of ionic and non-ionic detergents assessed.</t>
  </si>
  <si>
    <t>[Rabert, Claudia; Gutierrez-Moraga, Ana; Bravo, Leon A.] Univ La Frontera, Fac Ciencias Agr &amp; Forestales, Inst Agroind, Lab Fisiol &amp; Biol Mol Vegetal, Temuco 4811230, Chile; [Rabert, Claudia; Gutierrez-Moraga, Ana; Bravo, Leon A.] Univ La Frontera, Ctr Plant Soil Interact &amp; Nat Resources Biotechno, Temuco 4811230, Chile; [Navarrete-Gallegos, Alejandro; Navarrete-Campos, Dario] Univ Concepcion, Dept Bot, Lab Fisiol Vegetal, Concepcion 3801061, Chile; [Gidekel, Manuel] Univ La Frontera, Temuco 4811230, Chile</t>
  </si>
  <si>
    <t>Universidad de La Frontera; Universidad de La Frontera; Universidad de Concepcion; Universidad de La Frontera</t>
  </si>
  <si>
    <t>Gidekel, M (corresponding author), Univ La Frontera, Casilla 54D, Temuco 4811230, Chile.</t>
  </si>
  <si>
    <t>claudia.rabert@ufrontera.cl; hilda.gutierrez@ufrontera.cl; anavarre@gmail.com; darnacos@gmail.com; leon.bravo@ufrontera.cl; mgidekel@gmail.com</t>
  </si>
  <si>
    <t>Bravo, Leon/H-9251-2018; Bravo, León/AAO-8437-2020</t>
  </si>
  <si>
    <t>Bravo, Leon/0000-0003-4705-4842; Bravo, León/0000-0003-4705-4842; Gidekel, Manuel/0000-0002-6770-4630; Rabert, Claudia/0000-0001-8179-9245; Navarrete-Campos, Dario/0000-0002-7266-4629</t>
  </si>
  <si>
    <t>INNOVA Bio-Bio [04-B1-283]; Chilean Antarctic Institute (INACH); VitroGen S.A.</t>
  </si>
  <si>
    <t>INNOVA Bio-Bio; Chilean Antarctic Institute (INACH); VitroGen S.A.</t>
  </si>
  <si>
    <t>This works was supported by project 04-B1-283 INNOVA Bio-Bio; a doctoral fellowship granted by the Chilean Antarctic Institute (INACH) and VitroGen S.A.</t>
  </si>
  <si>
    <t>1422-0067</t>
  </si>
  <si>
    <t>INT J MOL SCI</t>
  </si>
  <si>
    <t>Int. J. Mol. Sci.</t>
  </si>
  <si>
    <t>10.3390/ijms15022359</t>
  </si>
  <si>
    <t>Biochemistry &amp; Molecular Biology; Chemistry, Multidisciplinary</t>
  </si>
  <si>
    <t>AG9YP</t>
  </si>
  <si>
    <t>WOS:000335776400040</t>
  </si>
  <si>
    <t>Lazzara, MA; Dworak, R; Santek, DA; Hoover, BT; Velden, CS; Key, JR</t>
  </si>
  <si>
    <t>Lazzara, Matthew A.; Dworak, Richard; Santek, David A.; Hoover, Brett T.; Velden, Christopher S.; Key, Jeffrey R.</t>
  </si>
  <si>
    <t>High-Latitude Atmospheric Motion Vectors from Composite Satellite Data</t>
  </si>
  <si>
    <t>JOURNAL OF APPLIED METEOROLOGY AND CLIMATOLOGY</t>
  </si>
  <si>
    <t>TROPOSPHERIC WINDS; CLOUD-DRIFT</t>
  </si>
  <si>
    <t>Atmospheric motion vectors (AMVs) are derived from satellite-observed motions of clouds and water vapor features. They provide crucial information in regions void of conventional observations and contribute to forecaster diagnostics of meteorological conditions, as well as numerical weather prediction. AMVs derived from geostationary (GEO) satellite observations over the middle latitudes and tropics have been utilized operationally since the 1980s; AMVs over the polar regions derived from low-earth (polar)orbiting (LEO) satellites have been utilized since the early 2000s. There still exists a gap in AMV coverage between these two sources in the latitude band poleward of 60 degrees and equatorward of 70 degrees (both hemispheres). To address this AMV gap, the use of a novel approach to create image sequences that consist of composites derived from a combination of LEO and GEO observations that extend into the deep middle latitudes is explored. Experiments are performed to determine whether the satellite composite images can be employed to generate AMVs over the gap regions. The derived AMVs are validated over both the Southern Ocean/Antarctic and the Arctic gap regions over a multiyear period using rawinsonde wind observations. In addition, a two-season numerical model impact study using the Global Forecast System indicates that the assimilation of these AMVs can improve upon the control (operational) forecasts, particularly during lower-skill (dropout) events.</t>
  </si>
  <si>
    <t>[Lazzara, Matthew A.] Univ Wisconsin, Ctr Space Sci &amp; Engn, Antarctic Meteorol Res Ctr, Madison, WI 53706 USA; [Lazzara, Matthew A.; Dworak, Richard; Santek, David A.; Hoover, Brett T.; Velden, Christopher S.] Univ Wisconsin, Ctr Space Sci &amp; Engn, Cooperat Inst Meteorol Satellite Studies, Madison, WI 53706 USA; [Key, Jeffrey R.] NOAA, NESDIS, Ctr Satellite Applicat &amp; Res, Madison, WI USA</t>
  </si>
  <si>
    <t>University of Wisconsin System; University of Wisconsin Madison; University of Wisconsin System; University of Wisconsin Madison; National Oceanic Atmospheric Admin (NOAA) - USA</t>
  </si>
  <si>
    <t>Lazzara, MA (corresponding author), Univ Wisconsin, Ctr Space Sci &amp; Engn, Antarctic Meteorol Res Ctr, 1225 W Dayton St, Madison, WI 53706 USA.</t>
  </si>
  <si>
    <t>mattl@ssec.wisc.edu</t>
  </si>
  <si>
    <t>Key, Jeffrey R./AAB-7248-2020</t>
  </si>
  <si>
    <t>Hoover, Brett/0000-0001-9119-2295; Lazzara, Matthew/0000-0002-4343-498X</t>
  </si>
  <si>
    <t>Office of Polar Programs at the National Science Foundation [ANT-0537827, ANT-0838834, ANT-1141908, ARC-0713843]; Office of Polar Programs at the National Science Foundation (NOAA) [NA10NES4400013]</t>
  </si>
  <si>
    <t>Office of Polar Programs at the National Science Foundation(National Science Foundation (NSF)); Office of Polar Programs at the National Science Foundation (NOAA)</t>
  </si>
  <si>
    <t>The authors thank Rick Kohrs, Jerrold Robaidek, and Nick Bearson at SSEC for their assistance with the timely retrieval of the input satellite data used in building the composites. Thanks are given to three anonymous reviewers for their helpful input in improving this manuscript. This material is based upon work supported by the Office of Polar Programs at the National Science Foundation (ANT-0537827, ANT-0838834, ANT-1141908, and ARC-0713843, and NOAA grant NA10NES4400013). The views, opinions, and findings contained in this report are those of the authors and should not be construed as an official National Oceanic and Atmospheric Administration or U.S. government position, policy, or decision.</t>
  </si>
  <si>
    <t>1558-8424</t>
  </si>
  <si>
    <t>1558-8432</t>
  </si>
  <si>
    <t>J APPL METEOROL CLIM</t>
  </si>
  <si>
    <t>J. Appl. Meteorol. Climatol.</t>
  </si>
  <si>
    <t>10.1175/JAMC-D-13-0160.1</t>
  </si>
  <si>
    <t>AH9FU</t>
  </si>
  <si>
    <t>WOS:000336448000022</t>
  </si>
  <si>
    <t>Sheshadri, A; Plumb, RA; Domeisen, DIV</t>
  </si>
  <si>
    <t>Sheshadri, Aditi; Plumb, R. Alan; Domeisen, Daniela I. V.</t>
  </si>
  <si>
    <t>Can the Delay in Antarctic Polar Vortex Breakup Explain Recent Trends in Surface Westerlies</t>
  </si>
  <si>
    <t>JOURNAL OF THE ATMOSPHERIC SCIENCES</t>
  </si>
  <si>
    <t>Stratospheric circulation; Stratophere-troposphere coupling; Stratosphere; General circulation models; Reanalysis data</t>
  </si>
  <si>
    <t>HEMISPHERE CLIMATE-CHANGE; RELATIVELY SIMPLE AGCM; FINAL WARMING EVENTS; SOUTHERN-HEMISPHERE; EXTRATROPICAL CIRCULATION; ANNULAR MODES; PART II; VARIABILITY</t>
  </si>
  <si>
    <t>The authors test the hypothesis that recent observed trends in surface westerlies in the Southern Hemisphere are directly consequent on observed trends in the timing of stratospheric final warming events. The analysis begins by verifying that final warming events have an impact on tropospheric circulation in a simplified GCM driven by specified equilibrium temperature distributions. Seasonal variations are imposed in the stratosphere only. The model produces qualitatively realistic final warming events whose influence extends down to the surface, much like what has been reported in observational analyses. The authors then go on to study observed trends in surface westerlies composited with respect to the date of final warming events. If the considered hypothesis were correct, these trends would appear to be much weaker when composited with respect to the date of the final warming events. The authors find that this is not the case, and accordingly they conclude that the observed surface changes cannot be attributed simply to this shift toward later final warming events.</t>
  </si>
  <si>
    <t>[Sheshadri, Aditi; Plumb, R. Alan] MIT, Dept Earth Atmospher &amp; Planetary Sci, Cambridge, MA 02139 USA; [Domeisen, Daniela I. V.] Cornell Univ, Dept Earth &amp; Atmospher Sci, Ithaca, NY USA</t>
  </si>
  <si>
    <t>Massachusetts Institute of Technology (MIT); Cornell University</t>
  </si>
  <si>
    <t>Sheshadri, A (corresponding author), MIT, Dept Earth Atmospher &amp; Planetary Sci, 54-1515,77 Massachusetts Ave, Cambridge, MA 02139 USA.</t>
  </si>
  <si>
    <t>aditi_s@mit.edu</t>
  </si>
  <si>
    <t>Domeisen, Daniela/J-2589-2015</t>
  </si>
  <si>
    <t>Domeisen, Daniela/0000-0002-1463-929X</t>
  </si>
  <si>
    <t>National Science Foundation</t>
  </si>
  <si>
    <t>National Science Foundation(National Science Foundation (NSF))</t>
  </si>
  <si>
    <t>This work has been supported in part by the National Science Foundation. NCEP-NCAR reanalysis data was provided by the NOAA/OAR/ESRL PSD, Boulder, Colorado, from their website at http://www.esrl.noaa.gov/psd.</t>
  </si>
  <si>
    <t>0022-4928</t>
  </si>
  <si>
    <t>1520-0469</t>
  </si>
  <si>
    <t>J ATMOS SCI</t>
  </si>
  <si>
    <t>J. Atmos. Sci.</t>
  </si>
  <si>
    <t>10.1175/JAS-D-12-0343.1</t>
  </si>
  <si>
    <t>AG5XG</t>
  </si>
  <si>
    <t>Bronze, Green Published, Green Accepted</t>
  </si>
  <si>
    <t>WOS:000335491400007</t>
  </si>
  <si>
    <t>Liu, XC; Jahn, BM; Zhao, Y; Liu, J; Ren, LD</t>
  </si>
  <si>
    <t>Liu, Xiaochun; Jahn, Bor-Ming; Zhao, Yue; Liu, Jian; Ren, Liudong</t>
  </si>
  <si>
    <t>GEOCHEMISTRY AND GEOCHRONOLOGY OF MESOPROTEROZOIC BASEMENT ROCKS FROM THE EASTERN AMERY ICE SHELF AND SOUTHWESTERN PRYDZ BAY, EAST ANTARCTICA: IMPLICATIONS FOR A LONG-LIVED MAGMATIC ACCRETION IN A CONTINENTAL ARC</t>
  </si>
  <si>
    <t>AMERICAN JOURNAL OF SCIENCE</t>
  </si>
  <si>
    <t>Mesoproterozoic; basement rock; magmatic accretion; continental arc; East Antarctica</t>
  </si>
  <si>
    <t>PRINCE-CHARLES-MOUNTAINS; PRAKASAM ALKALINE PROVINCE; U-PB GEOCHRONOLOGY; GHATS BELT; LARSEMANN HILLS; GROVE MOUNTAINS; MAFIC DYKES; ISLAND-ARC; SM-ND; METAVOLCANIC ROCKS</t>
  </si>
  <si>
    <t>The high-grade metamorphic rocks from the eastern Amery Ice Shelf and southwestern Prydz Bay of East Antarctica represent reworked Rayner Complex during the late Neoproterozoic/Cambrian metamorphism. These Mesoproterozoic basement rocks can provide important information for the earlier tectonic evolution of the Rayner orogen. Chemical compositions of the mafic granulites from the Sostrene Island and Munro Kerr Mountains area suggest that their protoliths resemble Nb-enriched arc basalts, whereas those from the McKaskle-Mistichelli Hills, Reinbolt Hills and Manning Nunataks show typical characteristics of island arc basalts. Nd isotopic analyses yielded initial Nd isotope compositions, expressed as epsilon(Nd)(T) values, ranging from +4.1 to -0.4 for the former, and mostly from -3.2 to -4.7 for the latter. The felsic orthogneisses have the characteristics of volcanic arc granites, and one fifth of the samples belong to high Sr/Y types. The felsic orthogneisses yielded epsilon(Nd)(T) values of -2.4 to -7.6 and Nd depleted-mantle model ages of 2.2 to 1.9 Ga, implying an important episode of crustal formation in the Paleoproterozoic. The high Sr/Y orthogneisses have high K2O/Na2O ratios (&gt;1), positive Eu anomalies, significant HREE depletion and negative epsilon(Nd)(T) values, suggesting their derivation from partial melting of garnet-bearing K-rich mafic sources at the lower crust of the continental arc. Geochronological data give protolith ages ranging from 1380 to 1020 Ma for these arc-related rocks, indicating a long-lived magmatic accretion in the Rayner continental arc for similar to 360 Ma. In addition, a younger island arc (&lt;1080 Ma) was probably formed in the south of the Fisher oceanic arc. Coupled with the available data for the adjacent areas, we propose that the tectonic process of the Rayner orogen involved the collision of several island arcs with East Antarctica (the Lambert Terrane or the Ruker craton), followed by the closure of ocean and final collision of the Indian craton with the newly accreted Antarctic margin.</t>
  </si>
  <si>
    <t>[Liu, Xiaochun; Zhao, Yue; Liu, Jian] Chinese Acad Geol Sci, Inst Geomech, Key Lab Paleomagnetism &amp; Tecton Reconstruct, Minist Land &amp; Resources, Beijing 100081, Peoples R China; [Jahn, Bor-Ming] Natl Taiwan Univ, Dept Geol Sci, Taipei 10699, Taiwan; [Ren, Liudong] Chinese Acad Geol Sci, Inst Geol, Beijing 100037, Peoples R China</t>
  </si>
  <si>
    <t>China Geological Survey; Institute of Geomechanics, Chinese Academy of Geological Sciences; Chinese Academy of Geological Sciences; Ministry of Natural Resources of the People's Republic of China; National Taiwan University; China Geological Survey; Institute of Geology, Chinese Academy of Geological Sciences; Chinese Academy of Geological Sciences</t>
  </si>
  <si>
    <t>Liu, XC (corresponding author), Chinese Acad Geol Sci, Inst Geomech, Key Lab Paleomagnetism &amp; Tecton Reconstruct, Minist Land &amp; Resources, Beijing 100081, Peoples R China.</t>
  </si>
  <si>
    <t>liuxchqw@cags.ac.cn</t>
  </si>
  <si>
    <t>Jahn, Bor-ming/B-8323-2009</t>
  </si>
  <si>
    <t>Jahn, Bor-ming/0000-0001-5532-2398</t>
  </si>
  <si>
    <t>Geological Investigation Project of China Geological Survey [1212011120176, 12120113019000]; National Natural Science Foundation of China [40872052]; Chinese Polar Environment Comprehensive investigation &amp; Assessment Programmes [CHINARE2012-02-05]; National Research Council (Taiwan) [NSC-100-2116-M-002-024, NSC-101-2116-M-002-003]</t>
  </si>
  <si>
    <t>Geological Investigation Project of China Geological Survey(China Geological Survey); National Natural Science Foundation of China(National Natural Science Foundation of China (NSFC)); Chinese Polar Environment Comprehensive investigation &amp; Assessment Programmes; National Research Council (Taiwan)</t>
  </si>
  <si>
    <t>We sincerely acknowledge Biao Song for assistance in the SHRIMP U-Pb zircon analyses. Edward Grew, Yanbin Wang and an anonymous reviewer are thanked for their critical reviews for improving the manuscript. The field work was carried out during the 2004-2005 and 2007-2008 Chinese National Antarctic Research Expedition. Logistic support by the Antarctic Administration of China and financial support by the Geological Investigation Project of China Geological Survey (1212011120176, 12120113019000), the National Natural Science Foundation of China (40872052) and the Chinese Polar Environment Comprehensive investigation &amp; Assessment Programmes (CHINARE2012-02-05) are gratefully acknowledged. Bor-ming Jahn acknowledges the support of National Research Council (Taiwan) through grants NSC-100-2116-M-002-024 and NSC-101-2116-M-002-003.</t>
  </si>
  <si>
    <t>AMER JOURNAL SCIENCE</t>
  </si>
  <si>
    <t>YALE UNIV, PO BOX 208109, NEW HAVEN, CT 06520-8109 USA</t>
  </si>
  <si>
    <t>0002-9599</t>
  </si>
  <si>
    <t>1945-452X</t>
  </si>
  <si>
    <t>AM J SCI</t>
  </si>
  <si>
    <t>Am. J. Sci.</t>
  </si>
  <si>
    <t>10.2475/02.2014.03</t>
  </si>
  <si>
    <t>AF8MB</t>
  </si>
  <si>
    <t>WOS:000334969200004</t>
  </si>
  <si>
    <t>Zou, H; Zhu, JH; Zhou, LB; Li, P; Ma, SP</t>
  </si>
  <si>
    <t>Zou Han; Zhu Jinhuan; Zhou Libo; Li Peng; Ma Shupo</t>
  </si>
  <si>
    <t>Validation and Application of Reanalysis Temperature Data over the Tibetan Plateau</t>
  </si>
  <si>
    <t>JOURNAL OF METEOROLOGICAL RESEARCH</t>
  </si>
  <si>
    <t>Tibetan Plateau; reanalysis; surface temperature; temperature trend</t>
  </si>
  <si>
    <t>CLIMATE-CHANGE; URBANIZATION; VARIABILITY; STORM; CHINA</t>
  </si>
  <si>
    <t>The Tibetan Plateau has substantial impacts on the weather and climate of the Northern Hemisphere, due in large part to the thermal effects of the plateau surface. Surface temperature over the Tibetan Plateau is the most important parameter in determining these thermal effects. We present a method for verifying widely used reanalysis temperature products from NCEP-R2, ERA-Interim, and JRA-25 over the Tibetan Plateau, with the aim of obtaining a reliable picture of surface temperature and its changes over the plateau. Reanalysis data are validated against the topography elevation, satellite observations, and radiosonde data. ERA-Interim provides the most reliable estimates of Tibetan Plateau surface temperature among these three reanalyses. We therefore use this dataset to study the climatology and trends of surface temperature over the Tibetan Plateau. ERA-Interim data indicate a dramatic warming over the Tibetan Plateau from 1979 to 2010, with warming rates of 0.33 degrees C per decade in annual mean temperature, 0.22 degrees C per decade in summer and 0.47 degrees C per decade in winter mean temperatures. Comparison with the results of previous studies suggests that surface warming over the Tibetan Plateau has accelerated during the past 30 years. This warming is distributed heterogeneously across the Tibetan Plateau, possibly due to topographic effects.</t>
  </si>
  <si>
    <t>[Zou Han] Chinese Acad Sci, Inst Atmospher Phys, LAPC, Beijing 100029, Peoples R China; Chinese Acad Sci, Inst Atmospher Phys, LAOR, Beijing 100029, Peoples R China</t>
  </si>
  <si>
    <t>Chinese Academy of Sciences; Institute of Atmospheric Physics, CAS; Chinese Academy of Sciences; Institute of Atmospheric Physics, CAS</t>
  </si>
  <si>
    <t>Zou, H (corresponding author), Chinese Acad Sci, Inst Atmospher Phys, LAPC, Beijing 100029, Peoples R China.</t>
  </si>
  <si>
    <t>zouhan@mail.iap.ac.cn</t>
  </si>
  <si>
    <t>Zhou, Libo/AAH-6087-2020; IAP, LAPC/AAI-6390-2020</t>
  </si>
  <si>
    <t>IAP, LAPC/0000-0002-6195-7362</t>
  </si>
  <si>
    <t>China Meteorological Administration Special Public Welfare Research Fund [GYHY201206041]; National (Key) Basic Research and Development (973) Program of China [2009CB421403]; National Natural Science Foundation of China [40905067]; Public Science and Technology Research Projects of Ocean [201005017-5]; Antarctic and Arctic Environmental Expeditions and Assessment Project [CHINARE2012-02-03, 2012-04-04]</t>
  </si>
  <si>
    <t>China Meteorological Administration Special Public Welfare Research Fund; National (Key) Basic Research and Development (973) Program of China(National Basic Research Program of China); National Natural Science Foundation of China(National Natural Science Foundation of China (NSFC)); Public Science and Technology Research Projects of Ocean; Antarctic and Arctic Environmental Expeditions and Assessment Project</t>
  </si>
  <si>
    <t>Supported by the China Meteorological Administration Special Public Welfare Research Fund (GYHY201206041), National (Key) Basic Research and Development (973) Program of China (2009CB421403), National Natural Science Foundation of China (40905067), Public Science and Technology Research Projects of Ocean (201005017-5), and Antarctic and Arctic Environmental Expeditions and Assessment Project (CHINARE2012-02-03 and 2012-04-04).</t>
  </si>
  <si>
    <t>2095-6037</t>
  </si>
  <si>
    <t>2198-0934</t>
  </si>
  <si>
    <t>J METEOROL RES-PRC</t>
  </si>
  <si>
    <t>J. Meteorol. Res.</t>
  </si>
  <si>
    <t>10.1007/s13351-014-3027-5</t>
  </si>
  <si>
    <t>AF0UD</t>
  </si>
  <si>
    <t>WOS:000334428700008</t>
  </si>
  <si>
    <t>Zhou, LB; Zhang, Y; Ma, SP</t>
  </si>
  <si>
    <t>Zhou Libo; Zhang Yu; Ma Shupo</t>
  </si>
  <si>
    <t>Continuous Ozone Depletion over Antarctica After 2000 and Its Relationship with the Polar Vortex</t>
  </si>
  <si>
    <t>Antarctic ozone depletion; polar vortex; lower stratosphere</t>
  </si>
  <si>
    <t>INTERANNUAL VARIABILITY; TREND ANALYSIS; ART.; HOLE; VORTICES</t>
  </si>
  <si>
    <t>Observations have shown highly variable ozone depletion over the Antarctic in the 2000s, which could affect the long-term ozone trend in this region as well as the global ozone recovery. By using the total column ozone data (1979-2011), interannual variation of the springtime Antarctic ozone low is investigated, together with its relationship with the polar vortex evolution in the lower stratosphere. The results show that springtime Antarctic ozone depletion has continued in the 2000s, seemingly contradicting the consensus view of a global ozone recovery expected at the beginning of the 21st century. The spring Antarctic polar vortex in the lower stratosphere is much stronger in the 2000s than before, with a larger area, delayed breakup time, and greater longevity during 2000-2011. Further analyses show that the recent continuation of springtime Antarctic ozone depletion could be largely attributed to the abnormal variation of the Antarctic polar vortex.</t>
  </si>
  <si>
    <t>[Zhou Libo] Chinese Acad Sci, Inst Atmospher Phys, LAPC, Beijing 100029, Peoples R China; Chinese Acad Sci, Inst Atmospher Phys, LAOR, Beijing 100029, Peoples R China</t>
  </si>
  <si>
    <t>Zhou, LB (corresponding author), Chinese Acad Sci, Inst Atmospher Phys, LAPC, Beijing 100029, Peoples R China.</t>
  </si>
  <si>
    <t>zhoulibo@mail.iap.ac.cn</t>
  </si>
  <si>
    <t>IAP, LAPC/AAI-6390-2020; Zhou, Libo/AAH-6087-2020</t>
  </si>
  <si>
    <t>IAP, LAPC/0000-0002-6195-7362;</t>
  </si>
  <si>
    <t>Public Science and Technology Research Funds for Projects of the Ocean [201005017-5]; China Meteorological Administration Special Public Welfare Research Fund [GYHY201206041]; Project of Comprehensive Evaluation of Polar Areas on Global and Regional Climate Changes and Polar Environment Comprehensive Investigation and Assessment</t>
  </si>
  <si>
    <t>Public Science and Technology Research Funds for Projects of the Ocean; China Meteorological Administration Special Public Welfare Research Fund; Project of Comprehensive Evaluation of Polar Areas on Global and Regional Climate Changes and Polar Environment Comprehensive Investigation and Assessment</t>
  </si>
  <si>
    <t>Supported by the Public Science and Technology Research Funds for Projects of the Ocean (201005017-5), China Meteorological Administration Special Public Welfare Research Fund (GYHY201206041), Project of Comprehensive Evaluation of Polar Areas on Global and Regional Climate Changes and Polar Environment Comprehensive Investigation and Assessment (2012-2015).</t>
  </si>
  <si>
    <t>10.1007/s13351-014-0102-x</t>
  </si>
  <si>
    <t>WOS:000334428700010</t>
  </si>
  <si>
    <t>Raymond, MR; Wharton, DA; Marshall, CJ</t>
  </si>
  <si>
    <t>Raymond, Melianie R.; Wharton, David A.; Marshall, Craig J.</t>
  </si>
  <si>
    <t>Nematodes from the Victoria Land coast, Antarctica and comparisons with cultured Panagrolaimus davidi</t>
  </si>
  <si>
    <t>field and laboratory strain; Plectus murrayi; Scottnema lindsayae; Eudorylaimus sp.</t>
  </si>
  <si>
    <t>CAENORHABDITIS-ELEGANS; DIVERSITY; NUCLEAR; SOIL; TOLERANCE</t>
  </si>
  <si>
    <t>Morphological and genetic information was used to determine the species identity and relationships of four species of nematodes from the Victoria Land coast, Antarctica; and between laboratory and field populations of Panagrolaimus davidi Timm. The 18S and D3 expansion segments of 28S rRNA were successfully amplified from the four species: Scottnema lindsayae Timm, Plectus murrayi Yeates, Eudorylaimus spp. and Panagrolaimus davidi. The four species from field populations mapped to three different nematode clades, indicating that if they are survivors in, rather than colonizers of, Antarctica they originate from several Gondwanan ancestors. The laboratory culture of P. davidi is shown to be a different species to that of the field samples of P. davidi, which were genetically identical to each other. There are several possible explanations for this observation, which require further investigation.</t>
  </si>
  <si>
    <t>[Raymond, Melianie R.; Wharton, David A.] Univ Otago, Dept Zool, Dunedin, New Zealand; [Marshall, Craig J.] Univ Otago, Dept Biochem, Dunedin, New Zealand</t>
  </si>
  <si>
    <t>University of Otago; University of Otago</t>
  </si>
  <si>
    <t>Wharton, DA (corresponding author), Univ Otago, Dept Zool, POB 56, Dunedin, New Zealand.</t>
  </si>
  <si>
    <t>david.wharton@otago.ac.nz</t>
  </si>
  <si>
    <t>Marshall, Craig J./C-6668-2009</t>
  </si>
  <si>
    <t>Marshall, Craig J./0000-0003-4186-0368; Raymond, Melianie/0000-0002-6158-8202; Wharton, David/0000-0001-6369-4984</t>
  </si>
  <si>
    <t>Fanny Evans Post-Graduate Scholarship for Women; Antarctica New Zealand</t>
  </si>
  <si>
    <t>This work was generously supported by a Fanny Evans Post-Graduate Scholarship for Women and a scholarship from Antarctica New Zealand and Kelly Tarlton's, awarded to MRR. We are grateful for the logistical support of Antarctica New Zealand (event KO66), technical support from Karen Judge and Tania King, and field assistance from Justine Marshall, Francesca Cunninghame and Konstanze Gebauer. We also thank Jonathan Banks for the Cape Bird sample, Graham Wallis, Sven Bostrom and an anonymous referee for their comments on the manuscript.</t>
  </si>
  <si>
    <t>10.1017/S0954102013000230</t>
  </si>
  <si>
    <t>AC2VO</t>
  </si>
  <si>
    <t>WOS:000332374600003</t>
  </si>
  <si>
    <t>Reid, TA; Ronconi, RA; Cuthbert, RJ; Ryan, PG</t>
  </si>
  <si>
    <t>Reid, Tim A.; Ronconi, Robert A.; Cuthbert, Richard J.; Ryan, Peter G.</t>
  </si>
  <si>
    <t>The summer foraging ranges of adult spectacled petrels Procellaria conspicillata</t>
  </si>
  <si>
    <t>South Atlantic Ocean; breeding; fishery overlap; distribution</t>
  </si>
  <si>
    <t>PELAGIC LONGLINE FISHERY; WHITE-CHINNED PETRELS; AT-SEA DISTRIBUTION; AEQUINOCTIALIS; ALBATROSSES; BYCATCH</t>
  </si>
  <si>
    <t>Satellite transmitters were attached to eight adult spectacled petrels Procellaria conspicillata Gould captured during the early incubation period at their breeding grounds on Inaccessible Island, one of the Tristan da Cunha Islands in the central South Atlantic Ocean. Data on their at-sea distribution was obtained for up to six months. All birds remained within the South Atlantic from 24-44 degrees S, with most between 25 and 40 degrees S. Breeding birds mainly foraged in oceanic waters, but failed breeders or non-breeders concentrated their foraging activity over the Rio Grande Rise and the Walvis Ridge and along the shelf break off the east coast of South America. Little foraging occurred along the Benguela shelf break off southern Africa. Non-breeders favoured relatively warm water with low chlorophyll concentrations, reducing the risk of bycatch in fisheries. Tracked birds spent 16% of their time in areas with high levels of tuna longline fishing activity, with overlap greater for non-breeding birds (22%) than breeding birds (3%). Birds in this study foraged in shallower waters along the continental shelf edge off South America than spectacled petrels tracked in this area in winter, potentially increasing their risk of exposure to demersal longline fisheries in this area in summer.</t>
  </si>
  <si>
    <t>[Reid, Tim A.; Ronconi, Robert A.; Ryan, Peter G.] Univ Cape Town, Percy Fitzpatrick Inst African Ornithol, DST NRF Ctr Excellence, ZA-7701 Rondebosch, South Africa; [Ronconi, Robert A.] Dalhousie Univ, Dept Biol, Halifax, NS, Canada; [Cuthbert, Richard J.] Royal Soc Protect Birds, Sandy SG19 2DL, Beds, England</t>
  </si>
  <si>
    <t>National Research Foundation - South Africa; University of Cape Town; Dalhousie University; Royal Society for Protection of Birds</t>
  </si>
  <si>
    <t>Ryan, PG (corresponding author), Univ Cape Town, Percy Fitzpatrick Inst African Ornithol, DST NRF Ctr Excellence, ZA-7701 Rondebosch, South Africa.</t>
  </si>
  <si>
    <t>pryan31@gmail.com</t>
  </si>
  <si>
    <t>David and Lucille Packard Foundation; BirdLife International; Plastics Federation of South Africa</t>
  </si>
  <si>
    <t>David and Lucille Packard Foundation(The David &amp; Lucile Packard Foundation); BirdLife International; Plastics Federation of South Africa</t>
  </si>
  <si>
    <t>We thank Trevor Glass, Tristan Conservation Department, and the Tristan Administrator and Island Council for permission to work on Inaccessible Island. Funds for the satellite transmitters were provided by the David and Lucille Packard Foundation in collaboration with BirdLife International. TAR was funded in part by a grant from the Plastics Federation of South Africa. Logistical support was supplied by the South African National Antarctic Programme (SANAP) and Tristan's Conservation Department. We especially thank Captain Clarence October and the crew of the Edinburgh and Norman Glass. Ross Wanless helped with longline fishing data. We gratefully acknowledge the constructive comments of the reviewers.</t>
  </si>
  <si>
    <t>10.1017/S0954102013000266</t>
  </si>
  <si>
    <t>WOS:000332374600004</t>
  </si>
  <si>
    <t>Kooyman, GL; Ponganis, PJ</t>
  </si>
  <si>
    <t>Kooyman, G. L.; Ponganis, P. J.</t>
  </si>
  <si>
    <t>Chick production at the largest emperor penguin colony decreases by 50% from 2008-10</t>
  </si>
  <si>
    <t>Pointe Geologie; aerial photographs; Coulman Island; Aptenodytes forsteri; Cape Washington; population</t>
  </si>
  <si>
    <t>WESTERN ROSS SEA; POINTE-GEOLOGIE; CLIMATE; TRENDS</t>
  </si>
  <si>
    <t>The emperor penguin colony at Coulman Island is reputedly the largest known. This reputation is based on intermittent ground and aerial surveys performed since 1958. From an aerial survey obtained on 28 October 2010 we discovered that the total number of chicks was 56% of the lowest previous estimate of 2006 and only 41% of the most recent estimate in 2008. All of the counts tallied since 1983 were determined either by ground counts or from aerial film or digital photographs, or estimates from adult counts. We also determined the sea ice conditions in autumn, which is close to the time the adults arrive to breed. We present three hypotheses of what might have happened from 2008-10 to cause the step change in chick production, the small recovery of chick numbers in 2011, and the complete recovery of number of adults from 2010-11. We conclude that local circumstances may have strongly influenced the breeding behaviour of the emperor penguins in 2010 and to a lesser degree in 2011 when many adults elected not to breed.</t>
  </si>
  <si>
    <t>Univ Calif San Diego, Scripps Inst Oceanog, La Jolla, CA 92093 USA</t>
  </si>
  <si>
    <t>Kooyman, GL (corresponding author), Univ Calif San Diego, Scripps Inst Oceanog, Scholander Hall,9500 Gilman Dr, La Jolla, CA 92093 USA.</t>
  </si>
  <si>
    <t>gkooyman@ucsd.edu</t>
  </si>
  <si>
    <t>, gerald/0000-0002-8872-2950</t>
  </si>
  <si>
    <t>NSF [OPP 98-14794, OPP02-29638, OPP 02-24957, DPP 83-16963, DPP86-13729, DPP 87-15863, DPP 871584, OPP 92-19872, OPP 96-15390, OPP 0001450]; Tinker Foundation Inc; Office of Polar Programs (OPP); Directorate For Geosciences [0944220] Funding Source: National Science Foundation</t>
  </si>
  <si>
    <t>NSF(National Science Foundation (NSF)); Tinker Foundation Inc; Office of Polar Programs (OPP); Directorate For Geosciences(National Science Foundation (NSF)NSF - Directorate for Geosciences (GEO))</t>
  </si>
  <si>
    <t>We dedicate this report to the memory of John Dearborn (now deceased), who shared his notes and photographs with GLK in 2010 about the discovery and first visit to Coulman Island. Thanks to all of the ground counters: Markus Horning, Carsten Kooyman, Tory Kooyman, and Robert van Dam; to Jerry Mullins for the USGS photos, and Kristin Larson for the early August 1994 aerial photographs; to the New Zealand helicopter pilot Grant White who flew us to Coulman Island in 1990. Thanks also to all the Ken Borek pilots who helped us to and from the colony in 1992, 1993 and 1994. We are grateful for the help from students Carley Senet, Courtney van Gorden, and Alexandra Wright in counting birds from the aerial photographs, and Birgitte McDonald for the figure and statistical analysis. This work was supported by NSF grants OPP 98-14794, OPP02-29638 and OPP 02-24957 to PJP, and DPP 83-16963, DPP86-13729, DPP 87-15863, DPP 871584, OPP 92-19872, OPP 96-15390, and OPP 0001450 to GLK and a Tinker Foundation Inc grant for 2006 to GLK. We are grateful to NSF, Raytheon Antarctic Support Services, and Antarctic Support Associates, for all the field support, and Kenn Borek Air for deep field camp air support. Finally, we thank two very conscientious referees who made important suggestions regarding all aspects of the paper.</t>
  </si>
  <si>
    <t>10.1017/S0954102013000515</t>
  </si>
  <si>
    <t>WOS:000332374600005</t>
  </si>
  <si>
    <t>Commins, ML; Ansorge, I; Ryan, PG</t>
  </si>
  <si>
    <t>Commins, Morgan L.; Ansorge, Isabelle; Ryan, Peter G.</t>
  </si>
  <si>
    <t>Multi-scale factors influencing seabird assemblages in the African sector of the Southern Ocean</t>
  </si>
  <si>
    <t>sea surface temperature; oceanic fronts; ice cover; seasonality; PERMANOVA; DISTLM</t>
  </si>
  <si>
    <t>COMMUNITY STRUCTURE; ATLANTIC SECTOR; PRODUCTIVITY GRADIENT; ECOLOGICAL STRUCTURE; ANTARCTICA; SEA; ZOOPLANKTON; REGION; BIRDS</t>
  </si>
  <si>
    <t>Oceanic fronts are important foraging areas for many top predators, but they also define biogeographical boundaries to animals in the Southern Ocean and play a role in structuring seabird assemblages. Understanding the factors driving patterns in the spatial and temporal distribution of seabirds is important to infer the likely impact of a changing climate. Latitudinal transects south of Africa in two summers indicate that fronts and sea ice extent play key roles in determining seabird assemblages. We observed 37 seabird taxa and found five seabird assemblages. The Subtropical Convergence and pack ice-edge form the strongest biogeographical boundaries, whereas the Sub-Antarctic Front and Antarctic Polar Front are less well defined. As summer progresses, the Southern Antarctic Circumpolar Current Front (the Antarctic Divergence or southern boundary of the Antarctic Circumpolar Current) becomes important, when a distinct seabird assemblage forms north of the retreating sea ice following an influx of great shearwaters Puffinus gravis (O'Reilly), blue petrels Halobaena caerulea (Gmelin), Kerguelen petrels Lugensa brevirostris (Lesson) and southern fulmars Fulmarus glacialoides (Smith). Seabird assemblages show strong seasonality and are predictable between years. They are structured primarily by latitudinal gradients and secondarily by seasonal variation in sea-surface temperature and ice cover within their latitudinal habitat zones.</t>
  </si>
  <si>
    <t>[Commins, Morgan L.; Ryan, Peter G.] Univ Cape Town, Percy FitzPatrick Inst, DST NRF Ctr Excellence, ZA-7701 Rondebosch, South Africa; [Ansorge, Isabelle] Univ Cape Town, Dept Oceanog, ZA-7701 Rondebosch, South Africa</t>
  </si>
  <si>
    <t>University of Cape Town; National Research Foundation - South Africa; University of Cape Town</t>
  </si>
  <si>
    <t>Commins, ML (corresponding author), Univ Cape Town, Percy FitzPatrick Inst, DST NRF Ctr Excellence, Private Bag X3, ZA-7701 Rondebosch, South Africa.</t>
  </si>
  <si>
    <t>morgancommins@gmail.com</t>
  </si>
  <si>
    <t>ANSORGE, ISABELLE/AAY-7396-2020</t>
  </si>
  <si>
    <t>Ryan, Peter/0000-0002-3356-2056; Ansorge, Isabelle/0000-0001-7071-8147</t>
  </si>
  <si>
    <t>South African National Antarctic Programme; University of Cape Town</t>
  </si>
  <si>
    <t>We thank Dennis Weir, Clifford Dorse and Suretha van Rooyen for assistance with data collection, and the other scientific personnel, officers and crew of the SA Agulhas for their support at sea. Two anonymous reviewers greatly improved previous drafts of this paper. Financial and logistical support was provided by the South African National Antarctic Programme and the University of Cape Town.</t>
  </si>
  <si>
    <t>10.1017/S0954102013000138</t>
  </si>
  <si>
    <t>WOS:000332374600006</t>
  </si>
  <si>
    <t>Salvatore, MR; Mustard, JF; Head, JW; Marchant, DR; Wyatt, MB</t>
  </si>
  <si>
    <t>Salvatore, M. R.; Mustard, J. F.; Head, J. W., III; Marchant, D. R.; Wyatt, M. B.</t>
  </si>
  <si>
    <t>Characterization of spectral and geochemical variability within the Ferrar Dolerite of the McMurdo Dry Valleys, Antarctica: weathering, alteration, and magmatic processes</t>
  </si>
  <si>
    <t>alteration rinds; remote sensing; spectroscopy; ASTER; geochemistry; ALI</t>
  </si>
  <si>
    <t>SOUTHERN VICTORIA LAND; TRANSANTARCTIC MOUNTAINS; REFLECTANCE SPECTRA; THERMAL EMISSION; DECONVOLUTION; EVOLUTION; PYROXENES; MINERALS; PROVINCE; ORIGIN</t>
  </si>
  <si>
    <t>Orbital spectroscopy and laboratory analyses are utilized to identify major geochemical variations throughout the Ferrar Dolerite exposed in the McMurdo Dry Valleys (MDV) of Antarctica. Our laboratory results highlight the range of primary and secondary chemical and spectral variations observed throughout the dolerite, and provide the necessary calibration for detailed orbital investigations. Pure dolerite units are identified and analysed throughout the MDV using Advanced Land Imager (ALI) and Advanced Spaceborne Thermal Emission and Reflection Radiometer (ASTER) orbital datasets. In conjunction with our laboratory analyses, orbital analyses indicate that the dolerite sills are dominated by MgO concentrations of c. 6-7 wt% except where influenced by orthopyroxene-laden magmatic injections, where MgO concentrations can reach as high as 32.5 wt%. ASTER analyses also indicate that spectrally significant alteration is limited primarily to surfaces dominated by fine-grained dolerites, which form and preserve well developed alteration rinds due to their resistance to physical erosion. The archetype of these secondary signatures is Beacon Valley, where a combination of cold, dry, and stable environmental conditions and the presence of fine-grained dolerites results in strong alteration signatures. This work provides unprecedented spatial coverage of meso- and macro-scale geochemical features that, until now, have only been identified in field and laboratory investigations.</t>
  </si>
  <si>
    <t>[Salvatore, M. R.; Mustard, J. F.; Head, J. W., III; Wyatt, M. B.] Brown Univ, Dept Geol Sci, Providence, RI 02912 USA; [Marchant, D. R.] Boston Univ, Dept Earth Sci, Boston, MA 02215 USA</t>
  </si>
  <si>
    <t>Brown University; Boston University</t>
  </si>
  <si>
    <t>Salvatore, MR (corresponding author), Brown Univ, Dept Geol Sci, 324 Brook St,Box 1846, Providence, RI 02912 USA.</t>
  </si>
  <si>
    <t>Mark_Salvatore@brown.edu</t>
  </si>
  <si>
    <t>National Science Foundation Antarctic Science Division (Office of Polar Programs) [ANT-0739702, ANT-0944702]; Directorate For Geosciences; Division Of Polar Programs [0944702] Funding Source: National Science Foundation</t>
  </si>
  <si>
    <t>National Science Foundation Antarctic Science Division (Office of Polar Programs); Directorate For Geosciences; Division Of Polar Programs(National Science Foundation (NSF)NSF - Directorate for Geosciences (GEO))</t>
  </si>
  <si>
    <t>This work was funded by the National Science Foundation Antarctic Science Division (Office of Polar Programs) through grants to James W. Head (ANT-0739702) and David R. Marchant (ANT-0944702), which are gratefully acknowledged. Logistical support for this project was provided by the US National Science Foundation through the US Antarctic Program. The authors would also like to thank Raytheon Polar Services Company, the United States Air Force 62nd Airlift Wing, and PHI Inc, for their assistance and support during the 2009-10 and 2010-11 summer field expeditions. We thank James Dickson, Laura Kerber, Gareth Morgan, Brandon Boldt, Sylvain Piqueux, David Hollibaugh Baker, J.R. Skok, Sean Mackay, Jennifer Lamp, Jack Seeley, Sandra Wiseman, Tim Goudge, Rebecca Greenberger, Kevin Cannon, Paul Morin, Tim Glotch, Deanne Rogers, Takahiro Hiroi, Dave Murray, Joe Orchardo, Andrea Weber, the Keck/NASA Reflectance Experiment Laboratory (RELAB) at Brown University, and the Vibrational Spectroscopy Laboratory at Stony Brook University for their assistance with fieldwork, orbital analyses, and laboratory measurements. This manuscript benefitted greatly from the reviews by Christian Haselwimmer, Teal Riley, and Alan Vaughan, for which we are sincerely grateful.</t>
  </si>
  <si>
    <t>10.1017/S0954102013000254</t>
  </si>
  <si>
    <t>WOS:000332374600007</t>
  </si>
  <si>
    <t>Wei, LJ; Raine, JI; Liu, XH</t>
  </si>
  <si>
    <t>Wei, L. J.; Raine, J. I.; Liu, X. H.</t>
  </si>
  <si>
    <t>Terrestrial palynomorphs of the Cenozoic Pagodroma Group, northern Prince Charles Mountains, East Antarctica</t>
  </si>
  <si>
    <t>spores and pollen; palaeovegetation; Fisher Massif; Amery oasis; glaciomarine sediments; Miocene</t>
  </si>
  <si>
    <t>SIRIUS GROUP; TRANSANTARCTIC MOUNTAINS; GLACIAL HISTORY; LAMBERT GRABEN; AMERY OASIS; ICE-SHEET; PRYDZ BAY; VEGETATION; SEDIMENTATION; STRATIGRAPHY</t>
  </si>
  <si>
    <t>Terrestrial palynomorphs from the glaciomarine Pagodroma Group provide the first stratigraphically-constrained record of Cenozoic terrestrial vegetation for the northern Prince Charles Mountains, East Antarctica. In general, contemporaneous spores and pollen are extremely sparse, but palynological assemblages of the late middle-late Miocene Fisher Bench Formation and Battye Glacier Formation have relatively more abundant Cenozoic spores and pollen compared with those of the Oligocene Mount Johnston Formation and the Pliocene-early Pleistocene Bardin Bluffs Formation. Spore-pollen assemblages from the Battye Glacier Formation and the Fisher Bench Formation are dominated by Chenopodipollis, with a few other accessory angiosperm and podocarp pollen, pteridophyte and bryophyte spores, and algal cysts, reflecting a low diversity herb-tundra vegetation and a climate similar to the present-day cool to cold sub-Antarctic regions. Reworked Permian-Triassic miospores in Amery oasis (unofficial name) sediments probably indicate local provenance from the Amery Group but Jurassic-Cretaceous and possible early Cenozoic miospores reflect an unknown source.</t>
  </si>
  <si>
    <t>[Wei, L. J.] Chinese Acad Sci, Inst Geol &amp; Geophys, Beijing 100029, Peoples R China; [Raine, J. I.] GNS Sci, Lower Hutt 6009, New Zealand; [Liu, X. H.] Chinese Acad Sci, Inst Tibetan Plateau Res, Beijing 100101, Peoples R China</t>
  </si>
  <si>
    <t>Chinese Academy of Sciences; Institute of Geology &amp; Geophysics, CAS; GNS Science - New Zealand; Chinese Academy of Sciences; Institute of Tibetan Plateau Research, CAS</t>
  </si>
  <si>
    <t>Wei, LJ (corresponding author), Chinese Acad Sci, Inst Geol &amp; Geophys, Beijing 100029, Peoples R China.</t>
  </si>
  <si>
    <t>weilijie@mail.iggcas.ac.cn</t>
  </si>
  <si>
    <t>Raine, James I/D-5124-2009</t>
  </si>
  <si>
    <t>Raine, James Ian/0000-0001-5294-2102</t>
  </si>
  <si>
    <t>National Science Foundation of the USA [OPP-0091676]; National Natural Science Foundation of China [41206183, 41272216]; Chinese Arctic and Antarctic Administration [CHINARE 2012-02-02, IC201106]; New Zealand Marsden Fund and Ministry of Business, Innovation and Employment (Past Antarctic Climates Programme at GNS Science)</t>
  </si>
  <si>
    <t>National Science Foundation of the USA(National Science Foundation (NSF)); National Natural Science Foundation of China(National Natural Science Foundation of China (NSFC)); Chinese Arctic and Antarctic Administration; New Zealand Marsden Fund and Ministry of Business, Innovation and Employment (Past Antarctic Climates Programme at GNS Science)</t>
  </si>
  <si>
    <t>Samples for the present study were collected during several Australian National Antarctic Research Expeditions (ANARE) with support from the Australian Antarctic Programme and the National Science Foundation of the USA (award OPP-0091676), and made available to the authors by Barrie McKelvey, Jason Whitehead, David Harwood and Mike Hambrey. Thanks to Roger Tremain for processing these samples at the GNS Science palynological laboratory. This work was supported by grants from the National Natural Science Foundation of China (No. 41206183 and No. 41272216), the Chinese Arctic and Antarctic Administration (No. CHINARE 2012-02-02 and No. IC201106), and the New Zealand Marsden Fund and Ministry of Business, Innovation and Employment (Past Antarctic Climates Programme at GNS Science). We are grateful to Pat Quilty and Vanessa Bowman for their reviews and Alan Vaughan for his editorial comments.</t>
  </si>
  <si>
    <t>10.1017/S0954102013000278</t>
  </si>
  <si>
    <t>WOS:000332374600008</t>
  </si>
  <si>
    <t>Breitzke, M</t>
  </si>
  <si>
    <t>Breitzke, Monika</t>
  </si>
  <si>
    <t>Overview of seismic research activities in the Southern Ocean-quantifying the environmental impact</t>
  </si>
  <si>
    <t>Seismic Data Library System for Cooperative Research; marine seismics; marine mammals; ocean noise; Antarctica; air guns</t>
  </si>
  <si>
    <t>CETACEANS</t>
  </si>
  <si>
    <t>Understanding the regional and seasonal distribution of seismic research surveys in the Southern Ocean is essential for assessing their acoustic impact on the marine environment. An analysis of the navigation data and cruise table in the Seismic Data Library System for Cooperative Research (SDLS) shows that a fairly extensive network of seismic lines is now available for the Southern Ocean. However, line spacing ranges from tens to hundreds of kilometres, and some almost unsurveyed areas still exist. The seasonal distribution of the seismic profile lengths shows periods with increased survey activity between 1976/77 and 2001/02, but only moderate levels of activity between 2002/03 and 2010/11. The corresponding line spacing is large, and lines are widely distributed over the Southern Ocean. None of the eight Antarctic regions considered here have experienced seismic survey activity during all summer seasons in the last 35 years. Instead, periods with survey activity are interspersed by periods with no survey activity. The average survey length ranges from similar to 2600 km per season off the Antarctic Peninsula to similar to 260 km per season off Enderby Land. Compared to the industrial seismic exploration off Norway the acoustic impact of the seismic research activity in the Southern Ocean is at least similar to 150 times lower.</t>
  </si>
  <si>
    <t>[Breitzke, Monika] Alfred Wegener Inst Polar &amp; Marine Res AWI, D-27568 Bremerhaven, Germany</t>
  </si>
  <si>
    <t>Helmholtz Association; Alfred Wegener Institute, Helmholtz Centre for Polar &amp; Marine Research</t>
  </si>
  <si>
    <t>Breitzke, M (corresponding author), Univ Bremen, Dept Geosci, Klagenfurter Str, D-28359 Bremen, Germany.</t>
  </si>
  <si>
    <t>Monika.Breitzke@uni-bremen.de</t>
  </si>
  <si>
    <t>Breitzke, Monika/0000-0002-4868-3141</t>
  </si>
  <si>
    <t>10.1017/S095410201300031X</t>
  </si>
  <si>
    <t>WOS:000332374600009</t>
  </si>
  <si>
    <t>Gusain, HS; Mishra, VD; Arora, MK</t>
  </si>
  <si>
    <t>Gusain, H. S.; Mishra, V. D.; Arora, M. K.</t>
  </si>
  <si>
    <t>A four-year record of the meteorological parameters, radiative and turbulent energy fluxes at the edge of the East Antarctic Ice Sheet, close to Schirmacher Oasis</t>
  </si>
  <si>
    <t>net longwave radiation flux; latent heat flux; sensible heat flux; net shortwave radiation flux; albedo</t>
  </si>
  <si>
    <t>DRONNING MAUD LAND; SURFACE-ENERGY; DAILY CYCLE; BALANCE; GLACIER; WEATHER; CLIMATE; SUMMER; BUDGET</t>
  </si>
  <si>
    <t>Surface energy fluxes of the ice sheet close to oases (ice-free land regions) are crucial in the case of retreating ice sheet and growing oasis areas. This study presents a four-year record of the meteorological parameters, radiative and turbulent energy fluxes at the edge of the Antarctic ice sheet, close to Schirmacher Oasis in Dronning Maud Land, East Antarctica from March 2007-February 2011. The energy fluxes were analysed for summer season, winter season and transition periods. High katabatic winds were observed during winter (seasonal mean 9.3 m s(-1)) as compared to other seasons. A high correlation (r (2) = 0.89) was observed between the glacier surface temperature and air temperature, and regression relations were obtained for summer, winter and transition periods. The net radiative flux was the main heat source to the glacier during summer (46.8 W m(-2)) and heat sink during winter (-42.2 W m(-2)). Sensible heat flux (annual mean 32 W m(-2)) was the heat source and latent heat flux (annual mean -61 W m(-2)) was the heat sink to the glacier surface, averaged over all seasons. Comparison with other coastal or dry valley locations in Antarctica show that low humidity (50%), high katabatic winds (8.3 m s(-1)) and mild surface (-11.4 degrees C) and air temperature (-10.2 degrees C) contribute to high latent heat flux at the present study location.</t>
  </si>
  <si>
    <t>[Gusain, H. S.; Mishra, V. D.] Ctr Res &amp; Dev, Snow &amp; Avalanche Study Estab, Chandigarh 160036, India; [Arora, M. K.] IIT, Dept Civil Engn, Roorkee 247667, Uttarakhand, India</t>
  </si>
  <si>
    <t>Defence Research &amp; Development Organisation (DRDO); Snow &amp; Avalanche Study Establishment (SASE); Indian Institute of Technology System (IIT System); Indian Institute of Technology (IIT) - Roorkee</t>
  </si>
  <si>
    <t>Gusain, HS (corresponding author), Ctr Res &amp; Dev, Snow &amp; Avalanche Study Estab, Plot 1,Sect 37-A, Chandigarh 160036, India.</t>
  </si>
  <si>
    <t>gusain_hs@yahoo.co.in</t>
  </si>
  <si>
    <t>GUSAIN, HEMENDRA SINGH/I-8599-2019</t>
  </si>
  <si>
    <t>GUSAIN, HEMENDRA SINGH/0000-0001-8562-731X</t>
  </si>
  <si>
    <t>Defence Research and Development Organization (DRDO)</t>
  </si>
  <si>
    <t>Defence Research and Development Organization (DRDO)(Defence Research &amp; Development Organisation (DRDO))</t>
  </si>
  <si>
    <t>The authors are grateful to Shri Ashwagosha Ganju, Director of the Snow and Avalanche Study Establishment (SASE) for constant encouragement during the study. We also thank the Defence Research and Development Organization (DRDO) for funding the project. We express our sincere gratitude to NCAOR (National Centre for Antarctic and Ocean Research) for continuous logistic support for the study. We would also like to thank all the SASE members of the Indian Scientific Expedition to Antarctica for sincere efforts in data collection and maintenance of AWS. Dr M. R. Bhutiyani, Shri R. K. Garg, Shri R. K. Das, Shri Prem Datt, Shri Kamal Kant and Shri Avinash Negi are duly acknowledged for continuous support during the study. Comments by reviewers and the editorial team helped us immensely in improving the manuscript.</t>
  </si>
  <si>
    <t>10.1017/S095410201300028X</t>
  </si>
  <si>
    <t>WOS:000332374600010</t>
  </si>
  <si>
    <t>Argentini, S; Pietroni, I; Mastrantonio, G; Viola, AP; Dargaud, G; Petenko, I</t>
  </si>
  <si>
    <t>Argentini, Stefania; Pietroni, Ilaria; Mastrantonio, Giangiuseppe; Viola, Angelo P.; Dargaud, Guillaume; Petenko, Igor</t>
  </si>
  <si>
    <t>Observations of near surface wind speed, temperature and radiative budget at Dome C, Antarctic Plateau during 2005</t>
  </si>
  <si>
    <t>Concordia; wind measurements; radiation temperature; surface-layer meteorology</t>
  </si>
  <si>
    <t>ENERGY-BALANCE; SOUTH-POLE; LAYER; SNOW; SUMMER; CLOUDINESS; VALIDATION; ATMOSPHERE; INVERSION; ALBEDO</t>
  </si>
  <si>
    <t>The annual and diurnal behaviours of near surface wind speed, temperature, and the radiative budget at Concordia Station (Dome C) in different seasons are shown. The wind speed was lowest in summer when a daily cycle was also observed. The largest mean values were concurrent with boundary layer growth in the afternoon. In winter and spring the wind speed reached the highest mean values. Perturbations in the wind flow were due to warming events which occurred periodically at Dome C. The lowest temperatures were in April and at the end of August. The coreless winter behaviour was perturbed by warming events which in many cases produced an increase in temperature of c. 20 degrees C. The average temperature profiles show permanent thermal inversion, with the exception of a few hours in the afternoons during the summer. The strongest ground-based thermal inversions were observed in the polar winter. The largest potential temperature gradients were limited to a 30-40 m deep layer close to the surface. The net radiation was negative almost all the time with the exception of the period from mid-December to mid-January.</t>
  </si>
  <si>
    <t>[Argentini, Stefania; Pietroni, Ilaria; Mastrantonio, Giangiuseppe; Viola, Angelo P.; Dargaud, Guillaume; Petenko, Igor] ISAC CNR, I-00133 Rome, Italy</t>
  </si>
  <si>
    <t>Mastrantonio, G (corresponding author), ISAC CNR, Via Fosso del Cavaliere, I-00133 Rome, Italy.</t>
  </si>
  <si>
    <t>g.mastrantonio@isac.cnr.it</t>
  </si>
  <si>
    <t>viola, angelo p/C-7184-2015</t>
  </si>
  <si>
    <t>PETENKO, IGOR/0000-0002-8475-5018; ARGENTINI, STEFANIA/0000-0002-7939-0309; viola, angelo pietro/0000-0002-6545-7496</t>
  </si>
  <si>
    <t>Piano Nazionale Ricerche in Antartide (PNRA)</t>
  </si>
  <si>
    <t>This research was supported by the Piano Nazionale Ricerche in Antartide (PNRA) in the framework of French-Italian projects for Dome C. The authors wish to thank the logistics staff at Concordia for their support during the fieldwork. The authors thank A. Conidi for the technical work which has been provided in the realization of the STABLEDC project and Dr D. Cavallaro for editing the paper. The constructive comments of the reviewers are gratefully acknowledged.</t>
  </si>
  <si>
    <t>10.1017/S0954102013000382</t>
  </si>
  <si>
    <t>WOS:000332374600011</t>
  </si>
  <si>
    <t>Barber, D</t>
  </si>
  <si>
    <t>Barber, David</t>
  </si>
  <si>
    <t>Klaus P. U. Hochheim (1958-2013) Dedication</t>
  </si>
  <si>
    <t>ARCTIC ANTARCTIC AND ALPINE RESEARCH</t>
  </si>
  <si>
    <t>Biographical-Item</t>
  </si>
  <si>
    <t>Univ Manitoba, Clayton H Riddell Fac Environm Earth &amp; Resources, Winnipeg, MB, Canada</t>
  </si>
  <si>
    <t>University of Manitoba</t>
  </si>
  <si>
    <t>Barber, D (corresponding author), Univ Manitoba, Clayton H Riddell Fac Environm Earth &amp; Resources, Winnipeg, MB, Canada.</t>
  </si>
  <si>
    <t>INST ARCTIC ALPINE RES</t>
  </si>
  <si>
    <t>UNIV COLORADO, BOULDER, CO 80309 USA</t>
  </si>
  <si>
    <t>1523-0430</t>
  </si>
  <si>
    <t>1938-4246</t>
  </si>
  <si>
    <t>ARCT ANTARCT ALP RES</t>
  </si>
  <si>
    <t>Arct. Antarct. Alp. Res.</t>
  </si>
  <si>
    <t>10.1657/1938-4246-46.1.1</t>
  </si>
  <si>
    <t>Environmental Sciences; Geography, Physical</t>
  </si>
  <si>
    <t>Environmental Sciences &amp; Ecology; Physical Geography</t>
  </si>
  <si>
    <t>AE3GX</t>
  </si>
  <si>
    <t>WOS:000333866100001</t>
  </si>
  <si>
    <t>O'Reilly, BC; Finkelstein, SA; Bunbury, J</t>
  </si>
  <si>
    <t>O'Reilly, Benjamin C.; Finkelstein, Sarah A.; Bunbury, Joan</t>
  </si>
  <si>
    <t>Pollen-Derived Paleovegetation Reconstruction and Long-Term Carbon Accumulation at a Fen Site in the Attawapiskat River Watershed, Hudson Bay Lowlands, Canada</t>
  </si>
  <si>
    <t>NORTHERN ONTARIO; BOREAL FOREST; PEATLANDS; CLIMATE; RATES; PEAT; AMERICAN; QUEBEC; MIRES; CYCLE</t>
  </si>
  <si>
    <t>The Hudson Bay Lowlands (HBL) constitute a globally significant carbon pool; the paleoecological record provides an opportunity to investigate long-term drivers of change in carbon accumulation and related changes in vegetation. We present a Holocene record from the Victor Fen site (VM-3-3) in Ontario's HBL to reconstruct vegetation history, quantify rates of carbon accumulation, and determine the role of paleoclimatic drivers. Pollen analysis indicates initiation of peat accumulation over a mineral substrate, accompanied by relatively rapid rates of carbon accumulation, following emergence from the Tyrrell Sea similar to 6900 yrs BP. The earliest vegetation assemblage consisted of a tidal marsh, quickly succeeding to a Typha marsh, then a poor fen dominated by Sphagnum and Cyperaceae by 6400 yrs BE Rapid rates of isostatic uplift at the time likely contributed to these changes. Once established, this fen community persisted without major vegetation change until the most recent century, when the abundance of shrub and Cyperaceae pollen increased, suggesting increasingly minerotrophic conditions. Average rate of long-term carbon accumulation (LORCA) for the whole record (mean = 22.8 g C m(-2) yr(-1)) is similar to other northern peatlands, and higher than the Holocene average for an adjacent bog. Increased precipitation after similar to 2400 yrs BP may have contributed to the higher LORCA reconstructed for the late Holocene, but the increased precipitation did not coincide with any apparent changes in vegetation as inferred from pollen assemblages.</t>
  </si>
  <si>
    <t>[O'Reilly, Benjamin C.] Univ Toronto, Dept Geog, Toronto, ON M5S 3G3, Canada; [Finkelstein, Sarah A.] Univ Toronto, Dept Earth Sci, Toronto, ON M5S 3B1, Canada; [Bunbury, Joan] Univ Wisconsin, Dept Geog &amp; Earth Sci, La Crosse, WI 54601 USA</t>
  </si>
  <si>
    <t>University of Toronto; University of Toronto; University of Wisconsin System</t>
  </si>
  <si>
    <t>Finkelstein, SA (corresponding author), Univ Toronto, Dept Earth Sci, 22 Russell St, Toronto, ON M5S 3B1, Canada.</t>
  </si>
  <si>
    <t>Finkelstein@es.utoronto.ca</t>
  </si>
  <si>
    <t>Finkelstein, Sarah/K-8202-2012</t>
  </si>
  <si>
    <t>Finkelstein, Sarah/0000-0002-8239-399X</t>
  </si>
  <si>
    <t>Ontario Ministry of Natural Resources; Natural Sciences and Engineering Research Council of Canada; Ontario Ministry of Training, Colleges and Universities; Wildlife Conservation Society of Canada; Aboriginal Affairs and Northern Development Canada; University of Toronto Centre for Global Change Science</t>
  </si>
  <si>
    <t>Ontario Ministry of Natural Resources; Natural Sciences and Engineering Research Council of Canada(Natural Sciences and Engineering Research Council of Canada (NSERC)CGIAR); Ontario Ministry of Training, Colleges and Universities; Wildlife Conservation Society of Canada; Aboriginal Affairs and Northern Development Canada; University of Toronto Centre for Global Change Science</t>
  </si>
  <si>
    <t>This research was funded by grants from the Ontario Ministry of Natural Resources and the Natural Sciences and Engineering Research Council of Canada to Finkelstein; graduate fellowships to O'Reilly from the Ontario Ministry of Training, Colleges and Universities, the Wildlife Conservation Society of Canada, and Aboriginal Affairs and Northern Development Canada; and a post-doctoral fellowship to Bunbury from the University of Toronto Centre for Global Change Science. We thank Jim McLaughlin and Benoit Hamel for extensive project support, including field work and core collection, and we acknowledge DeBeers Canada for logistical support and accommodation at the Victor Mine site. We also thank Maara Packalen and Daniel Campbell for helpful discussions, and Kristen Beck for laboratory assistance.</t>
  </si>
  <si>
    <t>TAYLOR &amp; FRANCIS LTD</t>
  </si>
  <si>
    <t>ABINGDON</t>
  </si>
  <si>
    <t>2-4 PARK SQUARE, MILTON PARK, ABINGDON OR14 4RN, OXON, ENGLAND</t>
  </si>
  <si>
    <t>10.1657/1938-4246-46.1.6</t>
  </si>
  <si>
    <t>WOS:000333866100003</t>
  </si>
  <si>
    <t>Fillion, MÉ; Bhiry, N; Touazi, M</t>
  </si>
  <si>
    <t>Fillion, Marie-Eve; Bhiry, Najat; Touazi, Mustapha</t>
  </si>
  <si>
    <t>Differential Development of Two Palsa Fields in a Peatland Located near Whapmagoostui-Kuujjuarapik, Northern Quebec, Canada</t>
  </si>
  <si>
    <t>SUB-ARCTIC QUEBEC; WATER-LEVEL FLUCTUATIONS; HOLOCENE DEVELOPMENT; PERMAFROST PEATLAND; BOREAL PEATLANDS; TREE LINE; CYCLIC DEVELOPMENT; SOUTHERN QUEBEC; WESTERN CANADA; VEGETATION</t>
  </si>
  <si>
    <t>Macrofossil analysis of the peat and topographic surveys of two palsa fields (Fields 3 and 4) within a permafrost peatland located in subarctic Quebec was conducted to trace the factors that contributed to their differential development. The two palsa fields are visibly different in terms of their geomorphology, ecology, and hydrology. According to our results, the evolution of the two fields was largely synchronous in terms of the respective trophic conditions. Moreover, the climate certainly played a significant role in the evolution of this ecosystem. For example, the cooling of the Neoglacial period would have favored the ombrotrophication of both sites, whereas the Little Ice Age conditions would have contributed to palsa formation. Despite the synchronous changes within the two fields, significant differences were also noted. These include the rate of peat accumulation, the number of species found in the peat monoliths, and the presence or absence of forest cover during the ombrotrophic phase. The topography of the underlying substrate would also have influenced the hydrological conditions. For example, a light slope toward the northwest engendered a faster trophic impoverishment in Field 4. In addition, streaming water in Field 3 favored the preservation of wet and rich conditions that triggered the following changes: more diverse vegetation, the significant accumulation of peat, and the formation of higher palsas.</t>
  </si>
  <si>
    <t>[Fillion, Marie-Eve; Bhiry, Najat; Touazi, Mustapha] Univ Laval, CEN, Quebec City, PQ G1V 0A6, Canada; [Fillion, Marie-Eve; Bhiry, Najat; Touazi, Mustapha] Univ Laval, Dept Geog, Quebec City, PQ G1V 0A6, Canada</t>
  </si>
  <si>
    <t>Laval University; Laval University</t>
  </si>
  <si>
    <t>Bhiry, N (corresponding author), Univ Laval, CEN, Quebec City, PQ G1V 0A6, Canada.</t>
  </si>
  <si>
    <t>najat.bhiry@cen.ulaval.ea</t>
  </si>
  <si>
    <t>Natural Sciences and Engineering Research Council of Canada (NSERC); Department of Indian Affairs and North Canada</t>
  </si>
  <si>
    <t>Natural Sciences and Engineering Research Council of Canada (NSERC)(Natural Sciences and Engineering Research Council of Canada (NSERC)); Department of Indian Affairs and North Canada</t>
  </si>
  <si>
    <t>This project has been supported by grants to N. Bhiry from the Natural Sciences and Engineering Research Council of Canada (NSERC) and the Department of Indian Affairs and North Canada. Thanks are extended to M. Belanger, C. Rousseau, C. Lacroix, and S. Aube-Michaud for field assistance; E. Robert and L. Marcoux for laboratory help; and L. Burns and the anonymous reviewers for their insightful comments on this manuscript. We are also grateful to Claude Tremblay and the Centre d' etudes nordiques for the logistic support, to the communities of Whapmagoostui and Kuujjuarapik for their precious collaboration, and to Bill Keller for the follow-up and encouragement.</t>
  </si>
  <si>
    <t>10.1657/1938-4246-46.1.40</t>
  </si>
  <si>
    <t>WOS:000333866100005</t>
  </si>
  <si>
    <t>Gayer, D; Bhiry, N</t>
  </si>
  <si>
    <t>Gayer, Donald; Bhiry, Najat</t>
  </si>
  <si>
    <t>Holocene Climate and Environmental Changes in Western Subarctic Quebec as Inferred from the Sedimentology and the Geomorphology of a Lake Watershed</t>
  </si>
  <si>
    <t>EASTERN HUDSON-BAY; LEVEL FLUCTUATIONS; NORTHERN QUEBEC; EMERGING COAST; TREE LINE; PERMAFROST; BASIN</t>
  </si>
  <si>
    <t>This study presents a paleoenvironmental and paleoclimatic reconstruction of western subarctic Quebec based on the watershed geomorphology of Lake Kaapumticumac (including terraces, stratigraphy, and peatlands) as well as lake sediments, with reference to stratigraphy, grain size, and organic matter content. The integration of data from diverse sources provides valuable information about the regression of the Tyrrell Sea, lake isolation, and lake level fluctuations. Marine processes dominated prior to ca. 6960 cal yr BP, while the marine-lacustrine transition lasted about 500 years (ca. 6960-6400 cal yr BP). In comparison to other study sites in the Whapmagoostui-Kuujjuarapik area, the earlier isolation of Lake Kaapumticumac is consistent with its higher elevation and its greater distance from Hudson Bay. After 6400 cal yr BP, lake evolution was primarily influenced by the climate. Two major climatic periods were recorded: first, the Hypsithermal (ca. 6400-3500 cal yr BP), during which warm conditions caused partial terrestrialization of Lake Kaapumticumac; and second, the post-Hypsithermal or Neoglacial (ca. 3500 cal yr BP to ca. 200 cal yr BP), which triggered the rise in lake levels and caused levees to form in several places around the lake.</t>
  </si>
  <si>
    <t>[Gayer, Donald; Bhiry, Najat] Univ Laval, Ctr Etud Nord, Quebec City, PQ G1V 0A6, Canada; [Gayer, Donald; Bhiry, Najat] Univ Laval, Dept Geog, Quebec City, PQ G1V 0A6, Canada</t>
  </si>
  <si>
    <t>Bhiry, N (corresponding author), Univ Laval, Ctr Etud Nord, Quebec City, PQ G1V 0A6, Canada.</t>
  </si>
  <si>
    <t>najat.bhiry@cen.ulaval.ca</t>
  </si>
  <si>
    <t>Natural Sciences and Engineering Research Council of Canada; Fonds Quebecois de Recherche sur la Nature et les Technologies (FQRNT-equipe); Canadian Department of Indian Affairs and Northern Development</t>
  </si>
  <si>
    <t>Natural Sciences and Engineering Research Council of Canada(Natural Sciences and Engineering Research Council of Canada (NSERC)CGIAR); Fonds Quebecois de Recherche sur la Nature et les Technologies (FQRNT-equipe); Canadian Department of Indian Affairs and Northern Development</t>
  </si>
  <si>
    <t>This study was supported by grants to N. Bhiry from the Natural Sciences and Engineering Research Council of Canada, the Fonds Quebecois de Recherche sur la Nature et les Technologies (FQRNT-equipe) and the Canadian Department of Indian Affairs and Northern Development. We are grateful to the Centre d'etudes nordiques for logistics support; to the Whapmagoostui-Kuujjuarapik residents for their collaboration; to C. Tremblay, L. Miousse, Y. Arlen-Pouliot, M. Lebel, and S. Laliberte for field assistance; and to M. Allard and L. Burns for their comments on an earlier version of the paper. Thanks are extended to two anonymous reviewers for useful suggestions and to Bill Keller for the follow-up and encouragement.</t>
  </si>
  <si>
    <t>10.1657/1938-4246.46.1.55</t>
  </si>
  <si>
    <t>WOS:000333866100006</t>
  </si>
  <si>
    <t>McLaughlin, J; Webster, K</t>
  </si>
  <si>
    <t>McLaughlin, Jim; Webster, Kara</t>
  </si>
  <si>
    <t>Effects of Climate Change on Peatlands in the Far North of Ontario, Canada: a Synthesis</t>
  </si>
  <si>
    <t>HUDSON-BAY LOWLANDS; CARBON ACCUMULATION RATES; ECOSYSTEM CO2 EXCHANGE; SUB-ARCTIC QUEBEC; ORGANIC-MATTER ACCUMULATION; SURFACE-ENERGY BALANCE; NET PRIMARY PRODUCTION; LAKE TOWER SITE; INTERANNUAL VARIABILITY; PEAT ACCUMULATION</t>
  </si>
  <si>
    <t>The Hudson Bay Lowlands (HBL) is the largest peatland complex in North America. More than 75% of the HBL occurs in Ontario, where the provincial government mandates that ecosystem carbon storage and sequestration be considered in land-use planning. Accomplishing this task requires identifying carbon indicators and assessing their responses to changing ecosystem processes, such as succession, permafrost thaw, and evapotranspiration (ET). Therefore, we synthesized information on peat carbon indicators and ecosystem process from the literature. Findings indicate that the long-term carbon accumulation, carbon dioxide (CO2) sequestration, peat depth, and peatland age were similar (p &gt; 0.10) between dry and wet peatland features. Furthermore, CO2 sequestration displayed the highest variability and ponds were net CO2 emitters. Recent carbon accumulation, CH4 emission, and ET were highest (p &lt; 0.01) in wet features, with CH4 emission displaying wide variation. Increased active layer thickness (105 +/- 92 cm per 100 years) in permafrost was the most variable ecosystem process analyzed in this study, while variation in permafrost loss (53 +/- 23% per 100 years) was similar to that of carbon accumulation and ET rates. Processes creating wet and pond conditions may increase landscape-scale CO2 and CH4 emissions to the atmosphere, weakening peatland carbon sinks. Dry conditions may reduce CH4 emissions but potentially increase peatland susceptibility to fire. Knowledge of these changes should be useful for climate change vulnerability and adaptation assessments for large landscapes. However, better understanding of variability in CO2 sequestration, CH4 emission, and permafrost dynamics is required to design such assessments for small landscapes.</t>
  </si>
  <si>
    <t>[McLaughlin, Jim] Ontario Minist Nat Resources, Ontario Forest Res Inst, Sault Ste Marie, ON P6A 2E5, Canada; [Webster, Kara] Great Lakes Forestry Ctr, Canadian Forest Serv, Sault Ste Marie, ON P6A 2E5, Canada</t>
  </si>
  <si>
    <t>Ministry of Natural Resources &amp; Forestry; Natural Resources Canada; Canadian Forest Service; Great Lakes Forestry Centre</t>
  </si>
  <si>
    <t>McLaughlin, J (corresponding author), Ontario Minist Nat Resources, Ontario Forest Res Inst, 1235 Queen St East, Sault Ste Marie, ON P6A 2E5, Canada.</t>
  </si>
  <si>
    <t>jim.mclaughlin@ontario.ca</t>
  </si>
  <si>
    <t>Ontario Ministry of Natural Resources' Applied Research and Development Branch [CC-008, CC-021]; Ontario Ministry of Natural Resources' Far North Branch [FNIKM 028]</t>
  </si>
  <si>
    <t>Ontario Ministry of Natural Resources' Applied Research and Development Branch; Ontario Ministry of Natural Resources' Far North Branch</t>
  </si>
  <si>
    <t>Support was provided by the Ontario Ministry of Natural Resources' Applied Research and Development Branch and Far North Branch under the auspices of projects CC-008 and CC-021 and FNIKM 028, respectively, to McLaughlin and Natural Resources Canada Canadian Forest Service A-base to Webster. The authors also thank Lisa Buse, Sandra Wawryszyn, Trudy Vaittinen, Maara Packalen, Ngaire Eskelin, Benoit Hamel, John Ralston, Adam Kinnunen, Mark Crofts, Sheri-Ann Kuiper, and Ravi Kanipayor for their assistance with various aspects of the project.</t>
  </si>
  <si>
    <t>10.1657/1938-4246-46.1.84</t>
  </si>
  <si>
    <t>WOS:000333866100008</t>
  </si>
  <si>
    <t>Tam, A; Gough, WA; Kowal, S; Xie, CW</t>
  </si>
  <si>
    <t>Tam, Andrew; Gough, William A.; Kowal, Slawomir; Xie, Changwei</t>
  </si>
  <si>
    <t>The Fate of Hudson Bay Lowlands Palsas in a Changing Climate</t>
  </si>
  <si>
    <t>LAST GLACIAL MAXIMUM; PERMAFROST MOUNDS; MODEL SIMULATION; ORIGIN; MIRES</t>
  </si>
  <si>
    <t>The climatological conditions for the presence of palsas in the Hudson Bay Lowlands (HBL) in Ontario, Canada, are examined using data from four climate stations: Big Trout Lake, Lansdowne House, Peawanuck, and Fort Severn. These stations sandwich the existing region where palsas occur. The criteria for the formation and occurrence of palsas that were taken from the literature on Fennoscandian and neighboring Quebec palsas were applied to the HBL. Thermal thresholds set at -2 degrees C and 0 degrees C mean annual air temperature, and number of days below -10 degrees C per year were met for the two more northerly locations; the two southerly locations were on the edge of the thresholds. Climate projections from two models under two emission scenarios for the 2020s, 2050s, and 2080s indicated that by the 2080s all four locations would fail the -2 degrees C threshold for palsa formation but at three locations the 0 degrees C threshold for palsa presence was met for some projection scenarios. Over the next century, it is likely that the climate conditions will continue to be capable of supporting existing palsas; however, by the end of the century the threshold criteria for new palsa formation will not be met for most of the HBL.</t>
  </si>
  <si>
    <t>[Tam, Andrew; Gough, William A.; Kowal, Slawomir; Xie, Changwei] Univ Toronto, Dept Phys &amp; Environm Sci, Scarborough, ON M1C 1A4, Canada; [Xie, Changwei] Chinese Acad Sci, Cold &amp; Arid Reg Environm &amp; Engn Res Inst, Lanzhou 730000, Peoples R China</t>
  </si>
  <si>
    <t>University of Toronto; University Toronto Scarborough; Chinese Academy of Sciences; Cold &amp; Arid Regions Environmental &amp; Engineering Research Institute, CAS</t>
  </si>
  <si>
    <t>Gough, WA (corresponding author), Univ Toronto, Dept Phys &amp; Environm Sci, 1265 Mil Trail, Scarborough, ON M1C 1A4, Canada.</t>
  </si>
  <si>
    <t>gough@utsc.utoronto.ca</t>
  </si>
  <si>
    <t>xie, Changwei/AAL-6165-2021; Gough, William A/L-5231-2013</t>
  </si>
  <si>
    <t>Ontario Ministry of the Environment; Ontario Ministry of Natural Resources</t>
  </si>
  <si>
    <t>The authors would like to thank Joyce Zhang for the statistical downscaling contribution to this study. Her work was funded by the Ontario Ministry of the Environment. We acknowledge the support of the Ontario Ministry of Natural Resources.</t>
  </si>
  <si>
    <t>10.1657/1938-4246-46.1.114</t>
  </si>
  <si>
    <t>WOS:000333866100010</t>
  </si>
  <si>
    <t>Symons, CC; Pedruski, MT; Arnott, SE; Sweetman, JN</t>
  </si>
  <si>
    <t>Symons, Celia C.; Pedruski, Michael T.; Arnott, Shelley E.; Sweetman, Jon N.</t>
  </si>
  <si>
    <t>Spatial, Environmental, and Biotic Determinants of Zooplankton Community Composition in Subarctic Lakes and Ponds in Wapusk National Park, Canada</t>
  </si>
  <si>
    <t>METACOMMUNITY STRUCTURE; CRUSTACEAN ZOOPLANKTON; DISPERSAL LIMITATION; EVOLUTIONARY RESCUE; COOCCURRENCE; FRAMEWORK; WATERS</t>
  </si>
  <si>
    <t>Northern regions are expected to experience large environmental change over the next few decades. The response of biota will depend on changes in the local environment, regional processes that influence lake connectivity, and species interactions. In 2008, we surveyed 92 lakes and ponds across Wapusk National Park, located on the southwestern shore of Hudson Bay. At each site we assessed water chemistry and zooplankton community composition. In an effort to understand how the aquatic ecosystems will respond to future environmental change, we determined local characteristics (e.g., water chemistry), regional spatial factors (e.g., dispersal), and biotic interactions (e.g., species associations) influencing community composition. Important environmental variables included lake area, pH, ionic composition, total phosphorus, and chlorophyll a; however, spatial variables explained more variation than environmental variables, suggesting that dispersal is an important driver of zooplankton composition in this region. Additionally, species exhibited negative co-occurrence patterns, suggesting biotic interactions are important in structuring the zooplankton communities. As environmental conditions change and the distribution of habitat (i.e., coastal fen, interior peatland, and spruce forest) shifts, evidence that the park's zooplankton community is spatially structured coupled with our suspicion that zooplankton are likely to experience high dispersal levels in Wapusk leads us to suggest zooplankton may indeed be able to track changing environmental conditions within the park, although it remains unclear how species interactions will modify this expectation.</t>
  </si>
  <si>
    <t>[Symons, Celia C.; Arnott, Shelley E.] Queens Univ, Dept Biol, Kingston, ON K7L 3N6, Canada; [Pedruski, Michael T.] McGill Univ, Dept Biol, Montreal, PQ H3A 1B1, Canada; [Sweetman, Jon N.] Pk Canada, Winnipeg, MB R3B 0R9, Canada</t>
  </si>
  <si>
    <t>Queens University - Canada; McGill University</t>
  </si>
  <si>
    <t>Symons, CC (corresponding author), Univ Calif San Diego, Dept Biol, 9500 Gilman Dr, La Jolla, CA 92093 USA.</t>
  </si>
  <si>
    <t>ccsymons@ucsd.edu</t>
  </si>
  <si>
    <t>Sweetman, Jon N/A-6457-2011</t>
  </si>
  <si>
    <t>Arnott, Shelley/0000-0002-3834-703X; Symons, Celia C./0000-0003-4120-0327; Sweetman, Jon/0000-0002-9849-7355</t>
  </si>
  <si>
    <t>International Polar Year grant; NSERC; Polar Continental Shelf Project grant</t>
  </si>
  <si>
    <t>International Polar Year grant; NSERC(Natural Sciences and Engineering Research Council of Canada (NSERC)); Polar Continental Shelf Project grant</t>
  </si>
  <si>
    <t>We thank Justin Shead, Sheldon Kowalchuck, Heather Stewart, Brendan McEwan, Jill Larkin, Kevin Burke, David Walker, and Larry Gogal for assistance in the field. Thanks to Parks Canada, Manitoba Conservation, and Gogal Air for logistical support. Financial support was provided by an International Polar Year grant to Jon Sweetman, NSERC Discovery grant to Shelley Arnott, and a Polar Continental Shelf Project grant.</t>
  </si>
  <si>
    <t>10.1657/1938-4246-46.1.159</t>
  </si>
  <si>
    <t>WOS:000333866100013</t>
  </si>
  <si>
    <t>Eichel, KA; Macrae, ML; Hall, RI; Fishback, L; Wolfe, BB</t>
  </si>
  <si>
    <t>Eichel, Kaleigh A.; Macrae, Merrin L.; Hall, Roland I.; Fishback, LeeAnn; Wolfe, Brent B.</t>
  </si>
  <si>
    <t>Nutrient Uptake and Short-Term Responses of Phytoplankton and Benthic Algal Communities from a Subarctic Pond to Experimental Nutrient Enrichment in Microcosms</t>
  </si>
  <si>
    <t>ATMOSPHERIC NITROGEN DEPOSITION; FRESH-WATER ECOSYSTEMS; WAPUSK NATIONAL-PARK; HUDSON-BAY LOWLANDS; CLIMATE-CHANGE; TUNDRA PONDS; HYDROLOGICAL CONNECTIVITY; INORGANIC NITROGEN; PIGMENT STRUCTURE; LAKE</t>
  </si>
  <si>
    <t>Climate warming is anticipated to affect high-latitude regions, including abundant ponds of the Hudson Bay Lowlands (HBL). However, it remains unclear if associated increased frequency of nutrient pulses will be rapidly consumed by aquatic biota and sediment or lead to a rise in pond-water nutrient concentrations. Here, we performed a nutrient-amendment experiment to examine short-term (&lt;= 72 h) nutrient uptake and identify the consumers of the added nutrients (planktonic vs. benthic communities). Microcosms (1 L) with and without sediment were experimentally amended with in-organic nitrogen (nitrate, ammonium) with and without phosphate. Amended nitrate and ammonium concentrations remained high in microcosms without sediments, and phytoplankton biomass did not change relative to the un-amended control. However, phosphate concentration declined significantly in microcosms without sediment, resulting in significant increase of phytoplankton biomass after 72 h. In the presence of sediment, amended nutrients were rapidly removed from the water, stimulating benthic algal biomass when phosphate was co-amended with ammonium or nitrate. Phytoplankton biomass was significantly elevated in microcosms with sediment compared to those without sediment, regardless of whether nutrients were amended or not, indicating that sediment and associated benthic biofilm stimulate phytoplankton growth, likely via supply of nutrients to the overlying water column. A key outcome of the experiment is that pulsed nutrients were taken up rapidly and primarily by the benthic community. Findings suggest that shallow ponds in the HBL are capable of rapidly consuming pulsed nutrient supplies, as may occur due to hydroclimatic events, climate warming and other disturbances.</t>
  </si>
  <si>
    <t>[Eichel, Kaleigh A.; Macrae, Merrin L.] Univ Waterloo, Dept Geog &amp; Environm Management, Waterloo, ON N2L 3G1, Canada; [Hall, Roland I.] Univ Waterloo, Dept Biol, Waterloo, ON N2L 3G1, Canada; [Fishback, LeeAnn] Churchill Northern Studies Ctr, Churchill, MB R0B 0E0, Canada; [Wolfe, Brent B.] Wilfrid Laurier Univ, Dept Geog &amp; Environm Studies, Waterloo, ON N2L 3C5, Canada</t>
  </si>
  <si>
    <t>University of Waterloo; University of Waterloo; Wilfrid Laurier University</t>
  </si>
  <si>
    <t>Eichel, KA (corresponding author), Univ Waterloo, Dept Geog &amp; Environm Management, 200 Univ Ave West, Waterloo, ON N2L 3G1, Canada.</t>
  </si>
  <si>
    <t>keichel@uwaterloo.ca</t>
  </si>
  <si>
    <t>Hall, Roland/AAO-2164-2020; Hall, Roland I/K-3165-2019</t>
  </si>
  <si>
    <t>Hall, Roland/0000-0002-0314-6449; Eichel, Kaleigh/0000-0002-1552-9455; Macrae, Merrin/0000-0003-3296-3103</t>
  </si>
  <si>
    <t>Natural Sciences and Engineering Research Council of Canada (NSERC) via Discovery Grant/Northern Research Supplement Programs; Aboriginal Affairs and Northern Development Canada's Northern Scientific Training Program; Churchill Studies Centre Northern Research Fund</t>
  </si>
  <si>
    <t>Funding for this study was provided by the Natural Sciences and Engineering Research Council of Canada (NSERC) via Discovery Grant/Northern Research Supplement Programs, Aboriginal Affairs and Northern Development Canada's Northern Scientific Training Program, and the Churchill Studies Centre Northern Research Fund. We thank Kat Jansen, Carley Basler, Jessica Mendoza, and Emma Henderson for their logistical help in conducting the fieldwork, and Gillian Merritt, Don Allin, Katie Thomas, Lauren MacDonald, Ann Balasubramaniam, and Monica Tudorancae for help with lab work and analysis involved in this research.</t>
  </si>
  <si>
    <t>10.1657/1938-4246-46.1.191</t>
  </si>
  <si>
    <t>WOS:000333866100014</t>
  </si>
  <si>
    <t>MacDonald, LA; Farquharson, N; Hall, RI; Wolfe, BB; Macrae, ML; Sweetman, JN</t>
  </si>
  <si>
    <t>MacDonald, Lauren A.; Farquharson, Nicole; Hall, Roland I.; Wolfe, Brent B.; Macrae, Merrin L.; Sweetman, Jon N.</t>
  </si>
  <si>
    <t>Avian-Driven Modification of Seasonal Carbon Cycling at a Tundra Pond in the Hudson Bay Lowlands (Northern Manitoba, Canada)</t>
  </si>
  <si>
    <t>CLIMATE-CHANGE; ARCTIC POND; ISOTOPE FRACTIONATION; NUTRIENT ENRICHMENT; POPULATION-DYNAMICS; WATER-CHEMISTRY; FRESH-WATERS; DEVON ISLAND; CAPE VERA; LAKE</t>
  </si>
  <si>
    <t>The past similar to 40 years have seen a geometric increase (5-7% per year) in the size of the lesser snow goose (LSG; Chen caerulescens caerulescens) population and marked spatial expansion of the area they inhabit within the coastal fen ecotype of Wapusk National Park (Hudson Bay Lowlands, northern Canada), raising concerns and uncertainty about the environmental effects of their activities (grubbing of vegetation, soil disturbance, deposition of feces) on the abundant shallow tundra ponds. In this study, we use conventional limnological measurements as well as water and carbon (C) isotope tracers to explore similarities and differences in seasonal patterns of hydrological, limnological, and biogeochemical conditions of 15 shallow coastal fen ponds that currently have minimal (if any) disturbance from the LSG population with one pond (WAP 20) that is subject to substantial LSG activity. Carbon isotope measurements reveal that C cycling at WAP 20 (LSG-disturbed site) is markedly different compared to the other ponds, whereas only small differences were observed in hydrological conditions and concentrations of major nutrients and chlorophyll a of pond water. A mid-summer decrease in C isotope composition of dissolved inorganic carbon (DIC) occurred at WAP 20, likely as a consequence of high pond-water pH and intense C demand by aquatic productivity. These conditions appear to have promoted chemically enhanced CO2 invasion, which causes strong kinetic C isotope fractionation. High C demand at WAP 20 is also suggested by mid-summer C-13 enrichment in particulate organic matter. In contrast, the ponds with little to no LSG activity exhibited expected seasonal C isotope behavior (i.e., C-13 enrichment of DIC) under conditions of increasing productivity when C is in relatively low demand. Small differences in nutrient concentrations may be due to rapid uptake by the benthic mat at WAP 20. Data from the low disturbance ponds also provide baseline information for future studies assessing potential effects of LSG.</t>
  </si>
  <si>
    <t>[MacDonald, Lauren A.; Hall, Roland I.; Sweetman, Jon N.] Univ Waterloo, Dept Biol, Waterloo, ON N2L 3G1, Canada; [Farquharson, Nicole; Wolfe, Brent B.] Wilfrid Laurier Univ, Dept Geog &amp; Environm Studies, Waterloo, ON N2L 3C5, Canada; [Macrae, Merrin L.] Univ Waterloo, Dept Geog &amp; Environm Management, Waterloo, ON N2L 3G1, Canada; [Sweetman, Jon N.] Western &amp; Northern Serv Ctr, Pk Canada, Winnipeg, MB R3B 0R9, Canada</t>
  </si>
  <si>
    <t>University of Waterloo; Wilfrid Laurier University; University of Waterloo</t>
  </si>
  <si>
    <t>MacDonald, LA (corresponding author), Univ Waterloo, Dept Biol, 200 Univ Ave, Waterloo, ON N2L 3G1, Canada.</t>
  </si>
  <si>
    <t>L7macdon@uwaterloo.ca</t>
  </si>
  <si>
    <t>Hall, Roland/AAO-2164-2020; Hall, Roland I/K-3165-2019; Sweetman, Jon N/A-6457-2011</t>
  </si>
  <si>
    <t>Hall, Roland/0000-0002-0314-6449; Macrae, Merrin/0000-0003-3296-3103; Sweetman, Jon/0000-0002-9849-7355</t>
  </si>
  <si>
    <t>Natural Sciences and Engineering Research Council of Canada; Polar Continental Shelf Program; Northern Scientific Training Program; Parks Canada; Churchill Northern Studies Centre (Northern Research Fund)</t>
  </si>
  <si>
    <t>Natural Sciences and Engineering Research Council of Canada(Natural Sciences and Engineering Research Council of Canada (NSERC)CGIAR); Polar Continental Shelf Program; Northern Scientific Training Program; Parks Canada; Churchill Northern Studies Centre (Northern Research Fund)</t>
  </si>
  <si>
    <t>Funding for this study was provided by the Natural Sciences and Engineering Research Council of Canada (Northern Research Chair and Discovery Grants), the Polar Continental Shelf Program, the Northern Scientific Training Program, Parks Canada, and the Churchill Northern Studies Centre (Northern Research Fund). We appreciate conversations with J. Roth that motivated the study. We thank the Churchill Northern Studies Centre, Hudson Bay Helicopters, J. Larkin, E. Light, and J. White for assistance with field work, and constructive comments by the reviewers and editors that improved the paper.</t>
  </si>
  <si>
    <t>10.1657/1938-4246-46.1.206</t>
  </si>
  <si>
    <t>WOS:000333866100015</t>
  </si>
  <si>
    <t>Orlova, J; Branfireun, BA</t>
  </si>
  <si>
    <t>Orlova, Julia; Branfireun, Brian A.</t>
  </si>
  <si>
    <t>Surface Water and Groundwater Contributions to Streamflow in the James Bay Lowland, Canada</t>
  </si>
  <si>
    <t>HUDSON-BAY; HYDROGRAPH SEPARATIONS; CLIMATE-CHANGE; RIVER DISCHARGE; CATCHMENT; WETLANDS; BASIN; FLOW; PEATLAND; IMPACTS</t>
  </si>
  <si>
    <t>Climate and land-use changes are going to leave an indelible mark on the hydrology and globally significant peatlands of the Hudson Bay Lowlands (HBL), Canada. With forecasts for warmer and drier conditions over the next century, the relative contribution of water from surface and subsurface sources affecting both water quantity and quality will undoubtedly shift. Unfortunately, no empirical data exist for any streams or rivers of the HBL on the relative contributions of surface water and groundwater to streamflow, making assessment of future change difficult. Here we report the first data on sources of water to streams and rivers across a range of catchment sizes in the James Bay Lowland (JBL) ecoregion of the HBL. Solute chemistry was determined for a range of potential end members, end members were identified, and a chemical mixing model approach was used to determine the relative end-member contributions to streamflow across a range of catchment sizes (similar to 30-2000 km(2)). The relative contributions of bedrock-derived groundwater to streamflow increased with catchment area from &lt;20 to &gt;40% under dry conditions, and were similar to 50% lower under wet conditions across all catchments. Runoff contributions from peatlands were relatively constant over space and time (53-67%), but the fraction of streamflow composed of rain and snowmelt varied dramatically between wet and dry periods, and among catchments. Given the importance of peatland-derived surface waters, future changes in precipitation and temperature could have significant implications for streamflow in the JBL, particularly during summer base-flow conditions. Moreover, the definition of reference catchments for baseline/impact monitoring must be carefully considered, given the potential for variation in hydrochemistry across physiographically similar catchments.</t>
  </si>
  <si>
    <t>[Orlova, Julia] Univ Western Ontario, Dept Geog, London, ON N6A 3K7, Canada; [Branfireun, Brian A.] Univ Toronto, Dept Geog, Mississauga, ON L5L 1C6, Canada</t>
  </si>
  <si>
    <t>Western University (University of Western Ontario); University of Toronto; University Toronto Mississauga</t>
  </si>
  <si>
    <t>Branfireun, BA (corresponding author), Univ Western Ontario, Dept Biol, 1151 Richmond St, London, ON N6A 3K7, Canada.</t>
  </si>
  <si>
    <t>bbranfir@uwo.ca</t>
  </si>
  <si>
    <t>Natural Science and Engineering Research Council (NSERC); DeBeers Canada Inc.; NSERC; Ontario Graduate Scholarship (OGS)</t>
  </si>
  <si>
    <t>Natural Science and Engineering Research Council (NSERC)(Natural Sciences and Engineering Research Council of Canada (NSERC)); DeBeers Canada Inc.; NSERC(Natural Sciences and Engineering Research Council of Canada (NSERC)); Ontario Graduate Scholarship (OGS)(Ontario Graduate Scholarship)</t>
  </si>
  <si>
    <t>The authors would like to thank DeBeers Canada Inc. and the staff of the DeBeers Victor Mine for logistical support and monitoring data. In particular, we thank Doug Brown, Brian Steinbeck, Terry Terries, Rod Blake, Dave Ott, Aline DeChevigny, and Andrea Labelle of the DeBeers Victor Mine; Dave Simms and Simon Gautrey of AMEC Earth and Environmental for monitoring and compliance data; and the helicopter pilots, without whom this work would not have been possible. We are grateful to Dr. Charlie Wu, Monique Durr, and Robin Rees-Tiller in Biotron Analytical Services at Western University for their analytical work. Graduate students and undergraduate research assistants from the University of Waterloo, University of Toronto, and Western University were essential to the successful execution of the field program and made important contributions to the development of this manuscript. The study was made possible by a Natural Science and Engineering Research Council (NSERC) Collaborative Research &amp; Development Grant with DeBeers Canada Inc. to J. S. Price, B. Branfireun, and V. Remenda; a NSERC Discovery Grant to B. Branfireun; and an Ontario Graduate Scholarship (OGS) to J. Orlova.</t>
  </si>
  <si>
    <t>10.1657/1938-4246-46.1.236</t>
  </si>
  <si>
    <t>WOS:000333866100017</t>
  </si>
  <si>
    <t>Cairns, DM</t>
  </si>
  <si>
    <t>Cairns, David M.</t>
  </si>
  <si>
    <t>ALPINE TREELINES: FUNCTIONAL ECOLOGY OF THE GLOBAL HIGH ELEVATION TREE LIMITS (vol 45, pg 421, 2013)</t>
  </si>
  <si>
    <t>Texas A&amp;M Univ, Dept Geog, College Stn, TX 77843 USA</t>
  </si>
  <si>
    <t>Texas A&amp;M University System; Texas A&amp;M University College Station</t>
  </si>
  <si>
    <t>Cairns, DM (corresponding author), Texas A&amp;M Univ, Dept Geog, College Stn, TX 77843 USA.</t>
  </si>
  <si>
    <t>10.1657/1938-4246-46.1.292</t>
  </si>
  <si>
    <t>WOS:000333866100020</t>
  </si>
  <si>
    <t>Jaquemet, S; Ternon, JF; Kaehler, S; Thiebot, JB; Dyer, B; Bemanaja, E; Marteau, C; Le Corre, M</t>
  </si>
  <si>
    <t>Jaquemet, S.; Ternon, J. F.; Kaehler, S.; Thiebot, J. B.; Dyer, B.; Bemanaja, E.; Marteau, C.; Le Corre, M.</t>
  </si>
  <si>
    <t>Contrasted structuring effects of mesoscale features on the seabird community in the Mozambique Channel</t>
  </si>
  <si>
    <t>DEEP-SEA RESEARCH PART II-TOPICAL STUDIES IN OCEANOGRAPHY</t>
  </si>
  <si>
    <t>Western Indian Ocean; Foraging habitats; Sooty tern; Frigatebird; Red-footed booby; Tuna; Mesoscale eddies; Tropical marine predators; Marine productivity</t>
  </si>
  <si>
    <t>PETRELS PROCELLARIA-AEQUINOCTIALIS; TROPICAL SEABIRD; FORAGING STRATEGY; WARM-CORE; EDDIES; VARIABILITY; HABITAT; SEA; ZOOPLANKTON; PREDATOR</t>
  </si>
  <si>
    <t>The Mozambique Channel (western Indian Ocean) is a dynamic environment characterised by strong mesoscale features, which influence all biological components of the pelagic ecosystem. We investigated the distribution, abundance and feeding behaviour of seabirds in the Mozambique Channel in relation to physical and biological environmental variables, with a specific interest in mesoscale features. Seabird censuses were conducted in summer and winter during 7 cruises in the southern and northern Mozambique Channel. Tropical species accounted for 49% of the 37 species identified and 97% of the individuals, and species from the sub-Antarctic region constituted 30% of the identifications. The typically tropical sooty tern (Onychoprion fuscata) was the dominant species during all cruises, and overall accounted for 74% of the species observations and 85% of counted birds. Outputs of Generalised Linear Models at the scale of the Mozambique Channel suggested that higher densities of flying and feeding birds occurred in areas with lower sea surface temperatures and lower surface chlorophyll a concentrations. Most of the flocks of feeding birds did not associate with surface schools of fish or marine mammals, but when they did, these flocks were larger, especially when associated with tuna. While tropical species seemed to favour cyclonic eddies, frontal and divergence zones, non-tropical species were more frequently recorded over shelf waters. Sooty terns foraged preferentially in cyclonic eddies where zooplankton, micronelcton and tuna schools were abundant. Among other major tropical species, frigatebirds (Fregata spp.) predominated in frontal zones between eddies, where tuna schools also frequently occurred and where geostrophic currents were the strongest. Red-footed boobies (Sula sub) concentrated in divergence zones characterised by low sea level anomalies, low geostrophic currents, and high zooplanlcton biomass close to the surface. Our results highlight the importance of mescoscale features in structuring the tropical seabird community in the Mozambique Channel, in addition to segregating tropical and non-tropical species. The mechanisms underlying the segregation of tropical seabirds seem to partially differ from that of other tropical regions, and this may be a consequence of the strong local mesoscale activity, affecting prey size and availability schemes. Beyond characterising the foraging habitats of the seabird community of the Mozambique Channel, this study highlights the importance of this region as a hot spot for seabirds; especially the southern part, where several endangered sub-Antarctic species over-winter. (c) 2013 Elsevier Ltd. All rights reserved.</t>
  </si>
  <si>
    <t>[Jaquemet, S.; Le Corre, M.] Univ La Reunion, Lab ECOMAR CNRS FRE3560, F-97744 St Denis 9, France; [Jaquemet, S.] Rhodes Univ, UMR EME 212, IRD IFREMER UM2, Dept Bot, ZA-6140 Grahamstown, South Africa; [Ternon, J. F.] SEMIR, UMR EME 212, IRD IFREMER UM2, F-97420 Le Port, France; [Kaehler, S.] Rhodes Univ, Dept Bot, ZA-6140 Grahamstown, South Africa; [Thiebot, J. B.] CNRS, UPR 1934, Ctr Etud Biol Chize, F-79360 Villiers En Bois, France; [Dyer, B.] Dept Environm Affairs, ZA-8012 Cape Town, South Africa; [Bemanaja, E.] Univ Mahajanga, Inst Biol Appl, Ambondrona, Mahajanga, Madagascar; [Marteau, C.] Terres Australes &amp; Antarctiques Francaises, F-97458 St Pierre, France</t>
  </si>
  <si>
    <t>University of La Reunion; Rhodes University; Ifremer; Institut de Recherche pour le Developpement (IRD); Universite de Montpellier; Rhodes University; Centre National de la Recherche Scientifique (CNRS); Department of Environment, Forestry &amp; Fisheries</t>
  </si>
  <si>
    <t>Jaquemet, S (corresponding author), Univ La Reunion, Lab ECOMAR CNRS FRE3560, 15 Ave Rene Cassin,CS92003, F-97744 St Denis 9, France.</t>
  </si>
  <si>
    <t>sebastien.jaquemet@univ-reunion.fr</t>
  </si>
  <si>
    <t>Ternon, Jean-Francois/0000-0002-1396-8921</t>
  </si>
  <si>
    <t>IRD (UR 109 THETIS); African Coelacanth Ecosystem Project (ACEP); University of Reunion Island (BQR); Agulhas-Somalia Current Large Marine Ecosystems Program (ASCLME); Western Indian Ocean Marine Science Association (WIOMSA) through MESOBIO Masma Grant; French ministry of research and higher education; IRD (UMR 212 EME); Grants-in-Aid for Scientific Research [26840153] Funding Source: KAKEN</t>
  </si>
  <si>
    <t>IRD (UR 109 THETIS); African Coelacanth Ecosystem Project (ACEP); University of Reunion Island (BQR); Agulhas-Somalia Current Large Marine Ecosystems Program (ASCLME); Western Indian Ocean Marine Science Association (WIOMSA) through MESOBIO Masma Grant; French ministry of research and higher education; IRD (UMR 212 EME); Grants-in-Aid for Scientific Research(Ministry of Education, Culture, Sports, Science and Technology, Japan (MEXT)Japan Society for the Promotion of ScienceGrants-in-Aid for Scientific Research (KAKENHI))</t>
  </si>
  <si>
    <t>The different cruises were financially supported by IRD (UR 109 THETIS and UMR 212 EME), the African Coelacanth Ecosystem Project (ACEP), the University of Reunion Island (BQR to SJ), the Agulhas-Somalia Current Large Marine Ecosystems Program (ASCLME) and the Western Indian Ocean Marine Science Association (WIOMSA) through the MESOBIO Masma Grant. Over the period 2001-2004, Sj benefited from a Ph.D. bursary from the French ministry of research and higher education. We thank the officers and crews of the Cap Morgane longliner and La Curieuse, RV Algoa, RV Dr. Fridjof Nansen, and RV Antea. Statistical help from H. Magalon and F. Chiroleu was greatly appreciated. We are grateful to H. Demarcq for providing some of the satellite data.</t>
  </si>
  <si>
    <t>0967-0645</t>
  </si>
  <si>
    <t>1879-0100</t>
  </si>
  <si>
    <t>DEEP-SEA RES PT II</t>
  </si>
  <si>
    <t>Deep-Sea Res. Part II-Top. Stud. Oceanogr.</t>
  </si>
  <si>
    <t>10.1016/j.dsr2.2013.10.027</t>
  </si>
  <si>
    <t>AE1HW</t>
  </si>
  <si>
    <t>WOS:000333721400016</t>
  </si>
  <si>
    <t>Fondi, M; Orlandini, V; Perrin, E; Maida, I; Bosi, E; Papaleo, MC; Michaud, L; Lo Giudice, A; de Pascale, D; Tutino, ML; Liò, P; Fani, R</t>
  </si>
  <si>
    <t>Fondi, Marco; Orlandini, Valerio; Perrin, Elena; Maida, Isabel; Bosi, Emanuele; Papaleo, Maria Cristiana; Michaud, Luigi; Lo Giudice, Angelina; de Pascale, Donatella; Tutino, Maria Luisa; Lio, Pietro; Fani, Renato</t>
  </si>
  <si>
    <t>Draft genomes of three Antarctic Psychrobacter strains producing antimicrobial compounds against Burkholderia cepacia complex, opportunistic human pathogens</t>
  </si>
  <si>
    <t>MARINE GENOMICS</t>
  </si>
  <si>
    <t>Comparative genomics; Antarctic bacteria; Genomics; Burkholderia infections</t>
  </si>
  <si>
    <t>ORTHOLOGS; BACTERIA; DATABASE</t>
  </si>
  <si>
    <t>Herein we present the draft genomes of three Psychrobacter strains isolated from Antarctic sponges and able to inhibit the growth of bacteria belonging to the Burkholderia cepacia complex, responsible for infections of the respiratory system in patients affected by Cystic Fibrosis. The comparative analysis of the annotated genomes of these Psychrobacter strains highlighted their differences in terms of overall genomic content (e.g. shared gene sets) and allowed the identification of gene clusters hypothetically involved in the biosynthesis of antimicrobial compounds. (C) 2013 Elsevier B.V. All rights reserved.</t>
  </si>
  <si>
    <t>[Fondi, Marco; Orlandini, Valerio; Perrin, Elena; Maida, Isabel; Bosi, Emanuele; Papaleo, Maria Cristiana; Fani, Renato] Univ Florence, Dept Biol, Lab Microbial &amp; Mol Evolut, I-50019 Florence, Italy; [Fondi, Marco; Lio, Pietro] Univ Cambridge, Comp Lab, Cambridge, England; [Orlandini, Valerio; de Pascale, Donatella] CNR, Inst Prot Biochem, I-80134 Naples, Italy; [Michaud, Luigi; Lo Giudice, Angelina] Univ Messina, Dept Biol &amp; Environm Sci DiSBA CIBAN, I-98166 Messina, Italy; [Tutino, Maria Luisa] Univ Naples Federico II, Dept Chem Sci, I-80126 Naples, Italy</t>
  </si>
  <si>
    <t>University of Florence; University of Cambridge; Consiglio Nazionale delle Ricerche (CNR); Istituto di Biochimica delle Proteine (IBP-CNR); University of Messina; University of Naples Federico II</t>
  </si>
  <si>
    <t>Fondi, M (corresponding author), Univ Florence, Dept Biol, Lab Microbial &amp; Mol Evolut, Via Madonna del Piano 6, I-50019 Florence, Italy.</t>
  </si>
  <si>
    <t>marco.fondi@unifi.it</t>
  </si>
  <si>
    <t>P. Lió, Pietro Lio/AAV-3358-2021; Perrin, Elena/AAX-2762-2020; TUTINO, MARIA LUISA/L-1834-2013</t>
  </si>
  <si>
    <t>P. Lió, Pietro Lio/0000-0002-0540-5053; Perrin, Elena/0000-0001-5148-3178; Fondi, Marco/0000-0001-9291-5467; Tutino, Maria Luisa/0000-0002-4978-6839; Orlandini, Valerio/0000-0002-6857-5471; Bosi, Emanuele/0000-0002-4769-8667; de Pascale, Donatella/0000-0002-6732-0901</t>
  </si>
  <si>
    <t>FEMS advanced fellowship (FAF); Italian Cystic Fibrosis Research foundation [FFC#12/2011]; Ente Cassa di Risparmio di Firenze [1103#2008]; MNA (Museo Nazionale dell'Antartide); EU KBBE Project PharmaSea [312184]</t>
  </si>
  <si>
    <t>FEMS advanced fellowship (FAF); Italian Cystic Fibrosis Research foundation(Ministry of Health, ItalyItalian Cystic Fibrosis Research Foundation); Ente Cassa di Risparmio di Firenze(Fondazione Cassa Risparmio Firenze); MNA (Museo Nazionale dell'Antartide); EU KBBE Project PharmaSea</t>
  </si>
  <si>
    <t>Marco Fondi is financially supported by a FEMS advanced fellowship (FAF 2012). This work was supported by grants from the Italian Cystic Fibrosis Research foundation (Grant FFC#12/2011), the Ente Cassa di Risparmio di Firenze (Grant 1103#2008), and the MNA (Museo Nazionale dell'Antartide). We also thank the EU KBBE Project PharmaSea 2012-2016, Grant Agreement no: 312184. Valerio Orlandini is financially supported by the EU KBBE Project PharmaSea 2012-2016, Grant Agreement no: 312184.</t>
  </si>
  <si>
    <t>1874-7787</t>
  </si>
  <si>
    <t>1876-7478</t>
  </si>
  <si>
    <t>MAR GENOM</t>
  </si>
  <si>
    <t>Mar. Genom.</t>
  </si>
  <si>
    <t>10.1016/j.margen.2013.12.009</t>
  </si>
  <si>
    <t>Genetics &amp; Heredity; Marine &amp; Freshwater Biology</t>
  </si>
  <si>
    <t>AD8JM</t>
  </si>
  <si>
    <t>WOS:000333512300010</t>
  </si>
  <si>
    <t>Lorenzini, S; Baroni, C; Baneschi, I; Salvatore, MC; Fallick, AE; Hall, BL</t>
  </si>
  <si>
    <t>Lorenzini, Sandra; Baroni, Carlo; Baneschi, Ilaria; Salvatore, Maria Cristina; Fallick, Anthony E.; Hall, Brenda L.</t>
  </si>
  <si>
    <t>Adelie penguin dietary remains reveal Holocene environmental changes in the western Ross Sea (Antarctica)</t>
  </si>
  <si>
    <t>Adelie penguin; Omithogenic soil; Stable isotope; Paleoenvironment; Paleoceanography</t>
  </si>
  <si>
    <t>TERRA-NOVA BAY; PARTICULATE ORGANIC-MATTER; STABLE-ISOTOPE RATIOS; MARINE FOOD-WEB; VICTORIA LAND; TROPHIC RELATIONSHIPS; FORAGING AREAS; ANCIENT-DNA; DELTA-C-13; CARBON</t>
  </si>
  <si>
    <t>Carbon and nitrogen stable isotope analyses were performed on modern and Holocene Adelie penguin guano samples collected from ornithogenic soils along the Scott Coast (Southern Victoria Land, Antarctica), from Cape Irizar to Dunlop Island, and at Cape Bird (Ross Island). Guano samples also were sieved and sorted under stereomicroscope in order to select penguin dietary remains, such as fish bones and otoliths. Carbon and nitrogen stable isotope composition, coupled with the taxonomic identification of fish otoliths from Scott Coast Holocene samples, indicated a mainly fish-based diet for this area, with Pleuragramma antarcticum as the most eaten prey throughout the investigated period (from 390 cal BP to ca 7300 cal BP). The isotopic values of Ross Island samples (from modern to 3850 cal BP) showed a krill consumption increase in the samples younger than 2000 cal BP, with the maximum in modern samples. Scott Coast and Ross Island Holocene samples showed delta C-13 and delta N-15 trends similar to those previously published from Terra Nova Bay (northern Victoria Land), whereas modem samples from Ross Island have similar delta N-15 composition but different delta C-13 values. This delta C-13 divergence started at ca 2000 BP and follows the abandonment of the Scott Coast colonies. The delta C-13 trend observed in Ross Island and Terra Nova Bay samples and the abandonment of the Scott Coast colonies could suggest the stability and the persistence of the previous oceanographic conditions (i.e. polynya) for the Terra Nova Bay area and the establishment of new conditions for water circulation in the Southern Ross Sea since similar to 2000 BP when persistent sea-ice sealed the Scott Coast. (c) 2013 Elsevier B.V. All rights reserved.</t>
  </si>
  <si>
    <t>[Lorenzini, Sandra; Baroni, Carlo; Salvatore, Maria Cristina] Univ Pisa, Dipartimento Sci Terra, I-56126 Pisa, Italy; [Baroni, Carlo; Baneschi, Ilaria] CNR, Ist Geosci &amp; Georisorse, I-56124 Pisa, Italy; [Fallick, Anthony E.] Scottish Univ Environm Res Ctr, E Kilbride G75 0QF, Lanark, Scotland; [Hall, Brenda L.] Univ Maine, Sch Earth &amp; Climate Sci, Orono, ME 04469 USA; [Hall, Brenda L.] Univ Maine, Climate Change Inst, Orono, ME 04469 USA</t>
  </si>
  <si>
    <t>University of Pisa; Consiglio Nazionale delle Ricerche (CNR); Istituto di Geoscienze e Georisorse (IGG-CNR); Scottish Universities Research &amp; Reactor Center; University of Maine System; University of Maine Orono; University of Maine System; University of Maine Orono</t>
  </si>
  <si>
    <t>Lorenzini, S (corresponding author), Univ Pisa, Dipartimento Sci Terra, Via S Maria 53, I-56126 Pisa, Italy.</t>
  </si>
  <si>
    <t>lorenzini@dst.unipi.it</t>
  </si>
  <si>
    <t>Baneschi, Ilaria/AAC-1935-2021; Salvatore, Maria Cristina/AAS-4000-2020; Baroni, Carlo/D-8184-2012</t>
  </si>
  <si>
    <t>Baneschi, Ilaria/0000-0001-6924-1599; Salvatore, Maria Cristina/0000-0002-1590-7284; Baroni, Carlo/0000-0001-5905-4650; Fallick, Anthony/0000-0002-7649-6167</t>
  </si>
  <si>
    <t>Italian National Program on Antarctic Research (PNRA); US National Science Foundation (NSF)</t>
  </si>
  <si>
    <t>Italian National Program on Antarctic Research (PNRA)(Ministry of Education, Universities and Research (MIUR)); US National Science Foundation (NSF)(National Science Foundation (NSF))</t>
  </si>
  <si>
    <t>This work was funded by the financial support of the Italian National Program on Antarctic Research (PNRA) and executed in the framework of the PNRA and the US National Science Foundation (NSF). Isotopic analyses were performed at the IGG-CNR of Pisa (Italy). New radiocarbon dates on penguin remains used in this work were performed at the National Ocean Sciences Accelerator Mass Spectrometry Facility (NOSAMS) at the Woods Hole Oceanographic Institution (USA).</t>
  </si>
  <si>
    <t>FEB 1</t>
  </si>
  <si>
    <t>10.1016/j.palaeo.2013.12.014</t>
  </si>
  <si>
    <t>AD8CR</t>
  </si>
  <si>
    <t>WOS:000333494600003</t>
  </si>
  <si>
    <t>Lebedev, GA; Fedotov, VI; Cherepanov, NV</t>
  </si>
  <si>
    <t>Lebedev, G. A.; Fedotov, V. I.; Cherepanov, N. V.</t>
  </si>
  <si>
    <t>Significance of sea water supercooling and intrawater ice generation for the formation of water mass and ice cover in the East Siberian and Chukchi seas</t>
  </si>
  <si>
    <t>RUSSIAN METEOROLOGY AND HYDROLOGY</t>
  </si>
  <si>
    <t>Considered is a case study for the East Siberian and Chukchi seas on the significance of the super cooled water and intrawater ice crystals for the formation of the ice cover structure. Given are the brief hydro meteorological description of the region under consideration and the description of ice conditions in the seas depending on the coming of heavy Arc tic ice from the north. It is noted that the intensity of the cooling of the surface water layer in autumn-winter time will in crease due to the de crease in the ice cover age of the seas in the case of the further in crease in the ice-free area. This will result in the supercooling of the surface water layer on the large territory and will cause the intensive formation of frazil ice. The accumulation of intrawater (frazil) ice crystals with their possible freezing into solid mass is inevitable in local areas at the new regular contact with supercooled water that favors the in crease in the total thick ness of the ice cover. It is also revealed that super cooled water initiates the freezing (consolidation) of detritus in ice hum mocks and coastal stamukhas. It is demonstrated that supercooling of water in the seas under consideration in autumn and winter takes place through out the shelf zone to the bottom on large areas, but due to lower salinity, the density of this water is in sufficient for taking part in the formation of deep water layers. Therefore, the water of the shelf zone of these seas influences the formation of surface Arctic water only. This distinguishes consider ably the studied processes from those ob served in Antarctic water.</t>
  </si>
  <si>
    <t>[Lebedev, G. A.; Fedotov, V. I.; Cherepanov, N. V.] Arctic &amp; Antarctic Res Inst, St Petersburg 199397, Russia</t>
  </si>
  <si>
    <t>Lebedev, GA (corresponding author), Arctic &amp; Antarctic Res Inst, Ul Beringa 38, St Petersburg 199397, Russia.</t>
  </si>
  <si>
    <t>lebedev@aari.nw.ru</t>
  </si>
  <si>
    <t>ALLERTON PRESS INC</t>
  </si>
  <si>
    <t>18 WEST 27TH ST, NEW YORK, NY 10001 USA</t>
  </si>
  <si>
    <t>1068-3739</t>
  </si>
  <si>
    <t>1934-8096</t>
  </si>
  <si>
    <t>RUSS METEOROL HYDRO+</t>
  </si>
  <si>
    <t>Russ. Meteorol. Hydrol.</t>
  </si>
  <si>
    <t>10.3103/S1068373914020046</t>
  </si>
  <si>
    <t>AD8RY</t>
  </si>
  <si>
    <t>WOS:000333534500004</t>
  </si>
  <si>
    <t>Fripiat, F; Sigman, DM; Fawcett, SE; Rafter, PA; Weigand, MA; Tison, JL</t>
  </si>
  <si>
    <t>Fripiat, F.; Sigman, D. M.; Fawcett, S. E.; Rafter, P. A.; Weigand, M. A.; Tison, J. -L.</t>
  </si>
  <si>
    <t>New insights into sea ice nitrogen biogeochemical dynamics from the nitrogen isotopes</t>
  </si>
  <si>
    <t>sea ice; nitrogen; isotopes; Antarctic; nitrification; paleoceanography</t>
  </si>
  <si>
    <t>DISSOLVED ORGANIC-MATTER; ADELIE LAND ANTARCTICA; WESTERN WEDDELL SEA; SOUTHERN-OCEAN; OXYGEN ISOTOPES; HIGH-RESOLUTION; ARCTIC-OCEAN; FRESH-WATER; NITRATE; FRACTIONATION</t>
  </si>
  <si>
    <t>We report nitrogen (N) isotopic measurements of nitrate, total dissolved nitrogen, and particulate nitrogen from Antarctic pack ice in early and late spring. Salinity-normalized concentrations of total fixed N are approximately twofold higher than in seawater, indicating that sea ice exchanges fixed N with seawater after its formation. The production of low-N-15 immobile organic matter by partial nitrate assimilation and the subsequent loss of high-N-15 nitrate during brine convection lowers the N-15 of total fixed N relative to the winter-supplied nitrate. The effect of incomplete nitrate consumption in sea ice is thus similar to that in the summertime surface ocean, but the degree of nitrate consumption is greater in ice, leading to a higher N-15 for organic N (similar to 3.9) than in the open Antarctic Zone (similar to 0.6). Relative to previous findings of very high-N-15 organic matter in sea ice (up to 41), this study indicates that it would be difficult for sea ice to explain the high N-15 of ice age Antarctic sediments. The partitioning of N isotopes between particulate and dissolved forms of reduced N suggests that primary production evolved from new to regenerated production from early to late spring. Even though nitrate assimilation raises the N-15 of nitrate, the N-15 of sea ice nitrate is frequently lower than that of seawater, providing direct evidence that the regeneration of reduced N in the ice includes nitrification, with mass and isotopic balances suggesting that nitrification supplies a substantial fraction (up to similar to 70%) of nitrate assimilated within Antarctic spring sea ice.</t>
  </si>
  <si>
    <t>[Fripiat, F.; Tison, J. -L.] Univ Libre Bruxelles, Dept Earth &amp; Environm Sci, Brussels, Belgium; [Fripiat, F.; Sigman, D. M.; Fawcett, S. E.; Rafter, P. A.; Weigand, M. A.] Princeton Univ, Dept Geosci, Princeton, NJ 08544 USA</t>
  </si>
  <si>
    <t>Universite Libre de Bruxelles; Princeton University</t>
  </si>
  <si>
    <t>Fripiat, F (corresponding author), Vrije Univ Brussel, Brussels, Belgium.</t>
  </si>
  <si>
    <t>ffripiat@ulb.ac.be</t>
  </si>
  <si>
    <t>Sigman, Daniel M./IYJ-2613-2023; Fripiat, François/ABB-8918-2021; Rafter, Patrick A/I-3301-2012; Sigman, Daniel M./A-2649-2008; Tison, Jean-Louis/F-4065-2015</t>
  </si>
  <si>
    <t>Sigman, Daniel M./0000-0002-7923-1973; Fripiat, Francois/0000-0002-2591-6301; Fawcett, Sarah/0000-0002-0878-6496; Tison, Jean-Louis/0000-0002-9758-3454</t>
  </si>
  <si>
    <t>Communaute Francaise de Belgique (SIBClim project, ARC) [02/07-287]; Belgian Science policy (BIGSOUTH network of SPSDIII) [SD/CA/05A]; U.S. NSF [OPP-0453680]; Grand Challenges Program at Princeton University</t>
  </si>
  <si>
    <t>Communaute Francaise de Belgique (SIBClim project, ARC); Belgian Science policy (BIGSOUTH network of SPSDIII); U.S. NSF(National Science Foundation (NSF)); Grand Challenges Program at Princeton University(Princeton University)</t>
  </si>
  <si>
    <t>Our warm thanks go to the officers and crews of the RVIB Nathaniel B. Palmer (SIMBA) and RV Polarstern (ISPOL), as well to the chief scientists, respectively, C. Haas and S. Ackley. We are also grateful to S. Oleynik for the management of the GC/IRMS laboratory at Princeton University; to S. El Amri (ULB) for her help in sample processing. This research was supported by the Communaute Francaise de Belgique (SIBClim project, ARC contract 02/07-287), the Belgian Science policy (BIGSOUTH network, SD/CA/05A of SPSDIII, Support Plan for Sustainable Development), the U.S. NSF through grant OPP-0453680, and by the Grand Challenges Program at Princeton University. Francois Fripiat was and is a postdoctoral fellow with the Fonds National de la Recherche Scientifique (FNRS, Belgium) and Fonds Wetenschappelijk Onderzoek (FWO, Belgium), respectively.</t>
  </si>
  <si>
    <t>10.1002/2013GB004729</t>
  </si>
  <si>
    <t>AD1SP</t>
  </si>
  <si>
    <t>WOS:000333014200004</t>
  </si>
  <si>
    <t>Smellie, JL; Rocchi, S; Wilch, TI; Gemelli, M; Di Vincenzo, G; McIntosh, W; Dunbar, N; Panter, K; Fargo, A</t>
  </si>
  <si>
    <t>Smellie, John L.; Rocchi, Sergio; Wilch, Thomas I.; Gemelli, Maurizio; Di Vincenzo, Gianfranco; McIntosh, William; Dunbar, Nelia; Panter, Kurt; Fargo, Andrew</t>
  </si>
  <si>
    <t>Glaciovolcanic evidence for a polythermal Neogene East Antarctic Ice Sheet (vol 42, pg 39, 2013)</t>
  </si>
  <si>
    <t>Dunbar, Nelia W./HZL-8693-2023; Panter, Kurt S/B-4486-2010; Gemelli, Maurizio/F-6244-2013</t>
  </si>
  <si>
    <t>Dunbar, Nelia W./0000-0002-5181-937X; Gemelli, Maurizio/0000-0001-5621-0339</t>
  </si>
  <si>
    <t>AD4TO</t>
  </si>
  <si>
    <t>WOS:000333243700018</t>
  </si>
  <si>
    <t>Sasaki, M; Amano, Y; Hayakawa, D; Tsubota, T; Ishikawa, H; Mogoe, T; Ohsumi, S; Tetsuka, M; Miyamoto, A; Fukui, Y; Budipitojo, T; Kitamura, N</t>
  </si>
  <si>
    <t>Sasaki, Motoki; Amano, Yoko; Hayakawa, Daisuke; Tsubota, Toshio; Ishikawa, Hajime; Mogoe, Toshihiro; Ohsumi, Seiji; Tetsuka, Masafumi; Miyamoto, Akio; Fukui, Yutaka; Budipitojo, Teguh; Kitamura, Nobuo</t>
  </si>
  <si>
    <t>Areolae of the Placenta in the Antarctic Minke Whale (Balaenoptera bonaerensis)</t>
  </si>
  <si>
    <t>JOURNAL OF REPRODUCTION AND DEVELOPMENT</t>
  </si>
  <si>
    <t>Antarctic minke whale; Areola; Balaenoptera bonaerensis; Placenta; Steroidogenesis</t>
  </si>
  <si>
    <t>PORCINE PLACENTA; PIG; ULTRASTRUCTURE</t>
  </si>
  <si>
    <t>In this study, we examined the existence and structure of areolae and the steroidogenesis of areolar trophoblast cells in the Antarctic minke whale placenta morphologically and immunohistochemically. Placentas were collected from the 15th, 16th and 18th Japanese Whale Research Program under Special Permit in the Antarctic (JARPA) and 1st JARPA II organized by the Institute of Cetacean Research in Tokyo, Japan. The opening and cavity of fetal areolae formed by taller columnar trophoblast cells (areolar trophoblast cells) with long microvilli and a bright cytoplasm, as compared with the trophoblast cells of the chorionic villi interdigitating with the endometrial crypts, were recognized in observations of serial sections. The opening of the areolar cavity was hidden by chorionic villi with areolar trophoblast cells. Furthermore, a closed pouch-like structure lined by tall columnar cells similar to areolar trophoblast cells within the stroma of chorionic villi was noticed and continued to the areolar cavity, with the opening seen on serial sections. In a surface investigation of the chorion and endometrium by SEM, maternal (endometrial) areolae irregularly surrounded by endometrial folds were obvious. Moreover, we distinguished areolar trophoblast cells with long microvilli attached with many blebs from trophoblast cells. In our immunohistochemical observations, a steroidogenic enzyme, cytochrome P450 side chain cleavage enzyme (P450scc), was detected with strong immunoreactivity in trophoblast cells. However, areolar trophoblast cells showed weak or no immunoreactivity for P450scc.</t>
  </si>
  <si>
    <t>[Sasaki, Motoki; Amano, Yoko; Hayakawa, Daisuke; Kitamura, Nobuo] Obihiro Univ Agr &amp; Vet Med, Dept Basic Vet Med, Lab Vet Anat, Obihiro, Hokkaido 0808555, Japan; [Sasaki, Motoki; Hayakawa, Daisuke; Kitamura, Nobuo] Gifu Univ, United Grad Sch Vet Med, Gifu 5011193, Japan; [Tsubota, Toshio] Hokkaido Univ, Lab Wildlife Biol &amp; Med, Dept Environm Vet Sci, Grad Sch Vet Med, Sapporo, Hokkaido 0600818, Japan; [Ishikawa, Hajime; Mogoe, Toshihiro; Ohsumi, Seiji] Inst Cetacean Res, Tokyo 1040055, Japan; [Tetsuka, Masafumi; Fukui, Yutaka] Obihiro Univ Agr &amp; Vet Med, Dept Life Sci &amp; Agr, Obihiro, Hokkaido 0808555, Japan; [Miyamoto, Akio] Obihiro Univ Agr &amp; Vet Med, Dept Anim &amp; Food Hyg, Obihiro, Hokkaido 0808555, Japan; [Budipitojo, Teguh] Gadjah Mada Univ, Fac Vet Med, Yogyakarta 55281, Indonesia</t>
  </si>
  <si>
    <t>Obihiro University of Agriculture &amp; Veterinary Medicine; Gifu University; Hokkaido University; Obihiro University of Agriculture &amp; Veterinary Medicine; Obihiro University of Agriculture &amp; Veterinary Medicine; Gadjah Mada University</t>
  </si>
  <si>
    <t>Sasaki, M (corresponding author), Obihiro Univ Agr &amp; Vet Med, Dept Basic Vet Med, Lab Vet Anat, Obihiro, Hokkaido 0808555, Japan.</t>
  </si>
  <si>
    <t>sasakim@obihiro.ac.jp</t>
  </si>
  <si>
    <t>Budipitojo, Teguh/0000-0003-1464-1602</t>
  </si>
  <si>
    <t>Ministry of Education, Culture, Sports, Science and Technology of Japan [13575026, 23570103]; Grants-in-Aid for Scientific Research [23570103, 13575026] Funding Source: KAKEN</t>
  </si>
  <si>
    <t>Ministry of Education, Culture, Sports, Science and Technology of Japan(Ministry of Education, Culture, Sports, Science and Technology, Japan (MEXT)); Grants-in-Aid for Scientific Research(Ministry of Education, Culture, Sports, Science and Technology, Japan (MEXT)Japan Society for the Promotion of ScienceGrants-in-Aid for Scientific Research (KAKENHI))</t>
  </si>
  <si>
    <t>This study was financially supported in part by Grants-in-Aid for Scientific Research (No. 13575026, No. 23570103) from the Ministry of Education, Culture, Sports, Science and Technology of Japan.</t>
  </si>
  <si>
    <t>SOCIETY REPRODUCTION &amp; DEVELOPMENT-SRD</t>
  </si>
  <si>
    <t>TSUKUBA</t>
  </si>
  <si>
    <t>C/O KAZUHIRO KIKUCHI, PHD DVM, NATL INST AGROBIOLOGICAL SCIENCES KANNONDAI 2-1-2, TSUKUBA, IBARAKI 305-8602, JAPAN</t>
  </si>
  <si>
    <t>0916-8818</t>
  </si>
  <si>
    <t>J REPROD DEVELOP</t>
  </si>
  <si>
    <t>J. Reprod. Dev.</t>
  </si>
  <si>
    <t>10.1262/jrd.2013-063</t>
  </si>
  <si>
    <t>Agriculture, Dairy &amp; Animal Science; Reproductive Biology</t>
  </si>
  <si>
    <t>Agriculture; Reproductive Biology</t>
  </si>
  <si>
    <t>AC3QU</t>
  </si>
  <si>
    <t>WOS:000332437100010</t>
  </si>
  <si>
    <t>Xiao, N; Hanada, Y; Seki, H; Kondo, H; Tsuda, S; Hoshino, T</t>
  </si>
  <si>
    <t>Xiao, Nan; Hanada, Yuichi; Seki, Haruhiko; Kondo, Hidemasa; Tsuda, Sakae; Hoshino, Tamotsu</t>
  </si>
  <si>
    <t>Annealing condition influences thermal hysteresis of fungal type ice-binding proteins</t>
  </si>
  <si>
    <t>CRYOBIOLOGY</t>
  </si>
  <si>
    <t>Adaptation; Alga; Basidiomycete; Environmental condition; Frost resistance</t>
  </si>
  <si>
    <t>ANTIFREEZE PROTEINS; DIATOMS; INHIBITION; GROWTH</t>
  </si>
  <si>
    <t>The Antarctic sea ice diatom Navicular glaciei produced ice-binding protein (NagIBP) that is similar to the antifreeze protein (TisAFP) from snow mold Typhula ishikariensis. In the thermal hysteresis range of NagIBP, ice growth was completely inhibited. At the freezing point, the ice grew in a burst to 6 direction perdicular to the c-axis of ice crystal. This burst pattern is similar to TisAFP and other hyperactive AFPs. The thermal hysteresis of NagIBP and TisAFP could be increased by decreasing a cooling rate to allow more time for the proteins to bind ice. This suggests the possible second binding of proteins occurs on the ice surface, which might increase the hysteresises to a sufficient level to prevent freezing of the brine pockets which habitat of N. glaciei. The secondary ice binding was described as that after AFP molecules bind onto the flat ice plane irreversibly, which was based on adsorption-inhibition mechanism model at the ice-water interface, convex ice front was formed and overgrew during normal TH measurement (no annealing) until uncontrolled growth at the nonequilibrium freezing point. The results suggested that NagIBP is a hyperactive AFP that is expressed for freezing avoidance. (C) 2013 Elsevier Inc. All rights reserved.</t>
  </si>
  <si>
    <t>[Xiao, Nan; Hanada, Yuichi; Seki, Haruhiko; Kondo, Hidemasa; Tsuda, Sakae; Hoshino, Tamotsu] Hokkaido Univ, Grad Sch Life Sci, Kita Ku, Sapporo, Hokkaido 0600810, Japan; [Kondo, Hidemasa; Tsuda, Sakae; Hoshino, Tamotsu] Natl Inst Adv Ind Sci &amp; Technol, Bioprod Res Inst, Toyohira Ku, Sapporo, Hokkaido 0628517, Japan</t>
  </si>
  <si>
    <t>Hokkaido University; National Institute of Advanced Industrial Science &amp; Technology (AIST)</t>
  </si>
  <si>
    <t>Hoshino, T (corresponding author), Natl Inst Adv Ind Sci &amp; Technol, BRRC, Kagamiyama 3-11-32, Higashihiroshima 7390046, Japan.</t>
  </si>
  <si>
    <t>tamotsu.hoshino@aist.go.jp</t>
  </si>
  <si>
    <t>HOSHINO, Tamotsu/R-2959-2019; Hoshino, Tamotsu/F-3357-2017; Xiao, Nan/ABB-6344-2020; Kondo, Hidemasa/M-7465-2018; Tsuda, Sakae/M-2756-2018</t>
  </si>
  <si>
    <t>Kondo, Hidemasa/0000-0003-2799-1775; Tsuda, Sakae/0000-0002-1399-0619</t>
  </si>
  <si>
    <t>AIST, Japan; Grants-in-Aid for Scientific Research [23310171] Funding Source: KAKEN</t>
  </si>
  <si>
    <t>AIST, Japan; Grants-in-Aid for Scientific Research(Ministry of Education, Culture, Sports, Science and Technology, Japan (MEXT)Japan Society for the Promotion of ScienceGrants-in-Aid for Scientific Research (KAKENHI))</t>
  </si>
  <si>
    <t>This study supported by AIST, Japan.</t>
  </si>
  <si>
    <t>ACADEMIC PRESS INC ELSEVIER SCIENCE</t>
  </si>
  <si>
    <t>SAN DIEGO</t>
  </si>
  <si>
    <t>525 B ST, STE 1900, SAN DIEGO, CA 92101-4495 USA</t>
  </si>
  <si>
    <t>0011-2240</t>
  </si>
  <si>
    <t>1090-2392</t>
  </si>
  <si>
    <t>Cryobiology</t>
  </si>
  <si>
    <t>10.1016/j.cryobiol.2013.10.008</t>
  </si>
  <si>
    <t>Biology; Physiology</t>
  </si>
  <si>
    <t>Life Sciences &amp; Biomedicine - Other Topics; Physiology</t>
  </si>
  <si>
    <t>AC0MT</t>
  </si>
  <si>
    <t>WOS:000332190100024</t>
  </si>
  <si>
    <t>Stevens, MH; Lossow, S; Siskind, DE; Meier, RR; Randall, CE; Russell, JM; Urban, J; Murtagh, D</t>
  </si>
  <si>
    <t>Stevens, Michael H.; Lossow, Stefan; Siskind, David E.; Meier, R. R.; Randall, Cora E.; Russell, James M., III; Urban, Jo; Murtagh, Donal</t>
  </si>
  <si>
    <t>Space shuttle exhaust plumes in the lower thermosphere: Advective transport and diffusive spreading</t>
  </si>
  <si>
    <t>Space shuttle exhaust; Lower thermosphere; Atmospheric dynamics; Polar mesospheric clouds</t>
  </si>
  <si>
    <t>POLAR MESOSPHERIC CLOUDS; WATER-VAPOR; ODIN SATELLITE; RETRIEVAL; SUMMER; SABER; MASS</t>
  </si>
  <si>
    <t>The space shuttle main engine plume deposited between 100 and 115 km altitude is a valuable tracer for global-scale dynamical processes. Several studies have shown that this plume can reach the Arctic or Antarctic to form bursts of polar mesospheric clouds (PMCs) within a few days. The rapid transport of the shuttle plume is currently not reproduced by general circulation models and is not well understood. To help delineate the issues, we present the complete satellite datasets of shuttle plume observations by the Sounding of the Atmosphere using Broadband Emission Radiometry instrument and the Sub-Millimeter Radiometer instrument. From 2002 to 2011 these two instruments observed 27 shuttle plumes in over 600 limb scans of water vapor emission, from which we derive both advective meridional transport and diffusive spreading. Each plume is deposited at virtually the same place off the United States east coast so our results are relevant to northern mid-latitudes. We find that the advective transport for the first 6-18 h following deposition depends on the local time (LT) of launch: shuttle plumes deposited later in the day (similar to 13-22 LT) typically move south whereas they otherwise typically move north. For these younger plumes rapid transport is most favorable for launches at 6 and 18 LT, when the displacement is 100 in latitude corresponding to an average wind speed of 30 m/s. For plumes between 18 and 30 h old some show average sustained meridional speeds of 30 m/s. For plumes between 30 and 54 h old the observations suggest a seasonal dependence to the meridional transport, peaking near the beginning of year at 24 m/s. The diffusive spreading of the plume superimposed on the transport is on average 23 m/s in 24 h. The plume observations show large variations in both meridional transport and diffusive spreading so that accurate modeling requires knowledge of the winds specific to each case. The combination of transport and spreading from the STS-118 plume in August 2007 formed bright PMCs between 75 and 85 degrees N a day after launch. These are the highest latitude Arctic PMCs formed by shuttle exhaust reported to date. Published by Elsevier Ltd.</t>
  </si>
  <si>
    <t>[Stevens, Michael H.; Siskind, David E.] Naval Res Lab, Div Space Sci, Washington, DC 20375 USA; [Lossow, Stefan] Karlsruhe Inst Technol, Inst Meteorol &amp; Climate Res, Leopoldshafen, Germany; [Meier, R. R.] George Mason Univ, Sch Phys Astron &amp; Computat Sci, Fairfax, VA 22030 USA; [Randall, Cora E.] Univ Colorado, Atmospher &amp; Space Phys Lab, Boulder, CO 80309 USA; [Randall, Cora E.] Univ Colorado, Dept Atmospher &amp; Ocean Sci, Boulder, CO 80309 USA; [Russell, James M., III] Hampton Univ, Ctr Atmospher Sci, Hampton, VA 23668 USA; [Lossow, Stefan; Urban, Jo; Murtagh, Donal] Chalmers, Dept Earth &amp; Space Sci, S-41296 Gothenburg, Sweden</t>
  </si>
  <si>
    <t>United States Department of Defense; United States Navy; Naval Research Laboratory; Helmholtz Association; Karlsruhe Institute of Technology; George Mason University; University of Colorado System; University of Colorado Boulder; University of Colorado System; University of Colorado Boulder; Hampton University; Chalmers University of Technology</t>
  </si>
  <si>
    <t>Stevens, MH (corresponding author), Naval Res Lab, Div Space Sci, Washington, DC 20375 USA.</t>
  </si>
  <si>
    <t>michael.stevens@nrl.navy.mil</t>
  </si>
  <si>
    <t>Urban, Jo/F-9172-2010; Siskind, David/GOK-1398-2022; Meier, Robert/G-4749-2014; RANDALL, CORA/L-8760-2014; /F-8694-2011</t>
  </si>
  <si>
    <t>Urban, Jo/0000-0001-7026-793X; Lossow, Stefan/0000-0003-2833-0522; Stevens, Michael/0000-0003-1082-8955; Meier, Robert/0000-0001-8497-7115; RANDALL, CORA/0000-0002-4313-4397; /0000-0003-1539-3559</t>
  </si>
  <si>
    <t>AIM mission through NASA's Small Explorers Program [NAS5-03132]; Office of Naval Research; NASA TIMED/GUVI project; Civil Service Civel Service Retirement System; Swedish National Space Board (SNSB); Canadian Space Agency (CSA); National Technology Agency of Finland (Tekes); Centre National d'Etudes Spatiales (CNES) in France</t>
  </si>
  <si>
    <t>AIM mission through NASA's Small Explorers Program; Office of Naval Research(Office of Naval Research); NASA TIMED/GUVI project; Civil Service Civel Service Retirement System; Swedish National Space Board (SNSB); Canadian Space Agency (CSA)(Canadian Space Agency); National Technology Agency of Finland (Tekes)(Finnish Funding Agency for Technology &amp; Innovation (TEKES)); Centre National d'Etudes Spatiales (CNES) in France(Centre National D'etudes Spatiales)</t>
  </si>
  <si>
    <t>Funding for this work was provided by the AIM mission through NASA's Small Explorers Program under contract NAS5-03132 and the Office of Naval Research. RRM thanks the NASA TIMED/GUVI project and the Civil Service Civel Service Retirement System for support. Odin is a Swedish-led satellite project funded jointly by the Swedish National Space Board (SNSB), the Canadian Space Agency (CSA), the National Technology Agency of Finland (Tekes), and the Centre National d'Etudes Spatiales (CNES) in France. The Swedish Space Corporation has been the industrial prime constructor. Since April 2007, Odin is a third-party mission of the European Space Agency (ESA). We thank Andrew J. Kochenash for assistance with the SABER data and John M.C. Plane for valuable discussions on shuttle plume diffusion.</t>
  </si>
  <si>
    <t>10.1016/j.jastp.2013.12.004</t>
  </si>
  <si>
    <t>AB3IQ</t>
  </si>
  <si>
    <t>WOS:000331684900006</t>
  </si>
  <si>
    <t>Amsler, CD; McClintock, JB; Baker, BJ</t>
  </si>
  <si>
    <t>Amsler, Charles D.; McClintock, James B.; Baker, Bill J.</t>
  </si>
  <si>
    <t>CHEMICAL MEDIATION OF MUTUALISTIC INTERACTIONS BETWEEN MACROALGAE AND MESOGRAZERS STRUCTURE UNIQUE COASTAL COMMUNITIES ALONG THE WESTERN ANTARCTIC PENINSULA</t>
  </si>
  <si>
    <t>Amphipods; Antarctica; chemical ecology; endophytes; macroalgae; mesograzers; mutualism; predation; symbiosis</t>
  </si>
  <si>
    <t>FISH NOTOTHENIA-CORIICEPS; SOUTH SHETLAND ISLANDS; KING-GEORGE ISLAND; HERBIVORE INTERACTIONS; TROPHIC RELATIONSHIPS; GEOGRAPHIC-VARIATION; INFECTIOUS-DISEASES; SUBTIDAL MACROALGAE; FEEDING PREFERENCE; DANCO COAST</t>
  </si>
  <si>
    <t>Hard bottom communities along the western Antarctic Peninsula region are dominated by thick macroalgal forests, which support high densities of mesograzers, particularly amphipods, and also numerous gastropods. The macroalgae are chemically defended from consumption by the mesograzers and other herbivores and they provide the mesograzers a chemically defended refuge from predation by omnivorous fish. The macroalgae benefit in return because the mesograzers remove epiphytic algae from them. Since these two assemblages are major components of the community, this can be viewed as a community-wide mutualism. Most subcomponents of these interactions have also been documented in lower latitude communities and the similarities and differences between the communities in Antarctica and in other regions are discussed.</t>
  </si>
  <si>
    <t>[Amsler, Charles D.; McClintock, James B.] Univ Alabama Birmingham, Dept Biol, Birmingham, AL 35294 USA; [Baker, Bill J.] Univ S Florida, Dept Chem, Tampa, FL 33620 USA</t>
  </si>
  <si>
    <t>University of Alabama System; University of Alabama Birmingham; State University System of Florida; University of South Florida</t>
  </si>
  <si>
    <t>Amsler, CD (corresponding author), Univ Alabama Birmingham, Dept Biol, Birmingham, AL 35294 USA.</t>
  </si>
  <si>
    <t>amsler@uab.edu</t>
  </si>
  <si>
    <t>Baker, Bill/N-4312-2019</t>
  </si>
  <si>
    <t>Amsler, Charles/0000-0002-4843-3759</t>
  </si>
  <si>
    <t>National Science Foundation awards from the Antarctic Organisms and Ecosystems program [OPP-9814538, OPP-9901076, OPP-0125152, OPP-0125181, OPP-0442769, OPP-0442857, ANT-0838773, ANT-0838776]</t>
  </si>
  <si>
    <t>National Science Foundation awards from the Antarctic Organisms and Ecosystems program(National Science Foundation (NSF)NSF - Directorate for Geosciences (GEO))</t>
  </si>
  <si>
    <t>We are grateful to all our past field team members who have contributed to our work in Antarctica. We thank M. Amsler for also providing constructive comments on earlier versions of the manuscript in addition to help in the field and laboratory and we thank two anonymous reviewers for comments that improved the final version. Our group's work would also not have been possible without the outstanding support in Antarctica provided by the employees and subcontractors of Raytheon Polar Services Company. Our research on the WAP has been supported by National Science Foundation awards OPP-9814538, OPP-9901076, OPP-0125152, OPP-0125181, OPP-0442769, OPP-0442857, ANT-0838773, and ANT-0838776 from the Antarctic Organisms and Ecosystems program.</t>
  </si>
  <si>
    <t>10.1111/jpy.12137</t>
  </si>
  <si>
    <t>AB7WI</t>
  </si>
  <si>
    <t>WOS:000332001200001</t>
  </si>
  <si>
    <t>McDowell, RE; Amsler, CD; Dickinson, DA; McClintock, JB; Baker, BJ</t>
  </si>
  <si>
    <t>McDowell, Ruth E.; Amsler, Charles D.; Dickinson, Dale A.; McClintock, James B.; Baker, Bill J.</t>
  </si>
  <si>
    <t>REACTIVE OXYGEN SPECIES AND THE ANTARCTIC MACROALGAL WOUND RESPONSE</t>
  </si>
  <si>
    <t>Antarctica; catalase oxidase; hydrogen peroxide; hypersensitive response; isoniazid; macroalgae; oxidative burst; reactive nitrogen species; reactive oxygen species; wounding</t>
  </si>
  <si>
    <t>OXIDATIVE CROSS-LINKING; HYDROGEN-PEROXIDE; NITRIC-OXIDE; ULTRAVIOLET-RADIATION; NADPH OXIDASE; RED ALGA; DEFENSE; BURST; RESISTANCE; DAMAGE</t>
  </si>
  <si>
    <t>Reactive oxygen species (ROS) are commonly produced by algal, vascular plant, and animal cells involved in the innate immune response as cellular signals promoting defense and healing and/or as a direct defense against invading pathogens. The production of reactive species in macroalgae upon injury, however, is largely uncharacterized. In this study, we surveyed 13 species of macroalgae from the Western Antarctic Peninsula and show that the release of strong oxidants is common after macroalgal wounding. Most species released strong oxidants within 1min of wounding and/or showed cellular accumulation of strong oxidants over an hour post-wounding. Exogenous catalase was used to show that hydrogen peroxide was a component of immediate oxidant release in one of five species, but was not responsible for the entire oxidative wound response as is common in vascular plants. The other component(s) of the oxidant cocktail released upon wounding are unknown. We were unable to detect protein nitration in extracts of four oxidant-producing species flash frozen 30s after wounding, but a role for reactive nitrogen species such as peroxynitrite cannot be completely ruled out. Two species showed evidence for the production of a catalase-activated oxidant, a mechanism previously known only from the laboratory and from the synthetic drug isoniazid used to kill the human pathogen Mycobacterium tuberculosis. The rhodophyte Palmaria decipiens, which released strong oxidants after wounding, also produced strong oxidants upon grazing by a sympatric amphipod, suggesting that oxidants are involved in the response to grazing.</t>
  </si>
  <si>
    <t>[McDowell, Ruth E.; Amsler, Charles D.; McClintock, James B.] Univ Alabama Birmingham, Dept Biol, Birmingham, AL 35294 USA; [McDowell, Ruth E.; Amsler, Charles D.; Dickinson, Dale A.] Univ Alabama Birmingham, Ctr Free Rad Biol, Birmingham, AL 35294 USA; [Dickinson, Dale A.] Univ Alabama Birmingham, Dept Environm Hlth Sci, Birmingham, AL 35294 USA; [Baker, Bill J.] Univ S Florida, Dept Chem, Tampa, FL 33620 USA</t>
  </si>
  <si>
    <t>University of Alabama System; University of Alabama Birmingham; University of Alabama System; University of Alabama Birmingham; University of Alabama System; University of Alabama Birmingham; State University System of Florida; University of South Florida</t>
  </si>
  <si>
    <t>McDowell, RE (corresponding author), Univ Alabama Birmingham, Dept Biol, Birmingham, AL 35294 USA.</t>
  </si>
  <si>
    <t>rem9@uab.edu</t>
  </si>
  <si>
    <t>Baker, Bill/N-4312-2019; McDowell, Ruth/KHX-0075-2024</t>
  </si>
  <si>
    <t>NSF; National Science Foundation from the Antarctic Organisms and Ecosystems Program [ANT-0838773, ANT-0838776]</t>
  </si>
  <si>
    <t>NSF(National Science Foundation (NSF)); National Science Foundation from the Antarctic Organisms and Ecosystems Program(National Science Foundation (NSF)NSF - Directorate for Geosciences (GEO))</t>
  </si>
  <si>
    <t>We thank Maggie Amsler in particular, and Jason Cuce, Bill Dent, Alan Maschek, Jackie Salm, Kate Schoenrock, and Julie Schram for help in the laboratory or field and Robert Angus for statistical assistance. We are grateful to the employees and subcontractors of Raytheon Polar Services Company for providing science support at Palmer Station, especially James Bucklin and Christina Hammock. We also thank Laura Mydlarz, Whitney Mann, and Elizabeth McGinty at the University of Texas at Arlington for training in the use of DCFH-DA to assay for oxidants in seawater during a research exchange financed by the NSF-funded Research Coordination Network in Ecoimmunology. This work was supported by the National Science Foundation grant ANT-0838773 (CDA, JBM) and ANT-0838776 (BJB) from the Antarctic Organisms and Ecosystems Program.</t>
  </si>
  <si>
    <t>10.1111/jpy.12127</t>
  </si>
  <si>
    <t>WOS:000332001200007</t>
  </si>
  <si>
    <t>Melluso, L; Hergt, JM; Zanetti, A</t>
  </si>
  <si>
    <t>Melluso, Leone; Hergt, Janet Margaret; Zanetti, Alberto</t>
  </si>
  <si>
    <t>The late crystallization stages of low-Ti, low-Fe tholeiitic magmas: Insights from evolved Antarctic and Tasmanian rocks</t>
  </si>
  <si>
    <t>Antarctica; Tasmania; Granophyres; Tholeiite; Ferrar</t>
  </si>
  <si>
    <t>PRINCE-ALBERT-MOUNTAINS; JURASSIC FERRAR THOLEIITES; NORTH VICTORIA-LAND; LARGE IGNEOUS PROVINCE; LIQUID IMMISCIBILITY; KIRKPATRICK-BASALT; ENRICHED MANTLE; DUPAL SIGNATURE; ISOTOPIC COMPOSITION; MESOZOIC DOLERITES</t>
  </si>
  <si>
    <t>Examples of the latest stages of crystallization in evolved tholeiitic rocks can be found in the low-Ti, low-P Ferrar Magmatic Province in Antarctica (e.g., Them Promontory and Archambault Ridge) and Tasmania (e.g., the Red Hill intrusion and Mount Wellington sill). Evolved rocks of this magmatic province include: a) rocks of basaltic andesite composition containing plagioclase, augite, pigeonite, and interstitial Fe-Ti oxides; b) rocks of andesitic composition with plagioclase as a liquidus phase, a single Fe-rich subcalcic clinopyroxene and Fe-Ti oxides; and c) rocks of dacitic composition displaying granophyric texture, containing sodic plagioclase, alkali feldspar, ferrohedenbergite, fayalite, Fe-Ti oxides, quartz and accessory phases. The latest crystallization stages are thus characterized by the striking chemical convergence of subcalcic Fe-augite and Fe-pigeonite followed by more evolved rocks that preserve quartz-alkali feldspar cotectic (granophyric) relationships, lack subcalcic clinopyroxene and contain coexisting olivine and calcium-rich clinopyroxene. These features are consistent with crystallization at (or below) the quartz-fayalite-magnetite oxygen buffer at temperatures close to 800 degrees C. The trace element geochemistry of coexisting pyroxenes, feldspar and Fe-Ti oxides are entirely consistent with magmatic evolution caused by fractional crystallization of the observed phases. Similarities and differences with other silicic volcanic rocks elsewhere are also described. There is no evidence for liquid immiscibility. (C) 2013 Elsevier B.V. All rights reserved.</t>
  </si>
  <si>
    <t>[Melluso, Leone] Univ Naples Federico II, Dipartimento Sci Terra Ambiente &amp; Risorse, Naples, Italy; [Hergt, Janet Margaret] Univ Melbourne, Sch Earth Sci, Melbourne, Vic 3010, Australia; [Zanetti, Alberto] CNR, Ist Geosci &amp; Georisorse, I-27100 Pavia, Italy</t>
  </si>
  <si>
    <t>University of Naples Federico II; University of Melbourne; Melbourne Bioinformatics; Consiglio Nazionale delle Ricerche (CNR); Istituto di Geoscienze e Georisorse (IGG-CNR)</t>
  </si>
  <si>
    <t>Melluso, L (corresponding author), Univ Naples Federico II, Dipartimento Sci Terra Ambiente &amp; Risorse, Naples, Italy.</t>
  </si>
  <si>
    <t>melluso@unina.it</t>
  </si>
  <si>
    <t>; Zanetti, Alberto/E-1453-2015</t>
  </si>
  <si>
    <t>Hergt, Janet/0000-0003-3410-1670; Zanetti, Alberto/0000-0001-9026-1519</t>
  </si>
  <si>
    <t>Fondi Ricerca Dipartimentale</t>
  </si>
  <si>
    <t>We thank Giovanni Orsi for sampling the Them Promontory and Archambault Ridge sections and for useful advice, Pietro Brotzu for continuous scientific and personal support over the years, to Carlo Garbarino, Marcello Serracino and, particularly, Roberto de' Gennaro for their skilled help in obtaining microprobe data through the years and their limitless patience. We also thank Graham Hutchinson, Alan Greig and Jon Woodhead for their assistance in acquiring some of the electron probe and laser ablation data for this study, and Sergio Bravi for his skilled job in preparing polished thin sections. This paper is our tribute to Enzo Michele Piccirillo, who took the lead in modern petrogenetic and geochemical studies of continental tholeiites. This research is funded with Fondi Ricerca Dipartimentale to L.M. The careful and constructive reviews of Tom Fleming, John Foden and Teal Riley, and the Editorial comments of Andrea Marzoli were deeply appreciated.</t>
  </si>
  <si>
    <t>10.1016/j.lithos.2013.10.032</t>
  </si>
  <si>
    <t>AC0OR</t>
  </si>
  <si>
    <t>WOS:000332195100007</t>
  </si>
  <si>
    <t>Tarakanov, RY</t>
  </si>
  <si>
    <t>Tarakanov, R. Yu.</t>
  </si>
  <si>
    <t>Jets of the Antarctic Circumpolar Current in the central part of the Drake Passage based on the survey data in October-November of 2008</t>
  </si>
  <si>
    <t>FRONTS</t>
  </si>
  <si>
    <t>The horizontal structure of the jets of the Antarctic Circumpolar Current (ACC) is analyzed on the basis of CTD- and LADCP- sounding performed during a hydrophysical survey with a 10-mile spatial resolution in the central part of the Drake Passage in October-November of 2008. According to the modern multijet classification of the ACC, the survey area covered the zones of three jets of the South Polar Current (SPC), which is the middle branch of the ACC. The current jets revealed a fine horizontal thermohaline structure, which was manifested even in the case of the confluence of individual jets into a superjet..</t>
  </si>
  <si>
    <t>Russian Acad Sci, Shirshov Inst Oceanol, Moscow, Russia</t>
  </si>
  <si>
    <t>Russian Academy of Sciences; Shirshov Institute of Oceanology</t>
  </si>
  <si>
    <t>Tarakanov, RY (corresponding author), Russian Acad Sci, Shirshov Inst Oceanol, Moscow, Russia.</t>
  </si>
  <si>
    <t>rtarakanov@gmail.com</t>
  </si>
  <si>
    <t>Tarakanov, Roman/R-3325-2016</t>
  </si>
  <si>
    <t>Tarakanov, Roman/0000-0002-8711-1859</t>
  </si>
  <si>
    <t>Russian Foundation for Basic Research [12-05-00277a, 12-05-00131a]; Presidium of the Russian Academy of Sciences [23]; Ministry of Education and Science of the Russian Federation [8132]</t>
  </si>
  <si>
    <t>Russian Foundation for Basic Research(Russian Foundation for Basic Research (RFBR)Spanish Government); Presidium of the Russian Academy of Sciences(Russian Academy of Sciences); Ministry of Education and Science of the Russian Federation(Ministry of Education and Science, Russian Federation)</t>
  </si>
  <si>
    <t>This work was supported by the Russian Foundation for Basic Research (project nos. 12-05-00277a and 12-05-00131a), the Presidium of the Russian Academy of Sciences (program no. 23), and the Ministry of Education and Science of the Russian Federation (contract no. 8132). The 2008 Expedition was carried out in the framework of the interdisciplinary project Meridian Plus.</t>
  </si>
  <si>
    <t>10.1134/S000143701401010X</t>
  </si>
  <si>
    <t>AC2ML</t>
  </si>
  <si>
    <t>WOS:000332335100001</t>
  </si>
  <si>
    <t>Gladyshev, SV; Sokov, AV</t>
  </si>
  <si>
    <t>Gladyshev, S. V.; Sokov, A. V.</t>
  </si>
  <si>
    <t>Underway current measurements in the Drake Passage</t>
  </si>
  <si>
    <t>ANTARCTIC CIRCUMPOLAR CURRENT</t>
  </si>
  <si>
    <t>[Gladyshev, S. V.; Sokov, A. V.] Russian Acad Sci, PP Shirshov Oceanol Inst, Moscow 117901, Russia</t>
  </si>
  <si>
    <t>Gladyshev, SV (corresponding author), Russian Acad Sci, PP Shirshov Oceanol Inst, Moscow 117901, Russia.</t>
  </si>
  <si>
    <t>sgladyshev@ocean.ru</t>
  </si>
  <si>
    <t>Gladyshev, Sergey/N-6508-2017</t>
  </si>
  <si>
    <t>federal program World Ocean; Presidium of the Russian Academy of Sciences [23P]; Russian Foundation for Basic Research [10-05-00029]</t>
  </si>
  <si>
    <t>federal program World Ocean; Presidium of the Russian Academy of Sciences(Russian Academy of Sciences); Russian Foundation for Basic Research(Russian Foundation for Basic Research (RFBR)Spanish Government)</t>
  </si>
  <si>
    <t>This work was supported by the federal program World Ocean, the program of the Presidium of the Russian Academy of Sciences (project no. 23P), and the Russian Foundation for Basic Research (project no. 10-05-00029).</t>
  </si>
  <si>
    <t>10.1134/S0001437014010056</t>
  </si>
  <si>
    <t>WOS:000332335100013</t>
  </si>
  <si>
    <t>Thakur, RC; Thamban, M</t>
  </si>
  <si>
    <t>Thakur, Roseline C.; Thamban, Meloth</t>
  </si>
  <si>
    <t>Latitudinal and Size Segregated Compositional Variability of Aerosols over the Indian and Southern Ocean during 2010 Austral Summer</t>
  </si>
  <si>
    <t>AEROSOL AND AIR QUALITY RESEARCH</t>
  </si>
  <si>
    <t>Marine aerosols; Spatial variations; Particle sizes; Southern Ocean</t>
  </si>
  <si>
    <t>MARINE BOUNDARY-LAYER; SEA-SALT SULFATE; NORTH-ATLANTIC; CHEMICAL-COMPOSITION; SAMPLING ARTIFACTS; IONIC COMPOSITION; AMMONIUM-NITRATE; ARABIAN SEA; SULFUR; COASTAL</t>
  </si>
  <si>
    <t>To characterize the spatial variations in size segregated aerosols, samples were collected over the Indian and Southern oceans (7 degrees N to 68 degrees S) during the Indian expedition to Southern Ocean (January-February 2010). The chemical and mass concentrations of ions were measured in nine size classes (0.4-&gt; 10 mu m) of aerosols through ion-exchange chromatographic system and gravimetric estimates, respectively. Mass concentrations of coarse aerosols increase towards the Antarctic coast which is well correlated with the increasing humidity suggesting growth of particles. The study area was found to be predominately impacted by sea salt aerosols with a sea salt load of 91%. F-, Cl- and NO3- reflected anthropogenic impact within the fine mode aerosols but the marine influence dominated the coarse mode. Methanesulphonic (MSA) was predominantly of biogenic origin but a substantially low MSA/nssSO(4)(2-) ratio suggested that DMS contribution to the total nssSO(4)(2-) concentration was low. NH4+ concentrations showed a shift from fine to coarse particles, with a trimodal distribution over the Southern Ocean. Our study reports a significant Cl-depletion in the aerosols and the degree of Cl- deficit was size-dependent, increasing with decreasing particle sizes. The neutralization ratios suggested differential behavior of ions with respect to the prevailing meteorological conditions. The coarse mode aerosols were neutralized by ammonia leading to the formation of NH4NO3 particles. The fine modes were predominately composed of NH4HSO4 and its formation is favored by the high humidity and foggy conditions over the study area. Factor analysis support that the Southern Indian Ocean (10 degrees S to 59 degrees S) had the highest loading of anthropogenic and sea salt aerosols, which lead to the formation of secondary aerosols through gas to particle transformations. The rocky Antarctic coastline, act as a source of coarse crustal aerosols over the Southern Ocean (60 degrees S to 65 degrees S).</t>
  </si>
  <si>
    <t>[Thakur, Roseline C.; Thamban, Meloth] Natl Ctr Antarctic &amp; Ocean Res, Vasco Da Gama 403804, Goa, India</t>
  </si>
  <si>
    <t>Thakur, RC (corresponding author), Natl Ctr Antarctic &amp; Ocean Res, Vasco Da Gama 403804, Goa, India.</t>
  </si>
  <si>
    <t>roseline@ncaor.org</t>
  </si>
  <si>
    <t>Thakur, Roseline/AHC-1408-2022</t>
  </si>
  <si>
    <t>Thakur, Roseline/0000-0002-3238-4171; Thamban, Meloth/0000-0003-3379-8189</t>
  </si>
  <si>
    <t>We thank Director, National Centre for Antarctic and Ocean Research, Goa, for his encouragement and interest in this study and the Ministry of Earth Sciences, Government of India for financial support. We are grateful to Anoop K. Tiwari for supporting with the non-viable Impactor for sampling and Mahalinganathan K. for his analytical support. The NCEP/NCAR reanalysis is provided by the NOAA-CIRES Climate Diagnostics Center, Boulder, CO from their website http://www.cdc.noaa.gov. The authors gratefully acknowledge the NOAA Air Resources Laboratory for the provision of the HYSPLIT for the back trajectory files. It is pertinent here to thank the ship's captain and his crew members for providing all the help onboard Sagar Nidhi. This is NCAOR contribution no. 06/2013.</t>
  </si>
  <si>
    <t>TAIWAN ASSOC AEROSOL RES-TAAR</t>
  </si>
  <si>
    <t>TAICHUNG COUNTY</t>
  </si>
  <si>
    <t>CHAOYANG UNIV TECH, DEPT ENV ENG &amp; MGMT, PROD CTR AAQR, NO 168, JIFONG E RD, WUFONG TOWNSHIP, TAICHUNG COUNTY, 41349, TAIWAN</t>
  </si>
  <si>
    <t>1680-8584</t>
  </si>
  <si>
    <t>2071-1409</t>
  </si>
  <si>
    <t>AEROSOL AIR QUAL RES</t>
  </si>
  <si>
    <t>Aerosol Air Qual. Res.</t>
  </si>
  <si>
    <t>10.4209/aaqr.2012.12.0337</t>
  </si>
  <si>
    <t>AB4WC</t>
  </si>
  <si>
    <t>gold, Green Submitted</t>
  </si>
  <si>
    <t>WOS:000331789600020</t>
  </si>
  <si>
    <t>Khan, PA; Tripathi, SC; Troshichev, OA; Waheed, MA; Aslam, AM; Gwal, AK</t>
  </si>
  <si>
    <t>Khan, Parvaiz A.; Tripathi, Sharad C.; Troshichev, O. A.; Waheed, Malik A.; Aslam, A. M.; Gwal, A. K.</t>
  </si>
  <si>
    <t>Solar transients disturbing the terrestrial magnetic environment at higher latitudes</t>
  </si>
  <si>
    <t>ASTROPHYSICS AND SPACE SCIENCE</t>
  </si>
  <si>
    <t>Magnetic field; Coronal mass ejection; Solar energetic particles; Polar cap index</t>
  </si>
  <si>
    <t>CORONAL MASS EJECTIONS; ENERGETIC PARTICLE EVENTS; INTERPLANETARY; INTENSITY; ACCELERATION; DISTURBANCES; SIGNATURES; SPEEDS</t>
  </si>
  <si>
    <t>Geomagnetic field variations during five major Solar Energetic Particle (SEP) events of solar cycle 23 have been investigated in the present study. The SEP events of 1 October 2001, 4 November 2001, 22 November 2001, 21 April 2002 and 14 May 2005 have been selected to study the geomagnetic field variations at two high-latitude stations, Thule (77.5(a similar to) N, 69.2(a similar to) W) and Resolute Bay (74.4(a similar to) E, 94.5(a similar to) W) of the northern polar cap. We have used the GOES proton flux in seven different energy channels (0.8-4 MeV, 4-9 MeV, 9-15 MeV, 15-40 MeV, 40-80 MeV, 80-165 MeV, 165-500 MeV). All the proton events were associated with geoeffective or Earth directed CMEs that caused intense geomagnetic storms in response to geospace. We have taken high-latitude indices, AE and PC, under consideration and found fairly good correlation of these with the ground magnetic field records during the five proton events. The departures of the H component during the events were calculated from the quietest day of the month for each event and have been represented as Delta H (THL) and Delta H (RES) for Thule and Resolute Bay, respectively. The correspondence of spectral index, inferred from event integrated spectra, with ground magnetic signatures Delta H (THL) and Delta H (RES) along with Dst and PC indices have been brought out. From the correlation analysis we found a very strong correlation to exist between the geomagnetic field variation (Delta Hs) and high-latitude indices AE and PC. To find the association of geomagnetic storm intensity with proton flux characteristics we derived the correspondence between the spectral indices and geomagnetic field variations (Delta Hs) along with the Dst and AE index. We found a strong correlation (0.88) to exist between the spectral indices and Delta Hs and also between spectral indices and AE and PC.</t>
  </si>
  <si>
    <t>[Khan, Parvaiz A.; Tripathi, Sharad C.; Waheed, Malik A.; Aslam, A. M.; Gwal, A. K.] Barkatullah Univ, Space Sci Lab, Dept Phys, Bhopal 462026, MP, India; [Troshichev, O. A.] Arctic &amp; Antarctic Res Inst, St Petersburg 199397, Russia</t>
  </si>
  <si>
    <t>Barkatullah University; Arctic &amp; Antarctic Research Institute</t>
  </si>
  <si>
    <t>Tripathi, SC (corresponding author), Barkatullah Univ, Space Sci Lab, Dept Phys, Bhopal 462026, MP, India.</t>
  </si>
  <si>
    <t>risingsharad@gmail.com</t>
  </si>
  <si>
    <t>Tripathi, Sharad Chandra/A-8862-2017</t>
  </si>
  <si>
    <t>Tripathi, Sharad Chandra/0000-0002-9202-7598; A.M., Aslam/0000-0002-8692-1542</t>
  </si>
  <si>
    <t>University Grant Commission, New Delhi</t>
  </si>
  <si>
    <t>University Grant Commission, New Delhi(University Grants Commission, India)</t>
  </si>
  <si>
    <t>The authors (Sharad C. Tripathi and Parvaiz A. Khan) are thankful to the University Grant Commission, New Delhi, for the financial support under Basic Scientific Research (BSR) Fellowship scheme during the work. Special thanks go to Dr. O.A. Troshichev for his meticulous review and criticism of the content during Mr. Tripathi's visit to Addis Ababa, Ethiopia, at AGU's Chapman Conference in November 2012 and for being a coauthor of the paper as well.</t>
  </si>
  <si>
    <t>0004-640X</t>
  </si>
  <si>
    <t>1572-946X</t>
  </si>
  <si>
    <t>ASTROPHYS SPACE SCI</t>
  </si>
  <si>
    <t>Astrophys. Space Sci.</t>
  </si>
  <si>
    <t>10.1007/s10509-013-1661-5</t>
  </si>
  <si>
    <t>AB2UU</t>
  </si>
  <si>
    <t>WOS:000331648400004</t>
  </si>
  <si>
    <t>Echeveste, P; Tovar-Sánchez, A; Agustí, S</t>
  </si>
  <si>
    <t>Echeveste, P.; Tovar-Sanchez, A.; Agusti, S.</t>
  </si>
  <si>
    <t>Tolerance of polar phytoplankton communities to metals</t>
  </si>
  <si>
    <t>Metals; Phytoplankton; Arctic Ocean; Southern Ocean; Tolerance</t>
  </si>
  <si>
    <t>MARINE PLANKTON COMMUNITIES; OCEANIC PHYTOPLANKTON; TRACE-METALS; BLACK-SEA; MERCURY; VIABILITY; CADMIUM; ABUNDANCE; POLLUTION; TOXICITY</t>
  </si>
  <si>
    <t>Large amounts of pollutants reach polar regions, particularly the Arctic, impacting their communities. In this study we analyzed the toxic levels of Hg, Cd and Pb to natural phytoplankton communities of the Arctic and Southern Oceans, and compared their sensitivities with those observed on phytoplankton natural communities from temperate areas. Mercury was the most toxic metal for both Arctic and Antarctic communities, while both Cd and Pb were toxic only for the Antarctic phytoplankton. Total cell abundance of the populations forming the Arctic community increased under high Cd and Pb concentrations, probably due to a decrease of the grazing pressure or the increase of the most resistant species, although analysis of individual cells indicated that cell death was already induced at the highest levels. These results suggest that phytoplankton may have acquired adapting mechanisms to face high levels of Pb and Cd in the Arctic Ocean. (C) 2013 Elsevier Ltd. All rights reserved.</t>
  </si>
  <si>
    <t>[Echeveste, P.; Tovar-Sanchez, A.; Agusti, S.] UIB, CSIC, Inst Mediterraneo Estudios Avanzados, Dept Global Change Res,IMEDEA, Esporles 07190, Illes Balears, Spain; [Tovar-Sanchez, A.] CSIC, ICMAN Inst Ciencias Marinas Andalucia, Cadiz 11510, Spain; [Agusti, S.] Univ Western Australia, UWA Oceans Inst, Crawley 6009, Australia; [Agusti, S.] Univ Western Australia, Sch Plant Biol, Crawley 6009, Australia; [Echeveste, P.] Univ Fed Sao Carlos, Dept Bot, BR-13560970 Sao Carlos, SP, Brazil</t>
  </si>
  <si>
    <t>Consejo Superior de Investigaciones Cientificas (CSIC); ATTITUS Educacao; Universitat de les Illes Balears; Consejo Superior de Investigaciones Cientificas (CSIC); CSIC - Instituto de Ciencias Marinas de Andalucia (ICMAN); University of Western Australia; University of Western Australia; Universidade Federal de Sao Carlos</t>
  </si>
  <si>
    <t>Echeveste, P (corresponding author), UIB, CSIC, Inst Mediterraneo Estudios Avanzados, Dept Global Change Res,IMEDEA, Miquel Marques 21, Esporles 07190, Illes Balears, Spain.</t>
  </si>
  <si>
    <t>echevestepedro@gmail.com</t>
  </si>
  <si>
    <t>Tovar-Sánchez, Antonio/B-8003-2010; Echeveste, Pedro/C-2611-2012; Agusti, Susana/G-2864-2017</t>
  </si>
  <si>
    <t>Echeveste, Pedro/0000-0002-3631-5771; Agusti, Susana/0000-0003-0536-7293; Tovar-Sanchez, Antonio/0000-0003-4375-1982</t>
  </si>
  <si>
    <t>Competitive Group of Excellence for the Analysis of Mediterranean Ecosystems (GAEM); Conselleria d'Economia, Hisenda i Innovacio del Govern de les Illes Balears; research project ATOS [POL2006-00550/CTM]; Spanish Ministry of Science and Innovation</t>
  </si>
  <si>
    <t>Competitive Group of Excellence for the Analysis of Mediterranean Ecosystems (GAEM); Conselleria d'Economia, Hisenda i Innovacio del Govern de les Illes Balears; research project ATOS; Spanish Ministry of Science and Innovation(Spanish Government)</t>
  </si>
  <si>
    <t>The present study was supported by a doctoral fellowship to P. Echeveste and by the Competitive Group of Excellence for the Analysis of Mediterranean Ecosystems (GAEM), both funded by the Conselleria d'Economia, Hisenda i Innovacio del Govern de les Illes Balears, and by the research project ATOS (POL2006-00550/CTM), funded by the Spanish Ministry of Science and Innovation. We thank A. Dorsett for the English corrections. We are grateful to the crew aboard the Hesperides research vessel for their help during the cruises.</t>
  </si>
  <si>
    <t>10.1016/j.envpol.2013.10.029</t>
  </si>
  <si>
    <t>AB3DW</t>
  </si>
  <si>
    <t>WOS:000331672500023</t>
  </si>
  <si>
    <t>Zhang, ZH; Saito, N</t>
  </si>
  <si>
    <t>Zhang, Zhihua; Saito, Naoki</t>
  </si>
  <si>
    <t>PHLST WITH ADAPTIVE TILING AND ITS APPLICATION TO ANTARCTIC REMOTE SENSING IMAGE APPROXIMATION</t>
  </si>
  <si>
    <t>INVERSE PROBLEMS AND IMAGING</t>
  </si>
  <si>
    <t>PHLST; adaptive tiling; Antarctic remote sensing; image approximation; climate change</t>
  </si>
  <si>
    <t>ARBITRARY ORDER ACCURACY; POISSON SOLVER; TRANSFORM</t>
  </si>
  <si>
    <t>We propose an efficient nonlinear approximation scheme using the Polyharmonic Local Sine Transform (PHLST) of Saito and Remy combined with an algorithm to tile a given image automatically and adaptively according to its local smoothness and singularities. To measure such local smoothness, we introduce the so-called local Besov indices of an image, which is based on the pointwise modulus of smoothness of the image. Such an adaptive tiling of an image is important for image approximation using PHLST because PHLST stores the corner and boundary information of each tile and consequently it is wasteful to divide a smooth region of a given image into a set of smaller tiles. We demonstrate the superiority of the proposed algorithm using Antarctic remote sensing images over the PHLST using the uniform tiling. Analysis of such images including their efficient approximation and compression has gained its importance due to the global climate change.</t>
  </si>
  <si>
    <t>[Zhang, Zhihua] Beijing Normal Univ, Coll Global Change &amp; Earth Syst Sci, Beijing 100875, Peoples R China; [Saito, Naoki] Univ Calif Davis, Dept Math, Davis, CA 95616 USA</t>
  </si>
  <si>
    <t>Beijing Normal University; University of California System; University of California Davis</t>
  </si>
  <si>
    <t>Zhang, ZH (corresponding author), Beijing Normal Univ, Coll Global Change &amp; Earth Syst Sci, Beijing 100875, Peoples R China.</t>
  </si>
  <si>
    <t>zhangzh@bnu.edu.cn; saito@math.ucdavis.edu</t>
  </si>
  <si>
    <t>Saito, Naoki/A-6138-2012</t>
  </si>
  <si>
    <t>Saito, Naoki/0000-0001-5234-4719</t>
  </si>
  <si>
    <t>National Key Science Program for Global Change Research [2013CB956604, 2010CB950504]; Beijing Higher Education Elite Teacher Project; Fundamental Research Funds for the Central Universities (Key Program) [105565GK]; Scientific Research Foundation for the Returned Overseas Chinese Scholars, State Education Ministry; Polar Climate and Environment Key Laboratory; ONR [N00014-09-1-0041, N00014-09-1-0318, N00014-12-1-0117]</t>
  </si>
  <si>
    <t>National Key Science Program for Global Change Research; Beijing Higher Education Elite Teacher Project; Fundamental Research Funds for the Central Universities (Key Program); Scientific Research Foundation for the Returned Overseas Chinese Scholars, State Education Ministry(Scientific Research Foundation for the Returned Overseas Chinese Scholars); Polar Climate and Environment Key Laboratory; ONR(Office of Naval Research)</t>
  </si>
  <si>
    <t>The first author was partially supported by National Key Science Program for Global Change Research No. 2013CB956604 and No. 2010CB950504; Beijing Higher Education Elite Teacher Project, Fundamental Research Funds for the Central Universities (Key Program) No. 105565GK; the Scientific Research Foundation for the Returned Overseas Chinese Scholars, State Education Ministry; and Polar Climate and Environment Key Laboratory. The second author was partially supported by ONR grants: N00014-09-1-0041, N00014-09-1-0318, N00014-12-1-0117.</t>
  </si>
  <si>
    <t>AMER INST MATHEMATICAL SCIENCES</t>
  </si>
  <si>
    <t>SPRINGFIELD</t>
  </si>
  <si>
    <t>PO BOX 2604, SPRINGFIELD, MO 65801-2604 USA</t>
  </si>
  <si>
    <t>1930-8337</t>
  </si>
  <si>
    <t>1930-8345</t>
  </si>
  <si>
    <t>INVERSE PROBL IMAG</t>
  </si>
  <si>
    <t>Inverse Probl. Imaging</t>
  </si>
  <si>
    <t>10.3934/ipi.2014.8.321</t>
  </si>
  <si>
    <t>Mathematics, Applied; Physics, Mathematical</t>
  </si>
  <si>
    <t>Mathematics; Physics</t>
  </si>
  <si>
    <t>AC2IU</t>
  </si>
  <si>
    <t>WOS:000332324500014</t>
  </si>
  <si>
    <t>Huang, WY; Wang, B; Yu, YQ; Li, LJ</t>
  </si>
  <si>
    <t>Huang, Wen-Yu; Wang, Bin; Yu, Yong-Qiang; Li, Li-Juan</t>
  </si>
  <si>
    <t>Improvements in LICOM2. Part I: Vertical Mixing</t>
  </si>
  <si>
    <t>Climate models; Model evaluation/performance; Ocean models</t>
  </si>
  <si>
    <t>MERIDIONAL OVERTURNING CIRCULATION; LAND SYSTEM MODEL; OCEAN TURBULENCE; VERSION 2; EQUATORIAL PACIFIC; VARIABILITY; HEAT; DIFFUSIVITIES; SENSITIVITY; FGOALS-G2</t>
  </si>
  <si>
    <t>Better computational stability is achieved in an improved version of the National Key Laboratory of Numerical Modeling for Atmospheric Sciences and Geophysical Fluid Dynamics (LASG)/Institute of Atmospheric Physics (IAP) Climate Ocean Model, version 2 (LICOM2, the standard version), after improvements to the implementations of the vertical mixing, mesoscale eddy parameterization, and bottom drag schemes. The large warm biases of LICOM2 in the western Pacific Ocean and eastern Indian Ocean warm pool and on the east coast of the Pacific Ocean are significantly improved. The salinity bias in the tropical Pacific Ocean related to the warm bias of the warm pool is also alleviated. The simulation of the Atlantic meridional overturning circulation is improved because of enhanced vertical mixing in the high latitudes of the North Atlantic Ocean. The new version also presents a stronger Deacon cell, and thus a more powerful Antarctic Circumpolar Current that is closer to the observation, due to weaker southward mesoscale eddy transport in the Southern Ocean.</t>
  </si>
  <si>
    <t>[Huang, Wen-Yu; Wang, Bin] Tsinghua Univ, Key Lab Earth Syst Modeling, Minist Educ, Beijing 100084, Peoples R China; [Huang, Wen-Yu; Wang, Bin] Tsinghua Univ, Ctr Earth Syst Sci, Beijing 100084, Peoples R China; [Wang, Bin; Yu, Yong-Qiang; Li, Li-Juan] Chinese Acad Sci, Inst Atmospher Phys, State Key Lab Numer Modeling Atmospher Sci &amp; Geop, Beijing, Peoples R China</t>
  </si>
  <si>
    <t>Tsinghua University; Tsinghua University; Chinese Academy of Sciences; Institute of Atmospheric Physics, CAS</t>
  </si>
  <si>
    <t>Wang, B (corresponding author), Tsinghua Univ, Room 815,Mengminwei Bldg, Beijing 100084, Peoples R China.</t>
  </si>
  <si>
    <t>wab@mail.tsinghua.edu.cn</t>
  </si>
  <si>
    <t>Wang, Bin/P-9121-2014; Huang, Wenyu/J-4257-2019; Yu, Yongqiang/K-7808-2012; Wang, Bin/D-9724-2012; Li, Lijuan/C-3428-2015; huang, wenyu/HTQ-5747-2023</t>
  </si>
  <si>
    <t>Huang, Wenyu/0000-0001-9722-5502; Yu, Yongqiang/0000-0001-8596-3583; Li, Lijuan/0000-0001-8814-5738;</t>
  </si>
  <si>
    <t>National Basic Research Program of China (973 Program) [2011CB309704, 2010CB951904, 2013CB956600]; Joint Center for Global Change Studies [105019]; National Natural Science Foundation of China [41023002, 41005053]</t>
  </si>
  <si>
    <t>National Basic Research Program of China (973 Program)(National Basic Research Program of China); Joint Center for Global Change Studies; National Natural Science Foundation of China(National Natural Science Foundation of China (NSFC))</t>
  </si>
  <si>
    <t>The discussion with Liu Hailong and Zhang Xuehong was very helpful to this work. This work is supported by the following funding: the National Basic Research Program of China (973 Program: Grants 2011CB309704, 2010CB951904, 2013CB956600), Joint Center for Global Change Studies (Grant 105019), and the National Natural Science Foundation of China (Grants 41023002, 41005053).</t>
  </si>
  <si>
    <t>10.1175/JTECH-D-13-00065.1</t>
  </si>
  <si>
    <t>AA3XX</t>
  </si>
  <si>
    <t>WOS:000331029600019</t>
  </si>
  <si>
    <t>Deshpande, CG; Kamra, AK</t>
  </si>
  <si>
    <t>Deshpande, C. G.; Kamra, A. K.</t>
  </si>
  <si>
    <t>Physical properties of the arctic summer aerosol particles in relation to sources at Ny-Alesund, Svalbard</t>
  </si>
  <si>
    <t>JOURNAL OF EARTH SYSTEM SCIENCE</t>
  </si>
  <si>
    <t>Arctic aerosol; sources of aerosols; size distribution; Ny-Alesund</t>
  </si>
  <si>
    <t>MARINE BOUNDARY-LAYER; SEA-SALT; CHEMICAL-COMPOSITION; SIZE DISTRIBUTION; DIMETHYL SULFIDE; OCEAN; VARIABILITY; SULFATE; SULFUR; CYCLE</t>
  </si>
  <si>
    <t>Measurements of the number concentration and size distribution of aerosol particles in the size range of 0.5-20 mu m diameter were made with an aerodynamic particle sizer at an Arctic site at Ny-Alesund, Svalbard in August-September 2007 during the International Polar Year 2007-2008. Data are analyzed to study the aerosol number concentration-wind speed relationships. The sea-salt particles of marine origin generated within the Arctic circle are identified as the main source of the Arctic summer aerosols. Total number concentration of aerosol particles increases with increase in wind speed, the increase being more when winds from open leads over the oceanic sector are reaching the station as compared to when winds from pack ice in other directions are reaching the station. The larger increase with winds from the oceanic sector is attributed to the enhanced bubble-breaking activity and increased entrainment of dimethyl sulphide particles at the sea surface. Although, the increase in total aerosol number concentration associated with the winds from the oceanic sector is spread over the whole range of particle sizes, the increase in coarse mode particles is more prominent than that in the accumulation mode particles. The age of airmass over pack ice is also an important factor to determine the aerosol concentration over the Arctic region. The process of rainout/washout of the aerosol particles due to drizzle/snowfall is an effective sink mechanism in the Arctic environment. The aerosol particle concentration starts decreasing within a few minutes from the start of these events but requires a few hours to restore to the normal background aerosol level after the end of event.</t>
  </si>
  <si>
    <t>[Deshpande, C. G.; Kamra, A. K.] Indian Inst Trop Meteorol, Pune 411008, Maharashtra, India</t>
  </si>
  <si>
    <t>Ministry of Earth Sciences (MoES) - India; Indian Institute of Tropical Meteorology (IITM)</t>
  </si>
  <si>
    <t>Deshpande, CG (corresponding author), Indian Inst Trop Meteorol, Pune 411008, Maharashtra, India.</t>
  </si>
  <si>
    <t>cgdesh@tropmet.res.in</t>
  </si>
  <si>
    <t>INSA Senior Scientist programme</t>
  </si>
  <si>
    <t>The authors express their gratitude to the Director, Indian Institute of Tropical Meteorology, Pune and National Centre for Antarctic and Ocean Research, Goa for participation in the first Indian Arctic expedition. The meteorological data provided by the Alfred Wegener Institute (AWI) is thankfully acknowledged. The authors gratefully acknowledge the NOAA Air Resources Laboratory (ARL) for the provision of the HYSPLIT transport and dispersion model and READY website (http://www.arl.noaa.gov/ready.html) used in this publication. AKK is thankful for financial support under the INSA Senior Scientist programme.</t>
  </si>
  <si>
    <t>2347-4327</t>
  </si>
  <si>
    <t>0973-774X</t>
  </si>
  <si>
    <t>J EARTH SYST SCI</t>
  </si>
  <si>
    <t>J. Earth Syst. Sci.</t>
  </si>
  <si>
    <t>10.1007/s12040-013-0373-0</t>
  </si>
  <si>
    <t>Geosciences, Multidisciplinary; Multidisciplinary Sciences</t>
  </si>
  <si>
    <t>Geology; Science &amp; Technology - Other Topics</t>
  </si>
  <si>
    <t>AB4TH</t>
  </si>
  <si>
    <t>WOS:000331782300017</t>
  </si>
  <si>
    <t>Griesel, A; McClean, JL; Gille, ST; Sprintall, J; Eden, C</t>
  </si>
  <si>
    <t>Griesel, A.; McClean, J. L.; Gille, S. T.; Sprintall, J.; Eden, C.</t>
  </si>
  <si>
    <t>Eulerian and Lagrangian Isopycnal Eddy Diffusivities in the Southern Ocean of an Eddying Model</t>
  </si>
  <si>
    <t>GENERAL-CIRCULATION; SURFACE CIRCULATION; MATERIAL TRANSPORT; STOCHASTIC-MODELS; ATLANTIC-OCEAN; NORTH-ATLANTIC; MEAN-FLOW; PACIFIC; STATISTICS; EDDIES</t>
  </si>
  <si>
    <t>Lagrangian isopycnal diffusivities quantify the along-isopycnal mixing of any tracer with mean gradients along isopycnal surfaces. They are studied in the Southern Ocean of the 1/10 degrees Parallel Ocean Program (POP) model using more than 50 000 float trajectories. Concurrent Eulerian isopycnal diffusivities are estimated directly from the eddy fluxes and mean tracer gradients. Consistency, spatial variation, and relation to mean jets are evaluated. The diffusivities are calculated in bins large enough to reduce contributions from the rotational components that do not lead to net tracer mixing. Because the mean jets are nonzonal and nonparallel, meridional dispersion includes standing eddies and is significantly different from cross-stream dispersion. With the subtraction of the local Eulerian mean, the full Lagrangian diffusivity tensor can be estimated. Along-stream diffusivities are about 6 times larger than cross-stream diffusivities. Along-streamline averages of Eulerian and Lagrangian isopycnal diffusivities are similar in that they are larger north of the Antarctic Circumpolar Current (ACC) and smaller in the ACC in the upper 500 m. Eulerian diffusivities are often twice as large as the Lagrangian diffusivities below 500 m. There is large longitudinal variability in the diffusivities and in their relation to the mean flow. In bins with one prominent jet, diffusivities are reduced at the surface in the jet and increased to the north and south of the jet. There is a local maximum at depths of 500-1000 m. In other bins where mean jets merge and diverge because of topography, there is no consistent relation of the diffusivities with the mean flow. Eulerian fluxes are upgradient in about 15% of the bins.</t>
  </si>
  <si>
    <t>[Griesel, A.; Eden, C.] Univ Hamburg, D-20146 Hamburg, Germany; [McClean, J. L.; Gille, S. T.; Sprintall, J.] Univ Calif San Diego, Scripps Inst Oceanog, San Diego, CA 92103 USA</t>
  </si>
  <si>
    <t>University of Hamburg; University of California System; University of California San Diego; Scripps Institution of Oceanography</t>
  </si>
  <si>
    <t>Griesel, A (corresponding author), Univ Hamburg, KlimaCampus,Bundesstr 53, D-20146 Hamburg, Germany.</t>
  </si>
  <si>
    <t>alexa.griesel@zmaw.de</t>
  </si>
  <si>
    <t>Gille, Sarah T./B-3171-2012</t>
  </si>
  <si>
    <t>Gille, Sarah/0000-0001-9144-4368</t>
  </si>
  <si>
    <t>NSF [OCE0960914]; National Science Foundation [OCE960914]; Office of Science (BER), U.S. Department of Energy [DE-GF0205ER64119]; Los Alamos National Laboratory; Division Of Ocean Sciences; Directorate For Geosciences [0960914] Funding Source: National Science Foundation</t>
  </si>
  <si>
    <t>NSF(National Science Foundation (NSF)); National Science Foundation(National Science Foundation (NSF)); Office of Science (BER), U.S. Department of Energy(United States Department of Energy (DOE)); Los Alamos National Laboratory(United States Department of Energy (DOE)Los Alamos National Laboratory); Division Of Ocean Sciences; Directorate For Geosciences(National Science Foundation (NSF)NSF - Directorate for Geosciences (GEO))</t>
  </si>
  <si>
    <t>This work was funded by NSF Grant OCE0960914. Thanks to Mathew Maltrud (LANL) for providing his tripole POP setup and grid, initial condition and forcing, and for helping with the float deployments. This research was supported by an allocation of advanced computing resources OCE960914 provided by the National Science Foundation. The computations were performed on Kraken at the National Institute for Computational Sciences (http://www.nics.tennessee.edu/). JLM was also supported by the Office of Science (BER), U.S. Department of Energy under DE-GF0205ER64119 and a Los Alamos National Laboratory subcontract.</t>
  </si>
  <si>
    <t>10.1175/JPO-D-13-039.1</t>
  </si>
  <si>
    <t>AA3VY</t>
  </si>
  <si>
    <t>WOS:000331024500015</t>
  </si>
  <si>
    <t>Chapman, CC; Morrow, R</t>
  </si>
  <si>
    <t>Chapman, Christopher C.; Morrow, Rosemary</t>
  </si>
  <si>
    <t>Variability of Southern Ocean Jets near Topography</t>
  </si>
  <si>
    <t>Interannual variability; Models and modeling; Geographic location/entity; Observational techniques and algorithms; Jets; Southern Ocean; Satellite observations; Variability; Quasigeostrophic models; Atm/Ocean Structure/ Phenomena</t>
  </si>
  <si>
    <t>ANTARCTIC CIRCUMPOLAR CURRENT; LOW-FREQUENCY VARIABILITY; MOMENTUM BALANCE; ROSSBY WAVES; ZONAL FLOWS; TRANSPORT; IMPACT</t>
  </si>
  <si>
    <t>The interaction of jets with topography in the Southern Ocean is investigated using 19 years of altimetry data. In particular, the jet jumping mode of variability, by which two or more jets passing close to the same topographic feature show strongly anticorrelated strengthening and weakening, is studied. Three regional case studies are described-the Southeast Indian Ridge south of Tasmania, the Macquarie Ridge south of New Zealand, and the Pacific-Antarctic Rise-where the jet jumping variability is found to occur. Using principal component analysis, the spatial patterns of variability show a vortex dipole forming on either side of a particular jet. For each regional study, it is found that the variability in strength of these vortices (as measured by the spatially averaged vorticity) is strongly correlated with time series of the principle component that describes the jet jumping variability. The observational analysis is complemented by a suite of idealized numerical experiments using a three-layer quasigeostrophic model with simple topography. The numerical results show similar spatial patterns of variability to those observed in the altimetric data. Internal variability is sufficient to generate jet jumping variability, as there is no time-varying external forcing applied in the model configuration. The simulations are used to investigate the effect of topographic scale and changing bottom friction. The authors find that both have a strong influence on the time scale of the variability, with larger topographic scales and higher bottom friction leading to faster time scales. This study shows that even in regions where the flow is strongly influenced by topography, Southern Ocean jet flow may exhibit low-frequency variability.</t>
  </si>
  <si>
    <t>[Chapman, Christopher C.] Australian Natl Univ, Res Sch Earth Sci, Canberra, ACT 0200, Australia; [Chapman, Christopher C.] Australian Natl Univ, ARC Ctr Excellence Climate Syst Sci, Canberra, ACT 0200, Australia; [Chapman, Christopher C.] CSIRO Wealth Oceans Flagship, Hobart, Tas, Australia; [Morrow, Rosemary] Lab Etud Geophys &amp; Oceanog Spatiales, Toulouse, France</t>
  </si>
  <si>
    <t>Australian National University; ARC Centre of Excellence for Climate System Science; Australian National University; Commonwealth Scientific &amp; Industrial Research Organisation (CSIRO); Universite de Toulouse; Universite Toulouse III - Paul Sabatier; Centre National de la Recherche Scientifique (CNRS); Institut de Recherche pour le Developpement (IRD); Laboratoire d'Etudes en Geophysique et oceanographie spatiales</t>
  </si>
  <si>
    <t>Chapman, CC (corresponding author), Australian Natl Univ, Res Sch Earth Sci, Bldg 142,Mills Rd, Canberra, ACT 0200, Australia.</t>
  </si>
  <si>
    <t>chris.chapman@anu.edu.au</t>
  </si>
  <si>
    <t>Chapman, Christopher/AAV-2844-2021</t>
  </si>
  <si>
    <t>Chapman, Christopher/0000-0002-0877-4778</t>
  </si>
  <si>
    <t>CNES; National Facility of the Australian Partnership for Advanced Computing; CSIRO Wealth from Oceans Flagship Scholarship; STFC [ST/I001948/1] Funding Source: UKRI</t>
  </si>
  <si>
    <t>CNES(Centre National D'etudes Spatiales); National Facility of the Australian Partnership for Advanced Computing; CSIRO Wealth from Oceans Flagship Scholarship; STFC(UK Research &amp; Innovation (UKRI)Science &amp; Technology Facilities Council (STFC))</t>
  </si>
  <si>
    <t>The authors would like to acknowledge Drs. A. McC. Hogg and S. R. Rintoul for helpful discussions along with two anonymous reviewers whose comments greatly improved the manuscript. The altimeter products were produced by SSALTO/DUACS and distributed by AVISO with support from CNES. Numerical computations were supported by an award under the Merit Allocation Scheme on the National Facility of the Australian Partnership for Advanced Computing. C. C. Chapman is supported by a CSIRO Wealth from Oceans Flagship Scholarship.</t>
  </si>
  <si>
    <t>10.1175/JPO-D-13-0182.1</t>
  </si>
  <si>
    <t>WOS:000331024500016</t>
  </si>
  <si>
    <t>LaCasce, JH; Ferrari, R; Marshall, J; Tulloch, R; Balwada, D; Speer, K</t>
  </si>
  <si>
    <t>LaCasce, J. H.; Ferrari, R.; Marshall, J.; Tulloch, R.; Balwada, D.; Speer, K.</t>
  </si>
  <si>
    <t>Float-Derived Isopycnal Diffusivities in the DIMES Experiment</t>
  </si>
  <si>
    <t>Southern Ocean; Lagrangian circulation/transport; Circulation/ Dynamics; Mixing; Geographic location/entity</t>
  </si>
  <si>
    <t>GENERAL-CIRCULATION; SOUTHERN-OCEAN; LATERAL DIFFUSIVITY; EDDY DIFFUSIVITY; TRAJECTORIES; VARIABILITY; SUPPRESSION; STATISTICS; TRANSPORT; PACIFIC</t>
  </si>
  <si>
    <t>As part of the Diapycnal and Isopycnal Mixing Experiment in the Southern Ocean (DIMES), 210 subsurface floats were deployed west of the Drake Passage on two targeted density surfaces. Absolute (single particle) diffusivities are calculated for the floats. The focus is on the meridional component, which is less affected by the mean shear. The diffusivities are estimated in several ways, including a novel method based on the probability density function of the meridional displacements. This allows the determination of the range of possible lateral diffusivities, as well as the period over which the spreading can be said to be diffusive. The method is applied to the float data and to synthetic trajectories generated with the Massachusetts Institute of Technology General Circulation Model (MITgcm). Because of ballasting problems, many of the floats did not remain on their targeted density surface. However, the float temperature records suggest that most occupied a small range of densities, so the floats were grouped together for the analysis. The latter focuses on a subset of 109 of the floats, launched near 105 degrees W. The different methods yield a consistent estimate for the diffusivity of 800 +/- 200 m(2) s(-1). The same calculations were made with model particles deployed on 20 different density surfaces and the result for the particles deployed on the neutral density surface gamma = 27.7 surface was the same within the errors. The model was then used to map the variation of the diffusivity in the vertical, near the core of the Antarctic Circumpolar Current (ACC). The results suggest mixing is intensified at middepths, between 1500 and 2000 m, consistent with several previous studies.</t>
  </si>
  <si>
    <t>[LaCasce, J. H.] Univ Oslo, N-0315 Oslo, Norway; [Ferrari, R.; Marshall, J.; Tulloch, R.] MIT, Cambridge, MA 02139 USA; [Balwada, D.; Speer, K.] Florida State Univ, Tallahassee, FL 32306 USA</t>
  </si>
  <si>
    <t>University of Oslo; Massachusetts Institute of Technology (MIT); State University System of Florida; Florida State University</t>
  </si>
  <si>
    <t>LaCasce, JH (corresponding author), Univ Oslo, Dept Geosci, POB 1022 Blindern, N-0315 Oslo, Norway.</t>
  </si>
  <si>
    <t>j.h.lacasce@geo.uio.no</t>
  </si>
  <si>
    <t>Ferrari, Raffaele/0000-0002-3736-1956; LaCasce, Joseph Henry/0000-0001-7655-5596; Balwada, Dhruv/0000-0001-6632-0187</t>
  </si>
  <si>
    <t>NSF [OCE-1233832, OCE-1232962]; Directorate For Geosciences; Division Of Ocean Sciences [1048926, 1233832] Funding Source: National Science Foundation</t>
  </si>
  <si>
    <t>NSF(National Science Foundation (NSF)); Directorate For Geosciences; Division Of Ocean Sciences(National Science Foundation (NSF)NSF - Directorate for Geosciences (GEO))</t>
  </si>
  <si>
    <t>R. Tulloch, J. Marshall, and R. Ferrari acknowledge NSF support through Awards OCE-1233832 and OCE-1232962.</t>
  </si>
  <si>
    <t>10.1175/JPO-D-13-0175.1</t>
  </si>
  <si>
    <t>WOS:000331024500021</t>
  </si>
  <si>
    <t>Oiwane, H; Ikehara, M; Suganuma, Y; Miura, H; Nakamura, Y; Sato, T; Nogi, Y; Yamane, M; Yokoyama, Y</t>
  </si>
  <si>
    <t>Oiwane, Hisashi; Ikehara, Minoru; Suganuma, Yusuke; Miura, Hideki; Nakamura, Yasuyuki; Sato, Taichi; Nogi, Yoshifumi; Yamane, Masako; Yokoyama, Yusuke</t>
  </si>
  <si>
    <t>Sediment waves on the Conrad Rise, Southern Indian Ocean: Implications for the migration history of the Antarctic Circumpolar Current</t>
  </si>
  <si>
    <t>Conrad Rise; Southern Ocean; Antarctic Circumpolar Current; sediment wave; multi-channel seismic reflection</t>
  </si>
  <si>
    <t>POLAR FRONT; ATLANTIC SECTOR; WORLD OCEAN; DIATOM; VARIABILITY; SILICOFLAGELLATE; CIRCULATION; TRANSITION; SYSTEMS; ORIGIN</t>
  </si>
  <si>
    <t>The Antarctic Circumpolar Current (ACC) is the worlds longest and largest current system; therefore, it plays a prominent role in the global distribution of heat, nutrients and greenhouse gasses. While past changes in the ACC have been reconstructed by a number of studies using sedimentary records in the Southern Ocean, a detailed understanding of the relationship between its temporal and spatial variability and the changes in the Earths climatic system remains unclear. In this study, we conducted multibeam bathymetry, multi-channel seismic reflection, and sediment coring surveys on the Conrad Rise, located in the southern Indian Ocean sector of the ACC. These data reveal large scale sediment wave structures with continuous and parallel reflectors that have low to moderate reflection amplitudes in the upper part of the seismic section (Unit A). These phenomena are most likely formed by bottom current interactions with the sea-floor and sediment transport under the ACC. The basal age of Unit A is estimated to be younger than Pliocene/Pleistocene boundary based on the extrapolation of sedimentation rates from a shallow sedimentary core. The lower part of the section (Unit B) is characterized by moderate to high amplitude sub-horizontal to horizontal reflectors that are interpreted as pelagic sedimentation with stronger current influence to the upper part of the unit. Based on the correlation with ODP sites in the Southern Ocean, we estimate that the upper part of Unit B mainly comprises calcareous ooze. Though the age of the change in the sedimentary environment from seismic Units B to A is not specified, it is thought to be caused by a northward shift of the ACC. (C) 2013 Elsevier BAT. All rights reserved.</t>
  </si>
  <si>
    <t>[Oiwane, Hisashi; Suganuma, Yusuke; Miura, Hideki; Nogi, Yoshifumi] Natl Inst Polar Res, Tachikawa, Tokyo 1908518, Japan; [Ikehara, Minoru] Kochi Univ, Ctr Adv Marine Core Res, Nankoku, Kochi 7838502, Japan; [Nakamura, Yasuyuki] Japan Agcy Marine Earth Sci &amp; Technol, Kanazawa Ku, Yokohama, Kanagawa 2360001, Japan; [Nakamura, Yasuyuki; Yamane, Masako; Yokoyama, Yusuke] Univ Tokyo, Atmosphere &amp; Ocean Res Inst, Kashiwa, Chiba 2778564, Japan; [Sato, Taichi] Geol Survey Japan, Tsukuba, Ibaraki 3058567, Japan; [Yamane, Masako] Japan Agcy Marine Earth Sci &amp; Technol, Yokosuka, Kanagawa 2370061, Japan</t>
  </si>
  <si>
    <t>Research Organization of Information &amp; Systems (ROIS); National Institute of Polar Research (NIPR) - Japan; Kochi University; Japan Agency for Marine-Earth Science &amp; Technology (JAMSTEC); University of Tokyo; Japan Agency for Marine-Earth Science &amp; Technology (JAMSTEC)</t>
  </si>
  <si>
    <t>Oiwane, H (corresponding author), Natl Inst Polar Res, 10-3 Midori Cho, Tachikawa, Tokyo 1908518, Japan.</t>
  </si>
  <si>
    <t>oiwane@me.com</t>
  </si>
  <si>
    <t>; Sato, Taichi/N-2235-2018</t>
  </si>
  <si>
    <t>Yamane, Masako/0000-0002-5063-0719; Sato, Taichi/0000-0002-2158-3730; suganuma, yusuke/0000-0003-3516-1317; Nakamura, Yasuyuki/0000-0001-6750-2791; Yokoyama, Yusuke/0000-0001-7869-5891; Ikehara, Minoru/0000-0002-2695-4713; Nogi, Yoshifumi/0000-0001-8457-4244</t>
  </si>
  <si>
    <t>JSPS KAKENHI [19340156, 21253001, 90335919, 23244102]; NIPR [KP-1]; Kochi University research project GEEDS; JAMSTEC feasibility study for IODP proposal; Grants-in-Aid for Scientific Research [23244102, 19340156, 21253001] Funding Source: KAKEN</t>
  </si>
  <si>
    <t>JSPS KAKENHI(Ministry of Education, Culture, Sports, Science and Technology, Japan (MEXT)Japan Society for the Promotion of ScienceGrants-in-Aid for Scientific Research (KAKENHI)); NIPR(National Institute of Polar Research (NIPR) - Japan); Kochi University research project GEEDS; JAMSTEC feasibility study for IODP proposal; Grants-in-Aid for Scientific Research(Ministry of Education, Culture, Sports, Science and Technology, Japan (MEXT)Japan Society for the Promotion of ScienceGrants-in-Aid for Scientific Research (KAKENHI))</t>
  </si>
  <si>
    <t>We thank R. McKay, R. Larter (Reviewers), and T. Naish for the comprehensive discussions about the oceanographic and climatic change in the Southern Ocean. We also thank J.V. Durgadoo and S. Aoki for the helpful discussions concerning oceanic current around the Conrad Rise. We also thank the officers, crews, and technicians who provided essential help with data acquisition during the R/V Hakuho-maru KH-07-4 Leg 3 and KH-10-7 Leg 4 cruises. We also thank technical staff T. Matsuzaki, S. Yanagimoto, S. Sakaguchi, and C. Nishimori for non-destructive measurements of sediment cores in Kochi University. This work was supported by JSPS KAKENHI (19340156, 21253001, 90335919, and 23244102), NIPR through Advanced Project (KP-1), Kochi University research project GEEDS, and JAMSTEC feasibility study for IODP proposal. The GMT software (Wessel and Smith, 1998) was used for mapping bathymetric and gradient data. The production of this paper was supported by an NIPR publication subsidy.</t>
  </si>
  <si>
    <t>10.1016/j.margeo.2013.10.008</t>
  </si>
  <si>
    <t>AB3HH</t>
  </si>
  <si>
    <t>WOS:000331681400003</t>
  </si>
  <si>
    <t>Gireesh, R; Pandey, DK</t>
  </si>
  <si>
    <t>Gireesh, R.; Pandey, D. K.</t>
  </si>
  <si>
    <t>Basement characteristics along South West Indian Margin</t>
  </si>
  <si>
    <t>PETROLEUM EXPLORATION AND DEVELOPMENT</t>
  </si>
  <si>
    <t>South western continental margin of India; Laccadive ridge; Laccadive basin; seismic interpretation; gravity anomaly; seaward dipping reflector</t>
  </si>
  <si>
    <t>SEAWARD-DIPPING REFLECTORS; CHAGOS-LACCADIVE RIDGE; CONTINENTAL-MARGIN; GRAVITY; OCEAN; SEA; BATHYMETRY; MADAGASCAR; BREAKUP; ORIGIN</t>
  </si>
  <si>
    <t>Results from detailed analyses of multi-channel seismic reflection data in association with gravity anomalies and lithology data from drilled holes are used to find out the basement structure in the vicinity of the Laccadive Ridge and Laccadive basin along southwest Indian margin. Morphology and seismic interpretation results show the basement in the study area having faulted blocks with horst/ graben pattern, and there are basement highs parallel to the coastal line. While the margin highs are sediment deprived, thick sediments are observed in surrounding areas of the margin highs, with thickness up to 2-3s (TWT), and these sedimentary layers usually pinch out suddenly at the lower wall of steep normal faults. A thin layer of sediments is observed on the Laccadive Ridge in this region which has several small ridge peaks (distributed along ridge extension direction), that sometimes outcrop the seafloor. The basement ridge peaks are usually several thousand meters wide, and show obvious high abnormal gravity anomaly. The basement in the Laccadive basin is highly faulted, and appears to has evolved as stretched margin.</t>
  </si>
  <si>
    <t>[Gireesh, R.; Pandey, D. K.] Natl Ctr Antarctic &amp; Ocean Res, Vasco Da Gama 403804, Goa, India</t>
  </si>
  <si>
    <t>Pandey, DK (corresponding author), Natl Ctr Antarctic &amp; Ocean Res, Vasco Da Gama 403804, Goa, India.</t>
  </si>
  <si>
    <t>pandey@ncaor.gov.in</t>
  </si>
  <si>
    <t>Pandey, Dhananjai/S-3843-2019; R, Gireesh/AAK-7539-2021</t>
  </si>
  <si>
    <t>Pandey, Dhananjai/0000-0001-6899-8995; R, Gireesh/0000-0003-4962-5063</t>
  </si>
  <si>
    <t>DST, India</t>
  </si>
  <si>
    <t>DST, India(Department of Science &amp; Technology (India))</t>
  </si>
  <si>
    <t>The authors are thankful to the Director, National Centre for Antarctic and Ocean Research (Goa) for the support given in publishing the work. They are also thankful to Directorate General of Hydrocarbons (DGH) for providing the seismic data set and DST, India for providing the financial support. This is NCAOR contribution no 25/2013.</t>
  </si>
  <si>
    <t>KEAI PUBLISHING LTD</t>
  </si>
  <si>
    <t>16 DONGHUANGCHENGGEN NORTH ST, BEIJING, DONGHENG DISTRICT 100717, PEOPLES R CHINA</t>
  </si>
  <si>
    <t>1000-0747</t>
  </si>
  <si>
    <t>PETROL EXPLOR DEV+</t>
  </si>
  <si>
    <t>Petroleum Explor. Dev.</t>
  </si>
  <si>
    <t>10.1016/S1876-3804(14)60007-0</t>
  </si>
  <si>
    <t>Energy &amp; Fuels; Engineering, Petroleum; Geosciences, Multidisciplinary</t>
  </si>
  <si>
    <t>Energy &amp; Fuels; Engineering; Geology</t>
  </si>
  <si>
    <t>AB3XZ</t>
  </si>
  <si>
    <t>WOS:000331724800007</t>
  </si>
  <si>
    <t>Payne, NL; Taylor, MD; Watanabe, YY; Semmens, JM</t>
  </si>
  <si>
    <t>Payne, Nicholas L.; Taylor, Matthew D.; Watanabe, Yuuki Y.; Semmens, Jayson M.</t>
  </si>
  <si>
    <t>From physiology to physics: are we recognizing the flexibility of biologging tools?</t>
  </si>
  <si>
    <t>Acoustic telemetry; Energetics; Hypoxia; Logger; Penguin; Scaling; Seal; Shark; Stroke frequency; Temperature</t>
  </si>
  <si>
    <t>TUNA THUNNUS-MACCOYII; ENERGY-EXPENDITURE; DOSIDICUS-GIGAS; ADELIE PENGUINS; DIVING BEHAVIOR; DATA LOGGERS; SWIM SPEED; FIN WHALES; MOVEMENT; FISH</t>
  </si>
  <si>
    <t>The remote measurement of data from free-ranging animals has been termed 'biologging' and in recent years this relatively small set of tools has been instrumental in addressing remarkably diverse questions -from 'how will tuna respond to climate change?' to 'why are whales big?'. While a single biologging dataset can have the potential to test hypotheses spanning physiology, ecology, evolution and theoretical physics, explicit illustrations of this flexibility are scarce and this has arguably hindered the full realization of the power of biologging tools. Here we present a small set of examples from studies that have collected data on two parameters widespread in biologging research (depth and acceleration), but that have interpreted their data in the context of extremely diverse phenomena: from tests of biomechanical and diving-optimality models to identifications of feeding events, Levy flight foraging strategies and expanding oxygen minimum zones. We use these examples to highlight the remarkable flexibility of biologging tools, and identify several mechanisms that may enhance the scope and dissemination of future biologging research programs.</t>
  </si>
  <si>
    <t>[Payne, Nicholas L.] Univ New S Wales, Sch Biol Earth &amp; Environm Sci, Sydney, NSW 2052, Australia; [Taylor, Matthew D.] Port Stephens Fisheries Inst, New South Wales Dept Primary Ind, Nelson Bay, NSW 2315, Australia; [Payne, Nicholas L.; Watanabe, Yuuki Y.] Natl Inst Polar Res, Tachikawa, Tokyo 1908518, Japan; [Semmens, Jayson M.] Univ Tasmania, Inst Marine &amp; Antarctic Studies, Hobart, Tas 7001, Australia</t>
  </si>
  <si>
    <t>University of New South Wales Sydney; NSW Department of Primary Industries; Research Organization of Information &amp; Systems (ROIS); National Institute of Polar Research (NIPR) - Japan; University of Tasmania</t>
  </si>
  <si>
    <t>Payne, NL (corresponding author), Univ New S Wales, Sch Biol Earth &amp; Environm Sci, Sydney, NSW 2052, Australia.</t>
  </si>
  <si>
    <t>n.payne@unsw.edu.au</t>
  </si>
  <si>
    <t>Payne, Nicholas L/E-7811-2013; Taylor, Matthew David/IRZ-9539-2023; Watanabe, Yuuki/D-5079-2012</t>
  </si>
  <si>
    <t>Taylor, Matthew David/0000-0002-1519-9521; Payne, Nicholas/0000-0002-5274-471X; Watanabe, Yuuki/0000-0001-9731-1769; Semmens, Jayson/0000-0003-1742-6692</t>
  </si>
  <si>
    <t>Australian Research Council Linkage Grant [LP100100367]; Grants-in-Aid for Scientific Research [13F03749, 25850138] Funding Source: KAKEN; Australian Research Council [LP100100367] Funding Source: Australian Research Council</t>
  </si>
  <si>
    <t>Australian Research Council Linkage Grant(Australian Research Council); Grants-in-Aid for Scientific Research(Ministry of Education, Culture, Sports, Science and Technology, Japan (MEXT)Japan Society for the Promotion of ScienceGrants-in-Aid for Scientific Research (KAKENHI)); Australian Research Council(Australian Research Council)</t>
  </si>
  <si>
    <t>N.L.P. was supported by an Australian Research Council Linkage Grant [LP100100367].</t>
  </si>
  <si>
    <t>10.1242/jeb.093922</t>
  </si>
  <si>
    <t>AA6JH</t>
  </si>
  <si>
    <t>WOS:000331204100009</t>
  </si>
  <si>
    <t>Zhang, HS; Zhao, J; Han, ZB; Lu, B; Peter, HU</t>
  </si>
  <si>
    <t>Zhang, Haisheng; Zhao, Jun; Han, Zhengbing; Lu, Bing; Peter, Hans-Ulrich</t>
  </si>
  <si>
    <t>Population dynamics of Pygoscelis penguins (1980-2012) and penguin dropping records (1916-2001) on Ardley Island of West Antarctica, in response to ENSO</t>
  </si>
  <si>
    <t>CHINESE SCIENCE BULLETIN</t>
  </si>
  <si>
    <t>Pygoscelis sp.; Penguin population dynamics; Penguin dropping records; Lipid biomarkers; Ardley Island; ENSO</t>
  </si>
  <si>
    <t>KING GEORGE ISLAND; CLIMATE-CHANGE; FATTY-ACIDS; SEA-ICE; LIPID BIOMARKER; PENINSULA; DISTRIBUTIONS; STRATIGRAPHY; PALEOCLIMATE; COMMUNITIES</t>
  </si>
  <si>
    <t>El Nio-Southern Oscillation (ENSO) has affected penguins and their habitats in the western Antarctic Peninsula. We used both historical penguin population dynamics data (1980-2012) and sedimentary lipids in penguin droppings (1916-2001) on Ardley Island to examine the responses of the Antarctic ecosystem to ENSO (El Nio/La Nia) events. The results showed that during the last 30 years, climate, marine food chain changes, and human activity have significantly affected penguin population sizes on Ardley Island. The Chinstrap (Pygoscelis antarctica) and Ad,lie (P. adeliae) penguin populations showed a good correlation with ENSO events. The Chinstrap penguin population decreased significantly because it was more sensitive to increasing human disturbance (e.g., scientific activity and tourism) than Ad,lie and Gentoo (P. papua), particularly during the breeding season. Compositional features of n-alkanes in penguin dropping sediments revealed that organic matter came from lower terrestrial plants, bacteria and algae. C-23 was the main n-alkane heavy hydrocarbon indicating mosses and lichens in the penguin's diet. Variation in the ratio of nC(23)/nC(17) was closely correlated with ENSO events. The bacteria intrusion index (ratio of (iC(15:0) + aC(15:0))/nC(15:0) for fatty acids) reflected significant increases in microorganism activity during several periods in this area. Meanwhile, the CPIA value for fatty acids decreased because micro-organisms contributed light hydrocarbon fatty acids to penguin droppings. Our results showed that the fine structure and molecular indices of fatty acids and n-alkanes in penguin dropping sediments can be used to explain climate-driven microbial processes, and to reveal the important role that microbes and bacteria play in the relatively simple Antarctic ecosystem.</t>
  </si>
  <si>
    <t>[Zhang, Haisheng; Zhao, Jun; Han, Zhengbing; Lu, Bing] State Ocean Adm, Inst Oceanog 2, Key Lab Marine Ecosyst &amp; Biogeochem, Hangzhou 310012, Zhejiang, Peoples R China; [Peter, Hans-Ulrich] Univ Jena, Inst Ecol, D-07743 Jena, Germany</t>
  </si>
  <si>
    <t>Ministry of Natural Resources of the People's Republic of China; Second Institute of Oceanography, Ministry of Natural Resources; Friedrich Schiller University of Jena</t>
  </si>
  <si>
    <t>Zhang, HS (corresponding author), State Ocean Adm, Inst Oceanog 2, Key Lab Marine Ecosyst &amp; Biogeochem, Hangzhou 310012, Zhejiang, Peoples R China.</t>
  </si>
  <si>
    <t>zhangsoa@163.com</t>
  </si>
  <si>
    <t>Zhao, Jun/E-2834-2012</t>
  </si>
  <si>
    <t>Zhao, Jun/0000-0001-6592-3365</t>
  </si>
  <si>
    <t>National Natural Science Foundation of China [40876104, 41306202]; scientific research fund of Second Institute of Oceanography, State Oceanic Administration [JT1208, JG1218]; Chinese Arctic and Antarctic Administration Foundation [20110208]</t>
  </si>
  <si>
    <t>National Natural Science Foundation of China(National Natural Science Foundation of China (NSFC)); scientific research fund of Second Institute of Oceanography, State Oceanic Administration; Chinese Arctic and Antarctic Administration Foundation</t>
  </si>
  <si>
    <t>The authors would like to thank the Chinese National Antarctic Research Expeditions (CHINAREs) and the Federal Environment Agency of Germany for their help during sampling and penguin counting. This work was supported by the National Natural Science Foundation of China (40876104 and 41306202), the scientific research fund of Second Institute of Oceanography, State Oceanic Administration (JT1208 and JG1218) and Chinese Arctic and Antarctic Administration Foundation (20110208).</t>
  </si>
  <si>
    <t>1001-6538</t>
  </si>
  <si>
    <t>1861-9541</t>
  </si>
  <si>
    <t>CHINESE SCI BULL</t>
  </si>
  <si>
    <t>Chin. Sci. Bull.</t>
  </si>
  <si>
    <t>10.1007/s11434-013-0030-7</t>
  </si>
  <si>
    <t>AA1AG</t>
  </si>
  <si>
    <t>WOS:000330827900011</t>
  </si>
  <si>
    <t>Kelly, KA; Thompson, L; Lyman, J</t>
  </si>
  <si>
    <t>Kelly, Kathryn A.; Thompson, LuAnne; Lyman, John</t>
  </si>
  <si>
    <t>The Coherence and Impact of Meridional Heat Transport Anomalies in the Atlantic Ocean Inferred from Observations</t>
  </si>
  <si>
    <t>Antarctic Oscillation; Atmosphere-ocean interaction; Heating; Meridional overturning circulation; Ocean circulation; Energy transport</t>
  </si>
  <si>
    <t>SOUTHERN-OCEAN; OVERTURNING CIRCULATION; CLIMATOLOGY; VARIABILITY; PROJECT; FLUXES</t>
  </si>
  <si>
    <t>Observations of thermosteric sea level (TSL) from hydrographic data, equivalent water thickness (EWT) from the Gravity Recovery and Climate Experiment (GRACE), and altimetric sea surface height (SSH) are used to infer meridional heat transport (MHT) anomalies for the Atlantic Ocean. An unknown control version of a Kalman filter in each of eight regions extracts smooth estimates of heat transport convergence (HTC) from discrepancies between the response to monthly surface heat and freshwater fluxes and observed mass and heat content. Two models are used: model A using only the heat budget for 1993-2010 and model B using both heat and mass budgets for 2003-10. Based on the small contributions of mass to SSH, model A is rerun using SSH in place of TSL to improve temporal resolution and data consistency. Estimates of MHT are derived by summing the HTC from north to south assuming either negligible anomalies at 67 degrees N or setting MHT to observed values near 40 degrees N. Both methods show that MHT is highly coherent between 35 degrees S and 40 degrees N. The former method gives a large drop in coherence north of 40 degrees N while the latter method gives a less dramatic drop. Estimated anomalies in MHT comparable to or larger than that recently observed at the Rapid Climate Change and Meridional Overturning Circulation and Heatflux Array (RAPID/MOCHA) line at 26.5 degrees N have occurred multiple times in this 18-yr period. Positive anomalies in coherent MHT correspond to increased heat loss in the North Atlantic subtropical gyre demonstrating the feedback of oceanic heat transport anomalies on air-sea fluxes. A correlation of MHT with the Antarctic Oscillation suggests a southern source for the coherent MHT anomalies.</t>
  </si>
  <si>
    <t>[Kelly, Kathryn A.] Univ Washington, Appl Phys Lab, Seattle, WA 98195 USA; [Thompson, LuAnne] Univ Washington, Sch Oceanog, Seattle, WA 98195 USA; [Lyman, John] NOAA, Pacific Marine Environm Lab, Seattle, WA 98115 USA; [Lyman, John] Univ Hawaii Manoa, Joint Inst Marine &amp; Atmospher Res, Honolulu, HI 96822 USA</t>
  </si>
  <si>
    <t>University of Washington; University of Washington Seattle; University of Washington; University of Washington Seattle; National Oceanic Atmospheric Admin (NOAA) - USA; University of Hawaii System; University of Hawaii Manoa</t>
  </si>
  <si>
    <t>Kelly, KA (corresponding author), Univ Washington, Appl Phys Lab, Box 355640, Seattle, WA 98195 USA.</t>
  </si>
  <si>
    <t>kkelly@apl.washington.edu</t>
  </si>
  <si>
    <t>Thompson, LuAnne/AAA-1000-2020</t>
  </si>
  <si>
    <t>Thompson, LuAnne/0000-0001-8295-0533; Lyman, John/0000-0002-7200-4663</t>
  </si>
  <si>
    <t>NASA [61-7449]; University of Washington; NOAA Climate Program Office; NOAA Office of Oceanic and Atmospheric Research; CNES; NASA MEASURES Program; NOAA Climate Observations and Monitoring (COM) program; NASA Ocean Vector Winds Science Team</t>
  </si>
  <si>
    <t>NASA(National Aeronautics &amp; Space Administration (NASA)); University of Washington(University of Washington); NOAA Climate Program Office(National Oceanic Atmospheric Admin (NOAA) - USA); NOAA Office of Oceanic and Atmospheric Research(National Oceanic Atmospheric Admin (NOAA) - USA); CNES(Centre National D'etudes Spatiales); NASA MEASURES Program; NOAA Climate Observations and Monitoring (COM) program; NASA Ocean Vector Winds Science Team(National Aeronautics &amp; Space Administration (NASA))</t>
  </si>
  <si>
    <t>KAK and LT were supported by NASA through Grant 61-7449 (Ocean Surface Topography Science Team) with the University of Washington. JL was supported by the NOAA Climate Program Office and the NOAA Office of Oceanic and Atmospheric Research. The sea level product MSS_CNES_CLS10 was produced by CLS Space Oceanography Division and distributed by Aviso, with support from CNES (http://www.aviso.oceanobs.com/). The bulk of the in situ data was provided through the World Ocean Database 2005 and the Global Temperature-Salinity Profile Program (http://www.nodc.noaa.gov). Float data were collected and made freely available by the Argo Program (of the Global Ocean Observing System) and contributing national programs (http://www.argo.net/). GRACE gravity data were processed by Don P. Chambers, supported by the NASA MEASURES Program, and are available at http://grace.jpl.nasa.gov. The OAFlux project is located at the Woods Hole Oceanographic Institution and is supported by both the NOAA Climate Observations and Monitoring (COM) program and the NASA Ocean Vector Winds Science Team. The Global Precipitation Climatology Project (GPCP) and the International Satellite Cloud Climatology Program (ISCCP) were both established as part of the World Climate Research Programme (WCRP) to provide access to global products. We thank J. Willis, W. Johns, S. Dong, and C. Meinen for making their MOC/MHT estimates available for comparison. J. Zhang computed the MHT estimates from HIM. Anonymous reviewers contributed to an improved analysis and presentation.</t>
  </si>
  <si>
    <t>10.1175/JCLI-D-12-00131.1</t>
  </si>
  <si>
    <t>AA0VS</t>
  </si>
  <si>
    <t>WOS:000330816100007</t>
  </si>
  <si>
    <t>Velbel, MA</t>
  </si>
  <si>
    <t>Velbel, Michael A.</t>
  </si>
  <si>
    <t>Terrestrial weathering of ordinary chondrites in nature and continuing during laboratory storage and processing: Review and implications for Hayabusa sample integrity</t>
  </si>
  <si>
    <t>METEORITICS &amp; PLANETARY SCIENCE</t>
  </si>
  <si>
    <t>ANTARCTIC METEORITES; AQUEOUS ALTERATION; ASTEROID ITOKAWA; REE MOBILIZATION; OXYGEN-ISOTOPE; H-CHONDRITES; PRODUCTS; HOT; DISSOLUTION; CARBONATES</t>
  </si>
  <si>
    <t>The Hayabusa mission recently returned the first samples from an ordinary chondrite (OC) parent body. Olivine, low-Ca pyroxene, and kamacite compositions fall within the known ranges of minerals from LL4 to LL6 chondrites. Hayabusa samples are being processed and stored in a pure N-2 atmosphere. However, during recovery, prior to receiving, and during preliminary examination, some Hayabusa samples were briefly exposed to terrestrial atmosphere. Some of the minerals already identified in the Hayabusa samples (olivine, sulfides) are known to be among the most vulnerable to weathering reactions in moist, oxidizing terrestrial environments. Oxidation of Fe in metal, sulfides, and ferrous silicates is ubiquitous in naturally weathered OC finds, in samples of falls subjected to even a few decades of weathering before recovery, and in OC falls recovered and curated promptly after recovery. All prerecovery oxidation, hydrolysis, hydration, and product-forming phenomena documented to affect OC finds have been documented to continue in OC samples in curatorial and laboratory settings, producing mineralogical and textural effects at scales easily discernable by electron microscopy, on timescales of decades. Hayabusa samples will be exposed to similar terrestrial conditions at times throughout sample processing, allocation, and examination. Maximizing the science yield from these important samples requires thorough understanding of how LL chondrite minerals like those in the Hayabusa samples react with terrestrial moisture and oxidants in support of proper planning for maintaining Hayabusa sample integrity after allocation, and for proper anticipation of the effects of inevitable exposure to Earth's atmosphere during storage and examination in terrestrial analytical laboratories.</t>
  </si>
  <si>
    <t>Michigan State Univ, Dept Geol Sci, E Lansing, MI 48824 USA</t>
  </si>
  <si>
    <t>Michigan State University</t>
  </si>
  <si>
    <t>Velbel, MA (corresponding author), Michigan State Univ, Dept Geol Sci, 288 Farm Lane,Room 206 Nat Sci Bldg, E Lansing, MI 48824 USA.</t>
  </si>
  <si>
    <t>velbel@msu.edu</t>
  </si>
  <si>
    <t>NASA Planetary Materials and Geochemistry Program</t>
  </si>
  <si>
    <t>I am most grateful to Dr. James L. Gooding for sponsoring the NASA/ASEE Summer Faculty Fellowship at the NASA Johnson Space Center during which this work began and the SEM analyses of the LEW 85320 efflorescences were completed; for sharing his facilities; and for numerous thought-provoking discussions over many years after. Analyses of LEW 85320 were supported in part by the NASA Planetary Materials and Geochemistry Program (J.L. Gooding, Principal Investigator). I thank Doug Ming and Susan J. Wentworth for technical assistance, and the Antarctic Meteorite Working Group for allocating samples. James W. Ashley accompanied me up the steep part of the learning curve about the terrestrial weathering of ordinary chondrites, and continues to provide stimulating insights into meteorite weathering. Brother Guy Consolmagno, S.J., has been a source of helpful and encouraging perspectives on long-term scholarly enterprises. Anna I. Losiak's penetrating questions have informed my musings on terrestrial weathering of meteorites and terrestrial ultramafic rocks. Daniel R. Snyder shared his experience with studies of terrestrial weathering of terrestrial ultramafic rocks. Kelly McDonnell assisted ably in compiling published compositional data. I am grateful to participants at the workshop on The Importance of Solar System Sample Return Missions to the Future of Planetary Science (March 2011) and the Michigan Space Grant Consortium Annual Conference (November 2011) for their positive responses to earlier versions of this work. Thorough reviews by an anonymous reviewer and Phil Bland, and comments by Associate Editor Alex Ruzicka were most helpful in preparing the final draft, and are greatly appreciated.</t>
  </si>
  <si>
    <t>1086-9379</t>
  </si>
  <si>
    <t>1945-5100</t>
  </si>
  <si>
    <t>METEORIT PLANET SCI</t>
  </si>
  <si>
    <t>Meteorit. Planet. Sci.</t>
  </si>
  <si>
    <t>10.1111/j.1945-5100.2012.01405.x</t>
  </si>
  <si>
    <t>AA6FH</t>
  </si>
  <si>
    <t>WOS:000331193700002</t>
  </si>
  <si>
    <t>Zeng, YX; Yu, Y; Qiao, ZY; Jin, HY; Li, HR</t>
  </si>
  <si>
    <t>Zeng, Yin-Xin; Yu, Yong; Qiao, Zong-Yun; Jin, Hai-Yan; Li, Hui-Rong</t>
  </si>
  <si>
    <t>Diversity of bacterioplankton in coastal seawaters of Fildes Peninsula, King George Island, Antarctica</t>
  </si>
  <si>
    <t>ARCHIVES OF MICROBIOLOGY</t>
  </si>
  <si>
    <t>Marine bacterioplankton; Diversity; Pyrosequencing; King George Island</t>
  </si>
  <si>
    <t>ANOXYGENIC PHOTOTROPHIC BACTERIA; MARINE BACTERIOPLANKTON; RNA GENE; COMMUNITY COMPOSITION; SEA-ICE; CLASS PROTEOBACTERIA; SURFACE WATERS; SOUTHERN-OCEAN; ARCTIC-OCEAN; SP NOV.</t>
  </si>
  <si>
    <t>The bacterioplankton not only serves critical functions in marine nutrient cycles, but can also serve as indicators of the marine environment. The compositions of bacterial communities in the surface seawater of Ardley Cove and Great Wall Cove were analyzed using a 16S rRNA multiplex 454 pyrosequencing approach. Similar patterns of bacterial composition were found between the two coves, in which Bacteroidetes, Alphaproteobacteria, and Gammaproteobacteria were the dominant members of the bacterioplankton communities. In addition, a large fraction of the bacterial sequence reads (on average 5.3 % per station) could not be assigned below the domain level. Compared with Ardley Cove, Great Wall Cove showed higher chlorophyll and particulate organic carbon concentrations and exhibited relatively lower bacterial richness and diversity. Inferred metabolisms of summer bacterioplankton in the two coves were characterized by chemoheterotrophy and photoheterotrophy. Results suggest that some cosmopolitan species (e.g., Polaribacter and Sulfitobacter) belonging to a few bacterial groups that usually dominate in marine bacterioplankton communities may have similar ecological functions in similar marine environments but at different geographic locations.</t>
  </si>
  <si>
    <t>[Zeng, Yin-Xin; Yu, Yong; Qiao, Zong-Yun; Li, Hui-Rong] Polar Res Inst China, Key Lab Polar Sci State Ocean Adm, Shanghai 200136, Peoples R China; [Zeng, Yin-Xin; Qiao, Zong-Yun] Jimei Univ, Coll Biol Engn, Xiamen 361021, Peoples R China; [Jin, Hai-Yan] Second Inst Oceanog, Lab Marine Ecosyst &amp; Biogeochem State Ocean Adm, Hangzhou 310012, Zhejiang, Peoples R China</t>
  </si>
  <si>
    <t>Polar Research Institute of China; Jimei University; Ministry of Natural Resources of the People's Republic of China; Second Institute of Oceanography, Ministry of Natural Resources</t>
  </si>
  <si>
    <t>Zeng, YX (corresponding author), Polar Res Inst China, Key Lab Polar Sci State Ocean Adm, Shanghai 200136, Peoples R China.</t>
  </si>
  <si>
    <t>yxzeng@yahoo.com</t>
  </si>
  <si>
    <t>National Natural Science Foundation of China [41076131]; Chinese Polar Environment Comprehensive Investigation and Assessment Program [CHINARE2014-02-01, CHINARE2014-04-01]; National High-Tech Research and Development Program of China [2012AA021706]</t>
  </si>
  <si>
    <t>National Natural Science Foundation of China(National Natural Science Foundation of China (NSFC)); Chinese Polar Environment Comprehensive Investigation and Assessment Program; National High-Tech Research and Development Program of China(National High Technology Research and Development Program of China)</t>
  </si>
  <si>
    <t>We appreciate the assistance of the Chinese Arctic and Antarctic Administration who organized the 28th Chinese National Antarctic Research Expedition. This work was supported by the National Natural Science Foundation of China (Grant No. 41076131), Chinese Polar Environment Comprehensive Investigation and Assessment Program (CHINARE2014-02-01, CHINARE2014-04-01), and National High-Tech Research and Development Program of China (Grant No. 2012AA021706).</t>
  </si>
  <si>
    <t>0302-8933</t>
  </si>
  <si>
    <t>1432-072X</t>
  </si>
  <si>
    <t>ARCH MICROBIOL</t>
  </si>
  <si>
    <t>Arch. Microbiol.</t>
  </si>
  <si>
    <t>10.1007/s00203-013-0950-2</t>
  </si>
  <si>
    <t>304EI</t>
  </si>
  <si>
    <t>WOS:000330729300007</t>
  </si>
  <si>
    <t>Navarro, NP; Mansilla, A; Figueroa, FL; Korbee, N; Jofre, J; Plastino, E</t>
  </si>
  <si>
    <t>Navarro, Nelso P.; Mansilla, Andres; Figueroa, Felix L.; Korbee, Nathalie; Jofre, Jocelyn; Plastino, Estela</t>
  </si>
  <si>
    <t>Short-term effects of solar UV radiation and NO3- supply on the accumulation of mycosporine-like amino acids in Pyropia columbina (Bangiales, Rhodophyta) under spring ozone depletion in the sub-Antarctic region, Chile</t>
  </si>
  <si>
    <t>BOTANICA MARINA</t>
  </si>
  <si>
    <t>mycosporine-like amino acids; nitrate; Pyropia columbina; short-term effects; UVB radiation</t>
  </si>
  <si>
    <t>INDUCED DNA-DAMAGE; ULTRAVIOLET-RADIATION; CHONDRUS-CRISPUS; ANTIOXIDANT ACTIVITY; ABSORBING COMPOUNDS; RED MACROALGAE; B RADIATION; FISHPOND EFFLUENTS; LIGHT QUALITY; PHOTOSYNTHESIS</t>
  </si>
  <si>
    <t>Short-term variations of mycosporine-like amino acids (MAAs) in Pyropia columbina (Montage) W.A. Nelson exposed to nitrate (NO3-) enrichment under different outdoor light treatments during the spring ozone depletion of 2008 in Punta Arenas (Chile) were investigated. Segments of P. columbina thalli were cultivated under three treatments of solar radiation without or with NO3- supply (0.38 mmol l(-1)): PAR (P), PAR+UVA (PA), and PAR+UVA+UVB (PAB). Samples were taken at 8:00 h (initial value), 9:30, 12:30, 15:30, and 18:00 h on November 8 and at 9:00 h on November 9 (recovery period). A complex dynamic of MAAs affected by light quality and NO3- supply was observed. During the light period, the highest content of MAAs was reached under PAB and NO3- enrichment, whereas MAAs increased during the recovery period in P and PAB with no NO3- supply. Five MAAs were identified: porphyra-334, shinorine, asterina-330, palythine, and mycosporine-glycine. The hourly accumulation of each MAA varied mainly according to the time of exposure and NO3- supply. In general, the percentage of porphrya-334 increased, whereas the other MAAs decreased during the exposure period. These results suggest that MAA content in P. columbina varied in the short-term (hours) and the changes were related to the solar irradiance received and NO3- availability.</t>
  </si>
  <si>
    <t>[Plastino, Estela] Univ Sao Paulo, Inst Biociencias, BR-05508090 Sao Paulo, Brazil; [Navarro, Nelso P.; Mansilla, Andres; Jofre, Jocelyn] Univ Magallanes, Fac Ciencias, Punta Arenas, Chile; [Figueroa, Felix L.; Korbee, Nathalie] Univ Malaga, Fac Ciencias, Dept Ecol, E-29071 Malaga, Spain</t>
  </si>
  <si>
    <t>Universidade de Sao Paulo; Universidad de Magallanes; Universidad de Malaga</t>
  </si>
  <si>
    <t>Plastino, E (corresponding author), Univ Sao Paulo, Inst Biociencias, Rua Matao 277,Cidade Univ, BR-05508090 Sao Paulo, Brazil.</t>
  </si>
  <si>
    <t>emplasti@ib.usp.br</t>
  </si>
  <si>
    <t>Lopez Figueroa, Felix Diego/K-7720-2014; Korbee Peinado, Nathalie/K-5995-2014; Plastino, Estela/G-4083-2012</t>
  </si>
  <si>
    <t>Lopez Figueroa, Felix Diego/0000-0003-3580-4693; Mansilla, Andres/0000-0003-3505-7018; Korbee Peinado, Nathalie/0000-0002-9780-4915; Plastino, Estela/0000-0003-0269-4985</t>
  </si>
  <si>
    <t>CONICYT-Chile; [CGL08-05407 C03-01]</t>
  </si>
  <si>
    <t>CONICYT-Chile(Comision Nacional de Investigacion Cientifica y Tecnologica (CONICYT));</t>
  </si>
  <si>
    <t>This study was part of a PhD thesis by Nelso Navarro, who is also grateful for a doctoral fellowship to CONICYT-Chile. We thank Jose Barufi and Cesar Cardenas for the valuable suggestions and for scientific discussions. This work was financed in part by the Project CGL08-05407 C03-01.</t>
  </si>
  <si>
    <t>0006-8055</t>
  </si>
  <si>
    <t>1437-4323</t>
  </si>
  <si>
    <t>BOT MAR</t>
  </si>
  <si>
    <t>Bot. Marina</t>
  </si>
  <si>
    <t>10.1515/bot-2013-0090</t>
  </si>
  <si>
    <t>AA2SR</t>
  </si>
  <si>
    <t>WOS:000330944900002</t>
  </si>
  <si>
    <t>Justino, F; Marengo, J; Kucharski, F; Stordal, F; Machado, J; Rodrigues, M</t>
  </si>
  <si>
    <t>Justino, F.; Marengo, J.; Kucharski, F.; Stordal, F.; Machado, J.; Rodrigues, M.</t>
  </si>
  <si>
    <t>Influence of Antarctic ice sheet lowering on the Southern Hemisphere climate: modeling experiments mimicking the mid-Miocene</t>
  </si>
  <si>
    <t>MEAN-FLOW INTERACTION; FRESH-WATER; OCEAN CIRCULATION; TROPICAL PACIFIC; NORTH-ATLANTIC; ANNULAR MODE; SEA-ICE; VARIABILITY; ATMOSPHERE; PRECIPITATION</t>
  </si>
  <si>
    <t>A coupled global atmosphere-ocean model is used to study the influence of the Antarctica ice sheet in a configuration that mimics that of the early Miocene on the atmospheric and oceanic circulations. Based on different climate simulations of the present day (CTR) and conducted with distinct Antarctic ice sheet topography (AIS-EXP), it is found that the reduction of the Antarctic ice sheet topography (AIS) induces warming of the Southern Hemisphere and reduces the meridional thermal gradient. Consequently, the atmospheric transient low level eddy heat flux and the eddy momentum flux are reduced causing the reduced transport of heat from the mid-latitudes to the pole. The stationary flow and transient wave anomalies generate changes in the SSTs which modify the rate of deep water formation, strengthening the formation of the Antarctic Bottom Water. Substantial changes are predicted to occur in the atmospheric and oceanic heat transport and a comparison between the total heat transport of the atmosphere-ocean system, as simulated by the AIS-EXP and the CTR runs, shows that the reduction of the AIS height leads to reduced Southern Hemisphere poleward and increased equatorward heat transport. These results are in agreement with reduced storm track activities and baroclinicity.</t>
  </si>
  <si>
    <t>[Justino, F.; Machado, J.; Rodrigues, M.] Fed Univ Vicosa PH Rolfs, Dept Agr Engn, BR-36570000 Vicosa, MG, Brazil; [Marengo, J.] Natl Inst Space Res, Ctr Earth Syst Sci, BR-12630000 Sao Jose Dos Campos, SP, Brazil; [Kucharski, F.] Abdus Salaam Int Ctr Theoret Phys, I-34151 Trieste, Italy; [Stordal, F.] Univ Oslo, Dept Geosci, N-0316 Oslo, Norway</t>
  </si>
  <si>
    <t>Instituto Nacional de Pesquisas Espaciais (INPE); Abdus Salam International Centre for Theoretical Physics (ICTP); University of Oslo</t>
  </si>
  <si>
    <t>Justino, F (corresponding author), Fed Univ Vicosa PH Rolfs, Dept Agr Engn, BR-36570000 Vicosa, MG, Brazil.</t>
  </si>
  <si>
    <t>fjustino@ufv.br</t>
  </si>
  <si>
    <t>Flavio, Justino/AAT-2037-2020; Kucharski, Fred/HKV-9960-2023; Stordal, Frode/R-6672-2017</t>
  </si>
  <si>
    <t>Stordal, Frode/0000-0002-5190-6473; Kucharski, Fred/0000-0002-8710-8051; Prietsch Machado, Jeferson/0000-0003-2685-3944</t>
  </si>
  <si>
    <t>FAPESP [2011/20636-1]; CNPQ [558290/2009-4]; FAPEMIG [CRA-PPM-00020-11]; Fundacao de Amparo a Pesquisa do Estado de Sao Paulo (FAPESP) [11/20636-1] Funding Source: FAPESP</t>
  </si>
  <si>
    <t>FAPESP(Fundacao de Amparo a Pesquisa do Estado de Sao Paulo (FAPESP)); CNPQ(Conselho Nacional de Desenvolvimento Cientifico e Tecnologico (CNPQ)); FAPEMIG(Fundacao de Amparo a Pesquisa do Estado de Minas Gerais (FAPEMIG)); Fundacao de Amparo a Pesquisa do Estado de Sao Paulo (FAPESP)(Fundacao de Amparo a Pesquisa do Estado de Sao Paulo (FAPESP))</t>
  </si>
  <si>
    <t>We are pleased to acknowledge that the financial support has been provided through the FAPESP project 2011/20636-1, CNPQ 558290/2009-4 and FAPEMIG CRA-PPM-00020-11.</t>
  </si>
  <si>
    <t>10.1007/s00382-013-1689-9</t>
  </si>
  <si>
    <t>304FA</t>
  </si>
  <si>
    <t>WOS:000330731300017</t>
  </si>
  <si>
    <t>Araujo, P; Zhu, H; Breivik, JF; Hjelle, JI; Zeng, YX</t>
  </si>
  <si>
    <t>Araujo, Pedro; Zhu, Han; Breivik, Joar Fjortoft; Hjelle, Jan Idar; Zeng, Yingxu</t>
  </si>
  <si>
    <t>Determination and Structural Elucidation of Triacylglycerols in Krill Oil by Chromatographic Techniques</t>
  </si>
  <si>
    <t>LIPIDS</t>
  </si>
  <si>
    <t>Gas-liquid chromatography (GC); Liquid chromatography mass spectrometry (LCMS); Lipid analysis; Fatty acid analysis; Thin layer chromatography</t>
  </si>
  <si>
    <t>ANTARCTIC KRILL; FISH-OIL; EUPHAUSIA-SUPERBA; LIPIDS; PHOSPHOLIPIDS; EPA; DHA</t>
  </si>
  <si>
    <t>The content of triacylglycerols (TAG) in krill oil is generally omitted from the labels of commercial supplements and unacknowledged in studies aimed at proving its health benefits. The present study demonstrates that TAG compounds, in addition to phospholipids and lysophospholipids, are an important lipid class in pure krill oil. The fatty acid composition of TAG molecules from krill oil and their distribution on the backbone of TAG structures were determined by gas chromatography and liquid chromatography tandem mass spectrometric, respectively. The content of omega 3 polyunsaturated fatty acids (n-3 PUFA) was similar to those reported in the literature for fish oil. It was estimated that 21 % of n-3 PUFA were at the sn-2 position of TAG structures. To our knowledge, this is the first determination and structural characterization of TAG in pure krill oil supplements.</t>
  </si>
  <si>
    <t>[Araujo, Pedro; Zhu, Han; Breivik, Joar Fjortoft; Hjelle, Jan Idar] Natl Inst Nutr &amp; Seafood Res NIFES, N-5817 Bergen, Norway; [Zhu, Han; Zeng, Yingxu] Univ Bergen, Dept Chem, N-5009 Bergen, Norway</t>
  </si>
  <si>
    <t>University of Bergen</t>
  </si>
  <si>
    <t>Araujo, P (corresponding author), Natl Inst Nutr &amp; Seafood Res NIFES, POB 2029, N-5817 Bergen, Norway.</t>
  </si>
  <si>
    <t>pedro.araujo@nifes.no</t>
  </si>
  <si>
    <t>Araujo, Pedro/0000-0002-1962-6084</t>
  </si>
  <si>
    <t>Erasmus Mundus programme EMQAL (European Joint Master in Quality in Analytical Laboratories)</t>
  </si>
  <si>
    <t>HZ is grateful for financial support from the Erasmus Mundus programme EMQAL (European Joint Master in Quality in Analytical Laboratories).</t>
  </si>
  <si>
    <t>0024-4201</t>
  </si>
  <si>
    <t>1558-9307</t>
  </si>
  <si>
    <t>Lipids</t>
  </si>
  <si>
    <t>10.1007/s11745-013-3855-6</t>
  </si>
  <si>
    <t>Biochemistry &amp; Molecular Biology; Nutrition &amp; Dietetics</t>
  </si>
  <si>
    <t>304BS</t>
  </si>
  <si>
    <t>WOS:000330721100005</t>
  </si>
  <si>
    <t>Trossman, DS; Thompson, L; Mecking, S; Warner, MJ; Bryan, FO; Peacock, S</t>
  </si>
  <si>
    <t>Trossman, D. S.; Thompson, L.; Mecking, S.; Warner, M. J.; Bryan, F. O.; Peacock, S.</t>
  </si>
  <si>
    <t>Evaluation of oceanic transport parameters using transient tracers from observations and model output</t>
  </si>
  <si>
    <t>OCEAN MODELLING</t>
  </si>
  <si>
    <t>Bayesian; TTD; Age; SAMW; AAIW; POP; Model evaluation; Mixing; Erosion</t>
  </si>
  <si>
    <t>TIME DISTRIBUTIONS; ANTARCTIC MODE; SOUTHERN-OCEAN; DEEP-WATER; AGE; CIRCULATION; CARBON; CFC-11; DRIVEN; LAYER</t>
  </si>
  <si>
    <t>A method is presented to find the age distribution of ocean waters, the transit-time distribution (TTD), by combining an eddying global ocean model's estimate of the TTD with hydrographic observations of CFC-11, temperature, and salinity. The method uses a mixture model of an assumed form of the TTD, an inverse Gaussian (IG), and an established Bayesian statistical method. All known significant sources of uncertainty are propagated to arrive at estimates of two oceanic transport parameters associated with the IG TTD, the mean age (Gamma) and either the half-variance (Delta(2)) or the Peclet number (Pe =Gamma(2)/D-2). It is found that the uncertainties on C do not overlap zero in most locations using only CFC-11, temperature, and salinity. However, the uncertainty on the other IG parameter does not overlap zero in only a few locations. With the inclusion of another transient tracer (He-3/H-3), the uncertainty on this other IG parameter does not overlap zero in just a few additional locations in the deep North Atlantic Ocean. Neither a singlenor mixture-IG representation is adequate for representing the full TTD in the ocean, particularly in the Southern Ocean. Differences between the IG parameters estimated using the model's tracers as data (BayesPOP) and those estimated using tracer observations as data (BayesObs) provide information about the sources of model biases, and give a more nuanced picture than can be found by comparing the simulated CFCs with observed CFCs. Using the differences between each of the oceanic transport parameters from BayesObs and those from BayesPOP with and without a constant Pe assumption along each of the hydrographic cross-sections considered here, it is found that the model's eddy mixing biases often lead to larger model errors than the model's mean advection time biases. It is also found that mean advection time biases in the model can be statistically significant at the 95% level where mode water is found in the Southern Ocean. (C) 2013 Elsevier Ltd. All rights reserved.</t>
  </si>
  <si>
    <t>[Trossman, D. S.] Univ Michigan, Dept Earth &amp; Environm Sci, Ann Arbor, MI 48109 USA; [Trossman, D. S.; Thompson, L.; Warner, M. J.] Univ Washington, Sch Oceanog, Seattle, WA 98195 USA; [Mecking, S.] Univ Washington, Appl Phys Lab, Seattle, WA 98195 USA; [Bryan, F. O.; Peacock, S.] Natl Ctr Atmospher Res, Oceanog Sect, Boulder, CO 80307 USA</t>
  </si>
  <si>
    <t>University of Michigan System; University of Michigan; University of Washington; University of Washington Seattle; University of Washington; University of Washington Seattle; National Center Atmospheric Research (NCAR) - USA</t>
  </si>
  <si>
    <t>Trossman, DS (corresponding author), Univ Michigan, Dept Earth &amp; Environm Sci, Ann Arbor, MI 48109 USA.</t>
  </si>
  <si>
    <t>dtross@umich.edu</t>
  </si>
  <si>
    <t>Thompson, LuAnne/AAA-1000-2020; Bryan, Frank/I-1309-2016</t>
  </si>
  <si>
    <t>Thompson, LuAnne/0000-0001-8295-0533; Warner, Mark J/0000-0001-7678-441X; Bryan, Frank/0000-0003-1672-8330; Trossman, David/0000-0001-8222-7214</t>
  </si>
  <si>
    <t>NSF [OCE-0525874, OCE-0623548]; Directorate For Geosciences; Division Of Ocean Sciences [1059886] Funding Source: National Science Foundation</t>
  </si>
  <si>
    <t>We thank Vladimir Minin and Peter Guttorp for serving on the thesis committee of the lead author, and to William Jenkins for providing the 1988 A16 3He/3H data. This study was supported by NSF Grant Nos. OCE-0525874 and OCE-0623548. The simulation used in this study was performed at the National Center for Computational Sciences at Oak Ridge National Laboratory with computer time awarded under the Department of Energy INCITE program, and at the National Center for Atmospheric Research Computational and Information Systems Laboratory, with computer time awarded under the Accelerated Scientific Discovery Program.</t>
  </si>
  <si>
    <t>1463-5003</t>
  </si>
  <si>
    <t>1463-5011</t>
  </si>
  <si>
    <t>OCEAN MODEL</t>
  </si>
  <si>
    <t>Ocean Model.</t>
  </si>
  <si>
    <t>10.1016/j.ocemod.2013.11.001</t>
  </si>
  <si>
    <t>Meteorology &amp; Atmospheric Sciences; Oceanography</t>
  </si>
  <si>
    <t>302BN</t>
  </si>
  <si>
    <t>WOS:000330576400001</t>
  </si>
  <si>
    <t>Rösel, D; Boger, SD; Möller, A; Gaitzsch, B; Barth, M; Oalmann, J; Zack, T</t>
  </si>
  <si>
    <t>Roesel, Delia; Boger, Steven David; Moeller, Andreas; Gaitzsch, Birgit; Barth, Matthias; Oalmann, Jeffrey; Zack, Thomas</t>
  </si>
  <si>
    <t>Indo-Antarctic derived detritus on the northern margin of Gondwana: evidence for continental-scale sediment transport</t>
  </si>
  <si>
    <t>TERRA NOVA</t>
  </si>
  <si>
    <t>PRINCE-CHARLES MOUNTAINS; EASTERN GHATS BELT; U-PB; IRUMIDE BELT; MOZAMBIQUE BELT; BOHEMIAN MASSIF; OYGARDEN GROUP; ZIRCON SHRIMP; SM-ND; EVOLUTION</t>
  </si>
  <si>
    <t>Provenance studies from Cambro-Ordovician sediments of the North Gondwana passive margin typically ascribe a North African source, a conclusion that cannot be reconciled with all observations. We present new U-Pb ages from detrital rutile and zircon from Late Ordovician sediments from Saxo-Thuringia, Germany. Detrital zircons yield age populations of 500-800Ma, 900-1050Ma and 1800-2600Ma. The detrital rutile age spectra are unimodal with ages between 500 and 650Ma and likely represent, together with the 500-800Ma and 1800-2600Ma zircon populations, detritus sourced predominantly from North Africa. In contrast, the c. 950Ma zircons, which are persistently found in Cambro-Ordovician sediments of North Gondwana, have no obvious African source. We propose that these zircons are sourced from the Rayner Complex-Eastern Ghats regions of Antarctica and India. An Indo-Antarctic source indicates either continental-scale sedimentary transport from central Gondwana to its peripheries or multiple cycles of sediment reworking and redeposition.</t>
  </si>
  <si>
    <t>[Roesel, Delia; Barth, Matthias; Zack, Thomas] Johannes Gutenberg Univ Mainz, Inst Geowissensch, D-55128 Mainz, Germany; [Boger, Steven David] Univ Melbourne, Sch Earth Sci, Melbourne, Vic 3010, Australia; [Moeller, Andreas; Oalmann, Jeffrey] Univ Kansas, Dept Geol, Lawrence, KS 66045 USA; [Gaitzsch, Birgit] Tech Univ Bergakad Freiberg, Inst Geol, D-09599 Freiberg, Germany; [Zack, Thomas] Univ Gothenburg, Inst Geovetenskaper, SE-40530 Gothenburg, Sweden</t>
  </si>
  <si>
    <t>Johannes Gutenberg University of Mainz; University of Melbourne; Melbourne Bioinformatics; University of Kansas; Technical University Freiberg; University of Gothenburg</t>
  </si>
  <si>
    <t>Zack, T (corresponding author), Univ Gothenburg, Inst Geovetenskaper, Guldhedsgatan 5A, SE-40530 Gothenburg, Sweden.</t>
  </si>
  <si>
    <t>thomas.zack@gu.se</t>
  </si>
  <si>
    <t>Zack, Thomas/K-7228-2013; Möller, Andreas/B-4638-2008</t>
  </si>
  <si>
    <t>Zack, Thomas/0000-0003-4747-4134; Möller, Andreas/0000-0002-3692-1579; Boger, Steven/0000-0003-0739-6266; Oalmann, Jeffrey/0000-0002-7267-3875</t>
  </si>
  <si>
    <t>Deutsche Forschungsgemeinschaft [ZA285/6-1]</t>
  </si>
  <si>
    <t>Deutsche Forschungsgemeinschaft(German Research Foundation (DFG))</t>
  </si>
  <si>
    <t>We acknowledge the thorough and constructive comments from J. von Raumer, J. Halpin and A. Collins. D. Leonhardt and M. Kurze are thanked for providing geological background information about Saxo-Thuringia, while S. Buhre, K. Link, M. Pfeifer, and P. Lind are acknowledged for their assistance with sample preparation. Special thanks also to D. Rutte. Financial support was provided by the Deutsche Forschungsgemeinschaft grant ZA285/6-1.</t>
  </si>
  <si>
    <t>0954-4879</t>
  </si>
  <si>
    <t>1365-3121</t>
  </si>
  <si>
    <t>Terr. Nova</t>
  </si>
  <si>
    <t>10.1111/ter.12070</t>
  </si>
  <si>
    <t>AA0QC</t>
  </si>
  <si>
    <t>WOS:000330800000007</t>
  </si>
  <si>
    <t>Kounaves, SP; Carrier, BL; O'Neil, GD; Stroble, ST; Claire, MW</t>
  </si>
  <si>
    <t>Kounaves, Samuel P.; Carrier, Brandi L.; O'Neil, Glen D.; Stroble, Shannon T.; Claire, Mark W.</t>
  </si>
  <si>
    <t>Evidence of martian perchlorate, chlorate, and nitrate in Mars meteorite EETA79001: Implications for oxidants and organics</t>
  </si>
  <si>
    <t>ICARUS</t>
  </si>
  <si>
    <t>Mars; Astrobiology; Mars, surface; Meteorites; Regoliths</t>
  </si>
  <si>
    <t>ISOTOPIC COMPOSITION; AMINO-ACIDS; OZONE OXIDATION; SOIL; ORIGIN; DECOMPOSITION; SHERGOTTITE; ATMOSPHERE; SURFACE; PHOTOSTABILITY</t>
  </si>
  <si>
    <t>The results from the Viking mission in the mid 1970s provided evidence that the martian surface contained oxidants responsible for destroying organic compounds. In 2008 the Phoenix Wet Chemistry Lab (WCL) found perchlorate (ClO4-) in three soil samples at concentrations from 0.5 to 0.7 wt%. The detection of chloromethane (CH3Cl) and dichloromethane (CH2Cl(2)) by the Viking pyrolysis gas chromatograph-mass spectrometer (GC-MS) may have been a result of ClO4- at that site oxidizing either terrestrial organic contaminates or, if present, indigenous organics. Recently, the Sample Analysis at Mars (SAM) instrument on the Mars Science Laboratory (MSL) Curiosity directly measured the presence of CH3Cl, CH2Cl2 and, along with measurements of HCl and oxygen, indirectly indicate the presence of ClO-. However, except for Phoenix, no other direct measurement of the ClO4- anion in martian soil or rock has been made. We report here ion chromatographic (IC) and isotopic analyses of a unique sawdust portion of the martian meteorite EETA79001 that show the presence by mass of 0.6 +/- 0.1 ppm CIOT,, 1.4 +/- 0.1 ppm C10,-, and 16 +/- 0.2 ppm NO; at a quantity and location within the meteorite that is difficult to reconcile with terrestrial contamination. The sawdust sample consists of basaltic material with a minor salt-rich inclusion in a mass ratio of -300:1, thus the salts may be 300 times more concentrated within the inclusion than the whole sample. The molar ratios of NO : ClO4-; and Cl- : C10,-, are very different for EETA79001 at -40:1 and 15:1, respectively, than the Antarctic soils and ice near where the meteorite was recovered at -10,000:1 and 5000:1, respectively. In addition, the isotope ratios for EETA79001 with delta N-15 = -10.48 +/- 0.32 parts per thousand and 8180 = +51.61 +/- 0.74%. are significantly different from that of the nearby Miller Range blue ice with delta N-15 = +102.80 +/- 0.14 parts per thousand and delta O-18 = +43.11 +/- 0.64%, This difference is notable, because if the meteorite had been contaminated with nitrate from the blue ice, the delta N-15 values should be the same. More importantly, the delta N-15 is similar to the uncontaminated Tissint Mars meteorite with 815N = -4.5%, These findings suggest a martian origin of the ClO4-, ClO3- and NO; in EETA79001, and in conjunction with previous discoveries, support the hypothesis that they are present and ubiquitous on Mars. The presence of ClO3- in EETA79001 suggests the accompanying presence of other highly oxidizing oxychlorines such as ClO- or ClO-, produced both by UV oxidation of o- and y- and X-ray radiolysis of C10:4. Since such intermediary species may contribute to oxidization of organic compounds, only highly refractory and/or well-protected organics are likely to survive. The global presence of ClO4-, ClO3-, and NO;, has broad implications for the planet-wide water cycle, formation of brines, human habitability, organics, and life. (C) 2013 Elsevier Inc. All rights reserved.</t>
  </si>
  <si>
    <t>[Kounaves, Samuel P.; Carrier, Brandi L.; O'Neil, Glen D.] Tufts Univ, Dept Chem, Medford, MA 02155 USA; [Stroble, Shannon T.] Franklin Pierce Univ, Dept Chem, Rindge, NH 03461 USA; [Claire, Mark W.] Univ St Andrews, Dept Earth &amp; Environm Sci, St Andrews, Fife, Scotland; [Claire, Mark W.] Blue Marble Space Inst Sci, Seattle, WA 98145 USA</t>
  </si>
  <si>
    <t>Tufts University; University of St Andrews</t>
  </si>
  <si>
    <t>Kounaves, SP (corresponding author), Tufts Univ, Dept Chem, Medford, MA 02155 USA.</t>
  </si>
  <si>
    <t>samuel.kounaves@tufts.edu</t>
  </si>
  <si>
    <t>Claire, Mark/G-4989-2017</t>
  </si>
  <si>
    <t>Claire, Mark/0000-0001-9518-089X; Carrier, Brandi/0000-0001-9943-7138; Kounaves, Samuel/0000-0002-2629-4831; O'Neil, Glen/0000-0002-2252-779X</t>
  </si>
  <si>
    <t>NASA Phoenix Scout Program and NASA Astrobiology: Exobiology and Evolutionary Biology grant [NNX10AT27G]; NAI Director's Discretionary Fund Award Perchlorate, Water, and Life; NSF; NASA; NASA [NNX10AT27G, 122837] Funding Source: Federal RePORTER</t>
  </si>
  <si>
    <t>NASA Phoenix Scout Program and NASA Astrobiology: Exobiology and Evolutionary Biology grant; NAI Director's Discretionary Fund Award Perchlorate, Water, and Life; NSF(National Science Foundation (NSF)); NASA(National Aeronautics &amp; Space Administration (NASA)); NASA(National Aeronautics &amp; Space Administration (NASA))</t>
  </si>
  <si>
    <t>Funding for this work was provided in part to S.P.K. by the NASA Phoenix Scout Program and NASA Astrobiology: Exobiology and Evolutionary Biology grant (NNX10AT27G). Mark Claire would like to acknowledge support from a NAI Director's Discretionary Fund Award Perchlorate, Water, and Life. We thank Elizabeth Oberlin and Stacey Berkowitz at Tufts for their help with the IC analyses, John Karl Bohlke at the USGS in Reston VA for the isotopic analyses, and Neil Sturchio and Kyle McElhoney for their valuable review and comments.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also thank the reviewers for their help in making this a better paper.</t>
  </si>
  <si>
    <t>0019-1035</t>
  </si>
  <si>
    <t>1090-2643</t>
  </si>
  <si>
    <t>Icarus</t>
  </si>
  <si>
    <t>10.1016/j.icarus.2013.11.012</t>
  </si>
  <si>
    <t>297LS</t>
  </si>
  <si>
    <t>WOS:000330257500017</t>
  </si>
  <si>
    <t>Beck, P; Garenne, A; Quirico, E; Bonal, L; Montes-Hernandez, G; Moynier, F; Schmitt, B</t>
  </si>
  <si>
    <t>Beck, P.; Garenne, A.; Quirico, E.; Bonal, L.; Montes-Hernandez, G.; Moynier, F.; Schmitt, B.</t>
  </si>
  <si>
    <t>Transmission infrared spectra (2-25 μm) of carbonaceous chondrites (CI, CM, CV-CK, CR, C2 ungrouped): Mineralogy, water, and asteroidal processes</t>
  </si>
  <si>
    <t>Meteorites; Asteroids; Spectroscopy; Mineralogy; Come-nucleus; Infrared observations</t>
  </si>
  <si>
    <t>X-RAY-DIFFRACTION; INSOLUBLE ORGANIC-MATTER; FINE-GRAINED RIMS; REFLECTANCE PROPERTIES; THERMAL METAMORPHISM; MODAL MINERALOGY; AQUEOUS ALTERATION; ALLENDE METEORITE; SOLAR-SYSTEM; MATRIX</t>
  </si>
  <si>
    <t>In this work, infrared transmission spectra (2-25 mu m range, 5000-400 cm(-1)) of 40 carbonaceous chondrites were analyzed (21 CMs, 5 CVs, 6 CRs, 3 CKs, 3 C2s and 2 Cis). All these meteorite groups are known to have experienced significant aqueous alteration (except the CKs). These IR measurements provide information about the parent body processes experienced, as well as spectra for comparison with observations of Solar System small bodies and possibly with astronomical observations of accretion and debris disks. This study reveals that each meteorite group appears to have specific signatures in the measured IR spectral range. In the case of the Cl and CM groups, results show a variability in the shape of the silicate features that can be related to the evolution of the mineralogy with increasing extent of aqueous alteration extent as described by several authors with other techniques. This evolution of the silicate feature can be seen in the variation in the relative intensities of olivine and phyllosilicate IR features. The variability in the silicate features is correlated with the intensity of an -OH related absorption at 3-p,m, which can be used for the classification of the meteorites according to the level of hydration. Interestingly, in the case of CM chondrites, for which the mineralogy is expected to be dominated by phyllosilicates (serpentine mostly), the shape of the silicate absorption resembles that of an amorphous silicate, with a broad and symmetric 10(-1) mu m band, unlike terrestrial phyllosilicates. The CV and CI( groups have IR spectra that are dominated by olivine absorption. From this feature, it is possible to determine average Mg numbers for the olivine. For the CVs, the olivine Mg numbers appear to decrease in the order Kaba-Grosnaja-Vigarano-Mokoia-Allende. This trend is likely related to the long duration of metamorphism experienced by these samples and the chemical re-equilibration between chondritic components. In the case of CK chondrites, the inferred bulk Mg# of olivine is 67 ( 1), and no variation is observed between the three studied samples, which is likely related to their high degree of equilibration. The 6 CR chondrites show the most variability in their IR spectra, from CM-like spectra in the case of the CR1 Grosvenor Mountains (GRO) 95577 to CV-like spectra for Roberts Massif (RBT) 04133 and Graves Nunataks (GRA) 06100 (one of them being most probably misclassified). Spectra of the remaining CRs show mixtures of various silicate component. Finally, these spectra can be used for comparison with emission spectra of fine-grained asteroid surfaces and dust-rich cometary tails. In the case of Tempel 1, the only group of CC that matches the observed feature around 10-pm region is the CR group. The spectral comparison shows some striking similarities between CRs and Tempel 1 dust. A genetic link between CR2 and comets is not proven, but mineralogical similarities are suggested from the IR spectra. (C) 2013 Elsevier Inc. All rights reserved.</t>
  </si>
  <si>
    <t>[Beck, P.; Garenne, A.; Quirico, E.; Bonal, L.; Schmitt, B.] UJF Grenoble 1, IPAG, CNRS INSU, UMR 5274, F-38041 Grenoble, France; [Montes-Hernandez, G.] UJF Grenoble 1, Inst Sci Terre IsTERRE, CNRS INSU, UMR 5275, F-38041 Grenoble, France; [Moynier, F.] Washington Univ, Dept Earth &amp; Planetary Sci, St Louis, MO 63130 USA; [Moynier, F.] Univ Paris Diderot, Inst Phys Globe Paris, F-75005 Paris, France</t>
  </si>
  <si>
    <t>Communaute Universite Grenoble Alpes; Universite Grenoble Alpes (UGA); Centre National de la Recherche Scientifique (CNRS); CNRS - National Institute for Earth Sciences &amp; Astronomy (INSU); Institut de Planetologie et d'Astrophysique de Grenoble (IPAG); Communaute Universite Grenoble Alpes; Universite Grenoble Alpes (UGA); Centre National de la Recherche Scientifique (CNRS); Institut de Recherche pour le Developpement (IRD); Universite Gustave-Eiffel; Universite Savoie Mont Blanc; CNRS - National Institute for Earth Sciences &amp; Astronomy (INSU); Washington University (WUSTL); Universite Paris Cite</t>
  </si>
  <si>
    <t>Beck, P (corresponding author), UJF Grenoble 1, IPAG, CNRS INSU, UMR 5274, F-38041 Grenoble, France.</t>
  </si>
  <si>
    <t>pierre.beck@obs.ujf-grenoble.fr</t>
  </si>
  <si>
    <t>Schmitt, Bernard/A-1064-2009; Montes-Hernandez, German/C-5570-2009; quirico, eric/K-9650-2013; Moynier, Frederic/AAH-1235-2022; Beck, Pierre/F-3149-2011; Moynier, Frederic/AFL-9257-2022; Moynier, Frederic/I-2785-2012</t>
  </si>
  <si>
    <t>Schmitt, Bernard/0000-0002-1230-6627; quirico, eric/0000-0003-2768-0694; Moynier, Frederic/0000-0003-4321-5581; Moynier, Frederic/0000-0003-4321-5581; BONAL, Lydie/0000-0002-0655-4034</t>
  </si>
  <si>
    <t>CNES; Programme National de Planetologie; Agence Nationale de la Recherche [ANR-10-JCJC-0505-01]; Agence Nationale de la Recherche (ANR) [ANR-10-JCJC-0505] Funding Source: Agence Nationale de la Recherche (ANR)</t>
  </si>
  <si>
    <t>CNES(Centre National D'etudes Spatiales); Programme National de Planetologie; Agence Nationale de la Recherche(Agence Nationale de la Recherche (ANR)); Agence Nationale de la Recherche (ANR)(Agence Nationale de la Recherche (ANR))</t>
  </si>
  <si>
    <t>The Meteorite Working Group and the Antarctic Meteorite Research Program are acknowledged for providing the samples. Funding and support from CNES, the Programme National de Planetologie as well as Grant ANR-10-JCJC-0505-01 from the Agence Nationale de la Recherche are acknowledged. M. Hadjikrikorian is deeply thanked for her help in the sample preparation. The authorship of Gicquel et al. (2012) is also thanked for sharing the Spitzer data of Tempel 1 dust. We are very grateful to C.M.O'D. Alexander and an anonymous reviewer for their extensive work that greatly benefited to this manuscript. FM thanks a Chair d'Excellence, Sorbonne Paris Cite.</t>
  </si>
  <si>
    <t>10.1016/j.icarus.2013.10.019</t>
  </si>
  <si>
    <t>WOS:000330257500023</t>
  </si>
  <si>
    <t>Zhang, XG</t>
  </si>
  <si>
    <t>Zhang, Xue-Guang</t>
  </si>
  <si>
    <t>Optically selected BLR-less active galactic nuclei from the SDSS Stripe82 Database - I. The sample</t>
  </si>
  <si>
    <t>galaxies: active; galaxies: nuclei; quasars: emission lines; galaxies: Seyfert</t>
  </si>
  <si>
    <t>DIGITAL-SKY-SURVEY; SEYFERT 2 GALAXIES; BROAD-LINE REGION; STELLAR POPULATION SYNTHESIS; STAR-FORMING GALAXIES; NEAR-INFRARED SEARCH; BLACK-HOLE MASS; EMISSION-LINE; CHANDRA OBSERVATIONS; ACCRETION RATE</t>
  </si>
  <si>
    <t>This is the first paper in a dedicated series to study the properties of the optically-selected broad-line-region-less (BLR-less) active galactic nuclei (AGNs; with no-hidden central broad emission line regions). We carried out a systematic search for the BLR-less AGNs through the Sloan Digital Sky Survey Legacy Survey (SDSS Stripe82 Database). Based on the spectral decomposition results for all the 136 676 spectroscopic objects (galaxies and quasars) with redshift less than 0.35 covered by the SDSS Stripe82 region, our spectroscopic sample for the BLR-less AGNs includes 22 693 pure narrow line objects without broad emission lines but with apparent AGN continuum emission R-AGN &gt; 0.3 and apparent stellar lights R-ssp &gt; 0.3. Then, using the properties of the photometry magnitude RMS (RMS) and Pearson's coefficients (R-1,R- 2) between two different SDSS band light curves: RMSk &gt; 3 x RMSMk and R-1,R- 2 &gt; similar to 0.8, the final 281 pure narrow line objects with true photometry variabilities are our selected reliable candidates for the BLR-less AGNs. The selected candidates with higher confidence levels not only have the expected spectral features of the BLR-less AGNs, but also show significant true photometry variabilities. The reported sample enlarges at least four times the current sample of the BLR-less AGNs, and will provide more reliable information to explain the lack of the BLRs of AGNs in our following studies.</t>
  </si>
  <si>
    <t>[Zhang, Xue-Guang] Chinese Acad Sci, Purple Mt Observ, Nanjing 210008, Jiangsu, Peoples R China; [Zhang, Xue-Guang] Chinese Ctr Antarctic Astron, Nanjing 210008, Jiangsu, Peoples R China</t>
  </si>
  <si>
    <t>Purple Mountain Observatory, CAS; Chinese Academy of Sciences; Nanjing Institute of Astronomical Optics &amp; Technology, NAOC, CAS</t>
  </si>
  <si>
    <t>Zhang, XG (corresponding author), Chinese Acad Sci, Purple Mt Observ, 2 Beijing XiLu, Nanjing 210008, Jiangsu, Peoples R China.</t>
  </si>
  <si>
    <t>xgzhang@pmo.ac.cn</t>
  </si>
  <si>
    <t>Chinese grants [NSFC-11003043, NSFC-11178003]; Alfred P. Sloan Foundation; National Aeronautics and Space Administration; National Science Foundation; US Department of Energy; Japanese Monbukagakusho; Max Planck Society; University of Chicago; Fermilab; Institute for Advanced Study; Japan Participation Group; Johns Hopkins University; Los Alamos National Laboratory; Max-Planck-Institute for Astronomy (MPIA); Max-Planck-Institute for Astrophysics (MPA); New Mexico State University; Princeton University; United States Naval Observatory; University of Washington</t>
  </si>
  <si>
    <t>Chinese grants; Alfred P. Sloan Foundation(Alfred P. Sloan Foundation); National Aeronautics and Space Administration(National Aeronautics &amp; Space Administration (NASA)); National Science Foundation(National Science Foundation (NSF)); US Department of Energy(United States Department of Energy (DOE)); Japanese Monbukagakusho(Ministry of Education, Culture, Sports, Science and Technology, Japan (MEXT)); Max Planck Society(Max Planck Society); University of Chicago(University of Chicago); Fermilab; Institute for Advanced Study(Institute for Advanced Study); Japan Participation Group(Sloan Digital Sky Survey (SDSS)); Johns Hopkins University(Johns Hopkins University); Los Alamos National Laboratory(United States Department of Energy (DOE)Los Alamos National Laboratory); Max-Planck-Institute for Astronomy (MPIA); Max-Planck-Institute for Astrophysics (MPA); New Mexico State University; Princeton University(Princeton University); United States Naval Observatory; University of Washington(University of Washington)</t>
  </si>
  <si>
    <t>Z-XG gratefully acknowledges the anonymous referee for the constructive comments and suggestions which greatly improved our paper. Z-XG also acknowledges the kind support from the Chinese grants NSFC-11003043 and NSFC-11178003. This paper has made use of the data from the SDSS projects. Funding for the creation and the distribution of the SDSS Archive has been provided by the Alfred P. Sloan Foundation, the Participating Institutions, the National Aeronautics and Space Administration, the National Science Foundation, the US Department of Energy, the Japanese Monbukagakusho, and the Max Planck Society. The SDSS is managed by the Astrophysical Research Consortium (ARC) for the Participating Institutions. The Participating Institutions are The University of Chicago, Fermilab, the Institute for Advanced Study, the Japan Participation Group, The Johns Hopkins University, Los Alamos National Laboratory, the Max-Planck-Institute for Astronomy (MPIA), the Max-Planck-Institute for Astrophysics (MPA), New Mexico State University, Princeton University, the United States Naval Observatory and the University of Washington.</t>
  </si>
  <si>
    <t>10.1093/mnras/stt2226</t>
  </si>
  <si>
    <t>300IH</t>
  </si>
  <si>
    <t>WOS:000330457100060</t>
  </si>
  <si>
    <t>Sigmond, M; Fyfe, JC</t>
  </si>
  <si>
    <t>Sigmond, Michael; Fyfe, John C.</t>
  </si>
  <si>
    <t>The Antarctic Sea Ice Response to the Ozone Hole in Climate Models</t>
  </si>
  <si>
    <t>Antarctica; Sea ice; General circulation models</t>
  </si>
  <si>
    <t>SOUTHERN ANNULAR MODE; CMIP5 SIMULATIONS; VARIABILITY; TRENDS; ATMOSPHERE; EXPANSION; DRIVEN; EXTENT</t>
  </si>
  <si>
    <t>It has been suggested that the increase of Southern Hemisphere sea ice extent since the 1970s can be explained by ozone depletion in the Southern Hemisphere stratosphere. In a previous study, the authors have shown that in a coupled atmosphere-ocean-sea ice model the ozone hole does not lead to an increase but to a decrease in sea ice extent. Here, the robustness of this result is established through the analysis of models from phases 3 and 5 of the Coupled Model Intercomparison Project (CMIP3 and CMIP5). Comparison of the mean sea ice trends in CMIP3 models with and without time-varying stratospheric ozone suggests that ozone depletion is associated with decreased sea ice extent, and ozone recovery acts to mitigate the future sea ice decrease associated with increasing greenhouse gases. All available historical simulations with CMIP5 models that were designed to isolate the effect of time-varying ozone concentrations show decreased sea ice extent in response to historical ozone trends. In most models, the historical sea ice extent trends are mainly driven by historical greenhouse gas forcing, with ozone forcing playing a secondary role.</t>
  </si>
  <si>
    <t>[Sigmond, Michael; Fyfe, John C.] Environm Canada, Canadian Ctr Climate Modelling &amp; Anal, Victoria, BC, Canada</t>
  </si>
  <si>
    <t>Environment &amp; Climate Change Canada; Canadian Centre for Climate Modelling &amp; Analysis (CCCma)</t>
  </si>
  <si>
    <t>Sigmond, M (corresponding author), Univ Victoria, Canadian Ctr Climate Modelling &amp; Anal, POB 1700 STN CSC, Victoria, BC V8W 2Y2, Canada.</t>
  </si>
  <si>
    <t>michael.sigmond@ec.gc.ca</t>
  </si>
  <si>
    <t>Sigmond, Michael/Q-7202-2019; Sigmond, Michael/K-3169-2012</t>
  </si>
  <si>
    <t>Sigmond, Michael/0000-0003-2191-9756;</t>
  </si>
  <si>
    <t>We thank Bill Merryfield, Neil Swart, and three anonymous reviewers for their insightful comments. We acknowledge the modeling groups, the Program for Climate Model Diagnosis and Intercomparison, and the WCRP Working Group on Coupled Modelling for their roles in making available the WCRP CMIP multimodel datasets. Support of this dataset is provided by the Office of Science, U.S. Department of Energy.</t>
  </si>
  <si>
    <t>10.1175/JCLI-D-13-00590.1</t>
  </si>
  <si>
    <t>294YY</t>
  </si>
  <si>
    <t>WOS:000330085000022</t>
  </si>
  <si>
    <t>Bin Shaari, H; Yamamoto, M; Irino, T; Oba, T</t>
  </si>
  <si>
    <t>Bin Shaari, Hasrizal; Yamamoto, Masanobu; Irino, Tomohisa; Oba, Tadamichi</t>
  </si>
  <si>
    <t>Nutricline shoaling in the eastern Pacific warm pool during the last two glacial maxima</t>
  </si>
  <si>
    <t>JOURNAL OF OCEANOGRAPHY</t>
  </si>
  <si>
    <t>Nutricline; SST; TEX86H; U-37 '(K); The eastern Pacific warm pool; Glacial-interglacial cycles</t>
  </si>
  <si>
    <t>SEA-SURFACE TEMPERATURE; LONG-CHAIN ALKENONES; EQUATORIAL PACIFIC; TROPICAL PACIFIC; TETRAETHER LIPIDS; SEASONAL-CHANGES; MEMBRANE-LIPIDS; SEDIMENTS; SALINITY; FLUX</t>
  </si>
  <si>
    <t>Isoprenoid glycerol dialkyl glycerol tetraethers (GDGTs) and alkenones were analyzed in sediment samples retrieved from Ocean Drilling Program Site 1241 covering the last 150000 years to understand the hydrological evolution of the eastern Pacific warm pool (EPWP). GDGT and alkenone concentrations showed higher values in marine isotope stage (MIS)-2 and MIS-6, which suggests the enhancement of primary production at glacial maxima. - and -derived temperature depicted different temperature evolutions. -derived temperature was marked by small variation during the glacial-interglacial cycles, whereas -derived temperature showed pronounced glacial-interglacial variation that was similar to Mg/Ca-derived temperature records from nearby cores in the EPWP. Given that enhanced primary production during glacial maxima suggests nutricline shoaling, unchanged over glacial-interglacial cycles can be interpreted as the shift of alkenone production depth. seems not to be influenced by glacial-interglacial changes in nutricline depths, recording an integrated temperature in surface and thermocline water. The shallow nutricline in the EPWP during glacial maxima most likely reflected the intense formation of Antarctic intermediate water.</t>
  </si>
  <si>
    <t>[Bin Shaari, Hasrizal; Yamamoto, Masanobu; Irino, Tomohisa] Hokkaido Univ, Grad Sch Environm Sci, Kita Ku, Sapporo, Hokkaido 0600810, Japan; [Yamamoto, Masanobu; Irino, Tomohisa; Oba, Tadamichi] Hokkaido Univ, Fac Environm Earth Sci, Kita Ku, Sapporo, Hokkaido 0600810, Japan</t>
  </si>
  <si>
    <t>Hokkaido University; Hokkaido University</t>
  </si>
  <si>
    <t>Bin Shaari, H (corresponding author), Univ Malaysia Terengganu, Fac Maritime Studies &amp; Marine Sci, Kuala Terengganu 21030, Terengganu, Malaysia.</t>
  </si>
  <si>
    <t>riz@umt.edu.my</t>
  </si>
  <si>
    <t>Yamamoto, Masanobu/A-6990-2012; shaari, hasrizal/X-3241-2018; IRINO, Tomohisa/D-9282-2018</t>
  </si>
  <si>
    <t>Yamamoto, Masanobu/0000-0003-1312-825X; shaari, hasrizal/0000-0002-7738-3885; IRINO, Tomohisa/0000-0001-6941-770X</t>
  </si>
  <si>
    <t>0916-8370</t>
  </si>
  <si>
    <t>1573-868X</t>
  </si>
  <si>
    <t>J OCEANOGR</t>
  </si>
  <si>
    <t>J. Oceanogr.</t>
  </si>
  <si>
    <t>10.1007/s10872-013-0209-1</t>
  </si>
  <si>
    <t>298VJ</t>
  </si>
  <si>
    <t>WOS:000330352300003</t>
  </si>
  <si>
    <t>Deb, P; Dash, MK; Pandey, PC</t>
  </si>
  <si>
    <t>Deb, Pranab; Dash, Mihir Kumar; Pandey, Prem Chand</t>
  </si>
  <si>
    <t>Effect of Pacific warm and cold events on the sea ice behavior in the Indian sector of the Southern Ocean</t>
  </si>
  <si>
    <t>DEEP-SEA RESEARCH PART I-OCEANOGRAPHIC RESEARCH PAPERS</t>
  </si>
  <si>
    <t>Indian Ocean Sector of the Southern Ocean; Sea ice area; El Nino Southern Oscillation; El Nino Modoki; Mean meridional circulation</t>
  </si>
  <si>
    <t>EL-NINO MODOKI; LEVEL PRESSURE; VARIABILITY; ENSO; IMPACTS; SST; OSCILLATION; ANOMALIES; RIM</t>
  </si>
  <si>
    <t>The teleconnections between sea ice area (SIA) in the Indian Ocean Sector (IOS) of the Southern Ocean (20-90 degrees E) and the El Nino Southern Oscillation (ENSO) for the period 1982-2009 are studied. The ENSO years are divided into La Nina, El Nino and El Nino Modoki years. The sea surface temperature anomalies averaged over the Nino 3.4 (SST3.4A) region (120-170 degrees W, 5 degrees N-5 degrees S) are used as proxy for ENSO. A significantly stronger negative correlation between SST3.4A and SIA anomalies is found at a positive lag of 6-12 months in 50-80 degrees E region than elsewhere in the IOS. Variations in sea level pressure anomalies over the Antarctic continent and the subpolar regions play an important role in shaping the surface wind. Variation in the surface wind along with the changes in sea surface temperature (SST), sea ice drift and surface air temperature (SAT) shape the sea ice cover over the region. Composites show that the winters following La Nina years are associated with more SIA compared to that of ENSO-neutral years. This is attributed to the increase in sea level pressure gradient between the Antarctic land mass and the subpolar region, which enhances the southerly wind and results in a reduction in SAT. Also, anomalous northward advection of sea ice increases the SIC over the outer margin of the sea ice cover. The in-phase relation among SAT, SST and sea ice advection results in an increase in SIA. Also, a weaker Regional Ferrel Cell (RFC) during this period results in the reduction of poleward heat transport and contributes to the increase in SIA. During the winters following El Nino years, interaction among anomalous easterlies, wind-induced sea ice motion, SAT anomalies and heat transport by the RFC increases (decreases) the SIA in the western (eastern) part of the high correlation region. During El Nino Modoki years, an increase in SST and presence of warmer surface air over the high correlation region reduce SIA during summer as well as the winter following it. The study also highlights the contrasting signals in SIA observed during El Nino and El Nino Modoki years. Our study found that, in general, the variation in SAT determines the sea ice condition over the Antarctic during austral winters. The variations in both SST and SAT play significant roles in modifying the SIA during El Nino and El Nino Modoki years. The study found that the ENSO induced variabilities of SIA in the IOS are mainly controlled by (1) the thermodynamics of the region (SAT and SST changes due to modulation of the local pressure gradient) (2) dynamics of sea ice and (3) the alteration of mean meridional heat flux primarily due to changes in the RFC. (C) 2013 Elsevier Ltd. All rights reserved.</t>
  </si>
  <si>
    <t>[Deb, Pranab; Dash, Mihir Kumar] Indian Inst Technol, Kharagpur 721302, W Bengal, India; [Pandey, Prem Chand] Indian Inst Technol Bhubaneswar, Bhubaneswar 751013, Orissa, India</t>
  </si>
  <si>
    <t>Indian Institute of Technology System (IIT System); Indian Institute of Technology (IIT) - Kharagpur; Indian Institute of Technology System (IIT System); Indian Institute of Technology (IIT) - Bhubaneswar</t>
  </si>
  <si>
    <t>Deb, P (corresponding author), Indian Inst Technol, Kharagpur 721302, W Bengal, India.</t>
  </si>
  <si>
    <t>pranab@coral.iitkgp.ernet.in; mihir@coral.iitkgp.ernet.in; pcpandey@iitbbs.ac.in</t>
  </si>
  <si>
    <t>Pandey, Prem Chandra/D-4409-2011</t>
  </si>
  <si>
    <t>Pandey, Prem Chandra/0000-0002-0049-1415</t>
  </si>
  <si>
    <t>Ministry of Human Resource Development, Govt. of India; Indian Institute of Technology Kharagpur, Kharagpur; NCAOR, Goa</t>
  </si>
  <si>
    <t>The research was funded by the Ministry of Human Resource Development, Govt. of India and Indian Institute of Technology Kharagpur, Kharagpur. The authors express their sincere thanks to NSIDC for the sea ice concentration images, NCEP/NCAR for the reanalysis datasets and NOAA for the Optimally Interpolated SST data. We thank the anonymous referees and the editors for their valuable suggestions. The support obtained from NCAOR, Goa is greatly acknowledged.</t>
  </si>
  <si>
    <t>0967-0637</t>
  </si>
  <si>
    <t>1879-0119</t>
  </si>
  <si>
    <t>DEEP-SEA RES PT I</t>
  </si>
  <si>
    <t>Deep-Sea Res. Part I-Oceanogr. Res. Pap.</t>
  </si>
  <si>
    <t>10.1016/j.dsr.2013.10.002</t>
  </si>
  <si>
    <t>293GS</t>
  </si>
  <si>
    <t>WOS:000329960000006</t>
  </si>
  <si>
    <t>Flores, H; Hunt, BPV; Kruse, S; Pakhomov, EA; Siegel, V; van Franeker, JA; Strass, V; Van de Putte, AP; Meesters, EHWG; Bathmann, U</t>
  </si>
  <si>
    <t>Flores, Hauke; Hunt, Brian P. V.; Kruse, Svenja; Pakhomov, Evgeny A.; Siegel, Volker; van Franeker, Jan A.; Strass, Volker; Van de Putte, Anton P.; Meesters, Erik H. W. G.; Bathmann, Ulrich</t>
  </si>
  <si>
    <t>Seasonal changes in the vertical distribution and community structure of Antarctic macrozooplankton and micronekton</t>
  </si>
  <si>
    <t>Southern Ocean; Zooplankton; Seasonal variability; Surface layer; Vertical migration; Sea ice</t>
  </si>
  <si>
    <t>CHAETOGNATH EUKROHNIA-HAMATA; LARVAL EUPHAUSIA-SUPERBA; EASTERN WEDDELL SEA; SOUTHERN-OCEAN; MAUD-RISE; ZOOPLANKTON COMMUNITY; LIMACINA-HELICINA; SAGITTA-GAZELLAE; PREDATION IMPACT; GERLACHE STRAIT</t>
  </si>
  <si>
    <t>The macrozooplankton and micronekton community of the Lazarev Sea (Southern Ocean) was investigated at 3 depth layers during austral summer, autumn and winter: (1) the surface layer (0-2 m); (2) the epipelagic layer (0-200 m); and (3) the deep layer (0-3000 m). Altogether, 132 species were identified. Species composition changed with depth from a euphausiid-dominated community in the surface layer, via a siphonophore-dominated community in the epipelagic layer, to a chaetognath-dominated community in the deep layer. The surface layer community predominantly changed along gradients of surface water temperature and sea ice parameters, whereas the epipelagic community mainly changed along hydrographical gradients. Although representing only 1% of the depth range of the epipelagic layer, mean per-area macrofauna densities in the surface layer ranged at 8% of corresponding epipelagic densities in summer, 6% in autumn, and 24% in winter. Seasonal shifts of these proportional densities in abundant species indicated different strategies in the use of the surface layer, including both hibernal downward and hibernal upward shift in the vertical distribution, as well as year-round surface layer use by Antarctic krill. These findings imply that the surface layer, especially when it is ice-covered, is an important functional node of the pelagic ecosystem that has been underestimated by conventional depth-integrated sampling in the past. The exposure of this key habitat to climate-driven forces most likely adds to the known susceptibility of Antarctic pelagic ecosystems to temperature rise and changing sea ice conditions. (C) 2013 Elsevier Ltd. All rights reserved.</t>
  </si>
  <si>
    <t>[Flores, Hauke; van Franeker, Jan A.; Meesters, Erik H. W. G.] Inst Marine Resources &amp; Ecosyst Res IMARES, NL-1790 AD Den Burg, Texel, Netherlands; [Flores, Hauke; Kruse, Svenja; Strass, Volker] Helmholtz Zentrum Polar &amp; Meeresforsch AWI, Alfred Wegener Inst, D-27570 Bremerhaven, Germany; [Hunt, Brian P. V.; Kruse, Svenja; Pakhomov, Evgeny A.] Univ British Columbia, Dept Earth &amp; Ocean Sci, Vancouver, BC V6T 1Z4, Canada; [Siegel, Volker] Thunen Inst Sea Fisheries, D-22767 Hamburg, Germany; [Van de Putte, Anton P.] Catholic Univ Louvain, Lab Biodivers &amp; Evolutionary Genom, B-3000 Louvain, Belgium; [Van de Putte, Anton P.] Royal Belgian Inst Nat Sci, B-1000 Brussels, Belgium; [Bathmann, Ulrich] Leibniz Inst Balt Sea Res, D-18119 Rostock, Germany</t>
  </si>
  <si>
    <t>Wageningen University &amp; Research; Helmholtz Association; Alfred Wegener Institute, Helmholtz Centre for Polar &amp; Marine Research; University of British Columbia; Johann Heinrich von Thunen Institute; Universite Catholique Louvain; Royal Belgian Institute of Natural Sciences; Leibniz Institut fur Ostseeforschung Warnemunde</t>
  </si>
  <si>
    <t>Flores, H (corresponding author), Helmholtz Zentrum Polar &amp; Meeresforsch AWI, Alfred Wegener Inst, Handelshafen 12, D-27570 Bremerhaven, Germany.</t>
  </si>
  <si>
    <t>hauke.flores@awi.de</t>
  </si>
  <si>
    <t>Bathmann, Ulrich/ISV-4351-2023; Flores, Hauke/ABD-1888-2020; Van de Putte, Anton/S-3729-2019</t>
  </si>
  <si>
    <t>Flores, Hauke/0000-0003-1617-5449; Van de Putte, Anton/0000-0003-1336-5554; Meesters, Erik/0000-0002-3877-1164; Strass, Volker/0000-0002-7539-1400</t>
  </si>
  <si>
    <t>Netherlands Organisation for Scientific Research (NWO) [ALW 851.20.011]; Belgian Science Policy [SD/BA/851]; German LAKRIS project (BMBF) [MGS 03F046A]; Alexander von Humboldt Foundation</t>
  </si>
  <si>
    <t>Netherlands Organisation for Scientific Research (NWO)(Netherlands Organization for Scientific Research (NWO)); Belgian Science Policy(Belgian Federal Science Policy Office); German LAKRIS project (BMBF)(Federal Ministry of Education &amp; Research (BMBF)); Alexander von Humboldt Foundation(Alexander von Humboldt Foundation)</t>
  </si>
  <si>
    <t>This study was made possible by extraordinary support of the crews of the Polarstern expeditions ANT XXI-4, ANT XXIII-6 and ANT XXIV-2, and the Alfred Wegener Institute for Polar and Marine Research (AWI). Invaluable assistance in sample collection was provided by M. van Dorssen, A. Meijboom, R. Fijn, B. Fey, S. Scholing, L Gurney, M. Haraldsson, M. Vortkamp, and L.Wilrzberg. We thank Jan Beermann for providing assistance with the identification of the gammarid amphipods from the mesopelagic RMTs. Antarctic research by IMARES is commissioned by the Netherlands Ministry of Economic Affairs under its Statutory Research Task Nature &amp; Environment WOT-04-009-036. The ministry provided additional strategic support under Project no KB-01-012-002. The Netherlands Ant Arctic Programme (NAAP), managed by the Netherlands Organisation for Scientific Research (NWO) funded this research under Project nr ALW 851.20.011. A.P. VdP. was supported by the Belgian Science Policy (PELAGANT project and the PADI project no. SD/BA/851). S.K., V.Si., V.St., E.A.P. and U.B were supported by the German LAKRIS project (BMBF MGS 03F046A). The Alexander von Humboldt Foundation supported a Research stay of E.A.P. at the Alfred Wegener Institute (AWI). This study is part of the Helmholtz Association Young Investigators Group keflux: Ice-ecosystem carbon flux in polar oceans (VH-NG-800).</t>
  </si>
  <si>
    <t>10.1016/j.dsr.2013.11.001</t>
  </si>
  <si>
    <t>WOS:000329960000011</t>
  </si>
  <si>
    <t>Jia, ZN; Virtue, P; Swadling, KM; Kawaguchi, S</t>
  </si>
  <si>
    <t>Jia, Zhongnan; Virtue, Patti; Swadling, Kerrie M.; Kawaguchi, So</t>
  </si>
  <si>
    <t>A photographic documentation of the development of Antarctic krill (Euphausia superba) from egg to early juvenile</t>
  </si>
  <si>
    <t>Embryology; Larvae; Ontogenesis</t>
  </si>
  <si>
    <t>EAST ANTARCTICA; LARVAL KRILL; WINTER; DANA; CRYSTALLOROPHIAS; TEMPERATURE; CRUSTACEANS; GROWTH; SIZE; SEA</t>
  </si>
  <si>
    <t>Antarctic krill (Euphausia superba) is a key species in Antarctic marine ecosystems, as well as an important species in the Southern Ocean fishery. Here, we provide the first detailed photographic documentation of embryonic and larval development of Antarctic krill over a 5-month developmental period under controlled laboratory conditions. Developing embryos and larvae were photographed every 3 h and every 5 days, respectively. Our results indicated a developmental time of approximately 6 days for embryos and 138 days for larvae (0.5 A degrees C). This study provided baseline biometry information for future investigations of Antarctic krill development under changing environmental conditions.</t>
  </si>
  <si>
    <t>[Jia, Zhongnan; Virtue, Patti; Swadling, Kerrie M.] Univ Tasmania, Inst Marine &amp; Antarctic Studies, Hobart, Tas 7000, Australia; [Jia, Zhongnan; Kawaguchi, So] Antarctic Climate &amp; Ecosyst Cooperat Res Ctr, Hobart, Tas 7000, Australia; [Kawaguchi, So] Australian Antarctic Div, Kingston, Tas 7050, Australia</t>
  </si>
  <si>
    <t>University of Tasmania; Antarctic Climate &amp; Ecosystems Cooperative Research Centre (ACE CRC); Australian Antarctic Division</t>
  </si>
  <si>
    <t>Jia, ZN (corresponding author), Univ Tasmania, Inst Marine &amp; Antarctic Studies, Private Bag 129, Hobart, Tas 7000, Australia.</t>
  </si>
  <si>
    <t>Zhongnan.Jia@utas.edu.au</t>
  </si>
  <si>
    <t>Kawaguchi, So/N-1795-2017</t>
  </si>
  <si>
    <t>Swadling, Kerrie/0000-0002-7620-841X; Kawaguchi, So/0000-0002-2042-5095; Virtue, Patti/0000-0002-9870-1256</t>
  </si>
  <si>
    <t>Holsworth wildlife research endowment</t>
  </si>
  <si>
    <t>We thank Dr. B. Meyer, Dr. J. Cuzin-Roudy, and an anonymous reviewer for their constructive comments. We also thank Dr. J. Melbourne-Thomas for critical reading of the early draft of this manuscript. R. King, T. Waller, D. Lang, and J. Mclvor deserve special thanks for their supports and maintenance of the krill aquarium at the Australian Antarctic Division. Funding was partially provided by Holsworth wildlife research endowment.</t>
  </si>
  <si>
    <t>10.1007/s00300-013-1420-7</t>
  </si>
  <si>
    <t>290YN</t>
  </si>
  <si>
    <t>WOS:000329794700002</t>
  </si>
  <si>
    <t>Konishi, K; Hakamada, T; Kiwada, H; Kitakado, T; Walloe, L</t>
  </si>
  <si>
    <t>Konishi, Kenji; Hakamada, Takashi; Kiwada, Hiroshi; Kitakado, Toshihide; Walloe, Lars</t>
  </si>
  <si>
    <t>Decrease in stomach contents in the Antarctic minke whale (Balaenoptera bonaerensis) in the Southern Ocean</t>
  </si>
  <si>
    <t>Minke whale; Feeding ecology; Balaenoptera; Ross Sea; Antarctic krill</t>
  </si>
  <si>
    <t>KRILL EUPHAUSIA-SUPERBA; ROSS SEA; ABUNDANCE; HUMPBACK; ICE; VARIABILITY; DEMOGRAPHY; DYNAMICS; DECLINE; SYSTEM</t>
  </si>
  <si>
    <t>The Antarctic minke whale (Balaenoptera bonaerensis) is one of the major krill predators in Antarctic waters. A reported decline in energy storage over almost two decades indicates that food availability for the whales may also have declined recently. To test this hypothesis, catch data from 20 survey years in the Japanese Whale Research Program in the Antarctic (JARPA) and its second phase (JARPA II) (1990/91-2009/10), which covered the longitudinal sector between 35A degrees E and 145A degrees W south of 58A degrees S, were used to investigate whether there was any annual trend in the stomach contents weight of Antarctic minke whales. A linear mixed-effects analysis showed a 31 % (95 % CI 12.6-45.3 %) decrease in the weight of stomach contents over the 20 years since 1990/1991. A similar pattern of decrease was found in both males and females, except in the case of females sampled at higher latitude in the Ross Sea. These results suggest a decrease in the availability of krill for Antarctic minke whales in the lower latitudinal range of the research area. The results are consistent with the decline in energy storage reported previously. The decrease in krill availability could be due to environmental changes or to an increase in the abundance of other krill-feeding predators. The latter appears somewhat more likely, given the recent rapid recovery of humpback whale. Furthermore, humpback whales are not found in the Ross Sea, where both Antarctic krill and ice krill (Euphausia crystallorophias) are available, and where no change in prey availability for Antarctic minke whales is indicated.</t>
  </si>
  <si>
    <t>[Konishi, Kenji; Hakamada, Takashi] Inst Cetacean Res, Chuo Ku, Tokyo 1040055, Japan; [Kiwada, Hiroshi] Ocean Engn &amp; Dev Co Ltd, Chuo Ku, Tokyo 1030024, Japan; [Kitakado, Toshihide] Tokyo Univ Marine Sci &amp; Technol, Minato Ku, Tokyo 1048477, Japan; [Walloe, Lars] Univ Oslo, Inst Basic Med Sci, Dept Physiol, N-0317 Oslo, Norway</t>
  </si>
  <si>
    <t>Tokyo University of Marine Science &amp; Technology; University of Oslo</t>
  </si>
  <si>
    <t>Konishi, K (corresponding author), Inst Cetacean Res, Chuo Ku, 4-5 Toyomi Cho, Tokyo 1040055, Japan.</t>
  </si>
  <si>
    <t>konishi@cetacean.jp</t>
  </si>
  <si>
    <t>Kitakado, Toshihide/O-1944-2014; walloe, lars/P-6947-2018</t>
  </si>
  <si>
    <t>Konishi, Kenji/0000-0002-6120-9903</t>
  </si>
  <si>
    <t>10.1007/s00300-013-1424-3</t>
  </si>
  <si>
    <t>WOS:000329794700005</t>
  </si>
  <si>
    <t>Osorio, J; Calderón, C; Gutiérrez-Moraga, A; Gidekel, M</t>
  </si>
  <si>
    <t>Osorio, Jennifer; Calderon, Claudia; Gutierrez-Moraga, Ana; Gidekel, Manuel</t>
  </si>
  <si>
    <t>The effects of growth regulators and a scanning electron microscope study of somatic embryogenesis in Antartic hair grass (Deschampsia antarctica Desv.)</t>
  </si>
  <si>
    <t>Deschampsia antarctica Desv.; Embryogenesis; Somatic embryo; Auxin; Cytokinin; Antarctic</t>
  </si>
  <si>
    <t>FREQUENCY PLANT-REGENERATION; EREMOCHLOA-OPHIUROIDES MUNRO; ULTRAVIOLET-B RADIATION; HORDEUM-VULGARE L.; MATURE EMBRYOS; CALLUS; BARLEY; INDUCTION; AUXIN; WHEAT</t>
  </si>
  <si>
    <t>Deschampsia antartctica Desv. is a type of grass that is physiologically and biochemically adapted to the extreme environmental conditions of the Antarctic continent, which is of interest to many investigators. To explore the potential use of somatic embryogenesis as a biotechnological tool for the mass micropropagation of this grass, the effects of three dosages of 2,4-dichlorophenoxyacetic acid, dicamba, and picloram were evaluated. The developmental and morphological stages of somatic embryo formation were evaluated using scanning electron microscopy (SEM). Plant regeneration was evaluated under the effects of different dosages of 6-benzylaminopurine (BAP) and 1-naphthaleneacetic acid (NAA), alone and combined. The results indicated that a Murashige and Skoog basal medium supplemented with 3 mg/l of dicamba was the best for inducing somatic embryogenesis, while the combination of 1 mg/l BAP and 0.1 mg/l of NAA was the most efficient for the regeneration and development of the plants. This work demonstrates, for the first time with the use of SEM, that it is possible to apply somatic embryogenesis for the regeneration of superficial and morphological structures of somatic embryos in the species D. antarctica.</t>
  </si>
  <si>
    <t>[Osorio, Jennifer; Gutierrez-Moraga, Ana] Univ La Frontera, Fac Ciencias Agr &amp; Forestales, Lab Fisiol &amp; Biol Mol Vegetal, Temuco, Chile; [Osorio, Jennifer] Univ Adolfo Ibanez, Fac Ingn &amp; Ciencias, Santiago, Chile; [Calderon, Claudia] Univ Chile, Fac Med, Santiago, Chile; [Gidekel, Manuel] Univ La Frontera, Temuco, Chile</t>
  </si>
  <si>
    <t>Universidad de La Frontera; Universidad Adolfo Ibanez; Universidad de Chile; Universidad de La Frontera</t>
  </si>
  <si>
    <t>Gidekel, M (corresponding author), Univ La Frontera, Casilla 54-D, Temuco, Chile.</t>
  </si>
  <si>
    <t>mgidekel@gmail.com</t>
  </si>
  <si>
    <t>Gidekel, Manuel/0000-0002-6770-4630</t>
  </si>
  <si>
    <t>Uxmal S.A.; Comision Nacional de Investigacion Cientifica y Tecnologica (CONICYT) [24091116]</t>
  </si>
  <si>
    <t>Uxmal S.A.; Comision Nacional de Investigacion Cientifica y Tecnologica (CONICYT)(Comision Nacional de Investigacion Cientifica y Tecnologica (CONICYT))</t>
  </si>
  <si>
    <t>We would like to thank Nicolas Nazal from Gene X-Press Chile for his help in revising this manuscript and to the Instituto Antartico Chileno (INACH) for allowing us to participate in the Expedicion Cientifica Antartica (ECA-47) during January 2010. This work was funded by Uxmal S.A. and the Comision Nacional de Investigacion Cientifica y Tecnologica (CONICYT) Doctorate Fellowship No. 24091116 awarded to Jennifer Osorio.</t>
  </si>
  <si>
    <t>10.1007/s00300-013-1425-2</t>
  </si>
  <si>
    <t>WOS:000329794700006</t>
  </si>
  <si>
    <t>Mangano, S; Michaud, L; Caruso, C; Lo Giudice, A</t>
  </si>
  <si>
    <t>Mangano, Santina; Michaud, Luigi; Caruso, Consolazione; Lo Giudice, Angelina</t>
  </si>
  <si>
    <t>Metal and antibiotic resistance in psychrotrophic bacteria associated with the Antarctic sponge Hemigellius pilosus (Kirkpatrick, 1907)</t>
  </si>
  <si>
    <t>Sponge-associated bacteria; Heavy metal tolerance; Antibiotic resistance; Resistance pattern</t>
  </si>
  <si>
    <t>TERRA-NOVA BAY; ROSS SEA; MARINE ORGANISMS; HEAVY-METALS; CADMIUM; AGENTS</t>
  </si>
  <si>
    <t>High concentrations of heavy metals have been previously detected in Antarctic sponge tissues, but their effect on the associated bacterial assemblages has been never investigated. Metal tolerance is often linked to antibiotic resistance and can also affect biochemical activities within microbial populations. In the present work, the response to heavy metals and antibiotics, as well as the enzymatic profile, of bacteria associated with the sponge Hemigellius pilosus, was analyzed. Tolerance to mercury, cadmium and zinc (at concentrations between 10 and 10,000 ppm) was tested by the plate diffusion method. Almost all isolates completely tolerated zinc and cadmium up to 1,000 and 2,500 ppm, respectively, whereas complete tolerance to mercury was generally observed at concentrations between 10 and 500 ppm. As bacteria can develop resistance in the growing presence of toxic compounds in the environment, this finding could be related to the concentrations of metals in the sponge tissues. The susceptibility assay to 11 antibiotics revealed that multiple antibiotic resistance was generally exhibited, with gentamicin that inhibited all Antarctic isolates. The comparison of the heavy metal and antibiotic resistance patterns at phylogenetic level revealed some distinctive features, suggesting that the dissemination of heavy metal tolerance and antibiotic resistance may possess great relevance for the population dynamics. Additionally, growth patterns often highly differed among strains in the same species, thus appearing to be more likely strain specific rather than species specific. The enzyme expression by the isolates was not really affected by the heavy metal tolerance they showed, as variation in the enzymatic profiles was observed in strains within the same genus that showed different/similar heavy metal tolerance patterns.</t>
  </si>
  <si>
    <t>[Mangano, Santina; Michaud, Luigi; Caruso, Consolazione; Lo Giudice, Angelina] Univ Messina, Dept Biol &amp; Environm Sci DISBA, I-98166 Messina, Italy</t>
  </si>
  <si>
    <t>University of Messina</t>
  </si>
  <si>
    <t>Lo Giudice, A (corresponding author), Univ Messina, Dept Biol &amp; Environm Sci DISBA, Viale F Stagno dAlcontres 31, I-98166 Messina, Italy.</t>
  </si>
  <si>
    <t>alogiudice@unime.it</t>
  </si>
  <si>
    <t>PNRA (Programma Nazionale di Ricerche in Antartide); Italian Ministry of Education and Research [PNRA 2004/1.6]; MNA (Museo Nazionale dell'Antartide)</t>
  </si>
  <si>
    <t>PNRA (Programma Nazionale di Ricerche in Antartide); Italian Ministry of Education and Research(Ministry of Education, Universities and Research (MIUR)); MNA (Museo Nazionale dell'Antartide)</t>
  </si>
  <si>
    <t>This research was supported by Grants from PNRA (Programma Nazionale di Ricerche in Antartide), Italian Ministry of Education and Research (Research Project PNRA 2004/1.6), and from MNA (Museo Nazionale dell'Antartide). The authors thank three anonymous reviewers for their valuable comments on the manuscript.</t>
  </si>
  <si>
    <t>10.1007/s00300-013-1426-1</t>
  </si>
  <si>
    <t>WOS:000329794700007</t>
  </si>
  <si>
    <t>Robertson, G; Wienecke, B; Emmerson, L; Fraser, AD</t>
  </si>
  <si>
    <t>Robertson, Graham; Wienecke, Barbara; Emmerson, Louise; Fraser, Alexander D.</t>
  </si>
  <si>
    <t>Long-term trends in the population size and breeding success of emperor penguins at the Taylor Glacier colony, Antarctica</t>
  </si>
  <si>
    <t>Emperor penguins; Population trends; Breeding success; Distance to open water; Climate warming</t>
  </si>
  <si>
    <t>POINTE-GEOLOGIE; ADELIE</t>
  </si>
  <si>
    <t>The population size of emperor penguins at the land-based Taylor Glacier colony was monitored over 54 years from 1957 to 2010 by intermittent ground counts from 1957 to 1975 and annual photographic counts from 1988 to 2010 of males attending the colony in winter and chicks in early summer. The breeding population in the early years averaged 3,684 +/- A 492 pairs compared with 2,927 +/- A 320 pairs from 1988-2010, a reduction of 20.5 %. The exact timing and magnitude of the change is unknown because there was a 13-year gap between the end of the historical counts and start of the contemporary counts. From 1954 to 2010 no real or inferred warming event that may have been linked to the decrease was evident at Australia's Mawson station, 95 km from Taylor Glacier colony. From 1988 to 2010, variation in breeding population size and breeding success were not related to variation in the distance between the colony and open water. In this period, the number of pairs breeding fluctuated annually and overall showed signs of a gradual decrease. The Taylor Glacier colony is one of only three emperor penguin colonies where populations have been monitored in winter over the long term. Given the threat of climate warming to the future of this ice-dependent species it is imperative that the annual monitoring programme at Taylor Glacier continues well into the future.</t>
  </si>
  <si>
    <t>[Robertson, Graham; Wienecke, Barbara; Emmerson, Louise] Australian Antarctic Div, Kingston, Tas 7050, Australia; [Fraser, Alexander D.] Univ Tasmania, Antarctic Climate &amp; Ecosyst Cooperat Res Ctr, Hobart, Tas 7001, Australia</t>
  </si>
  <si>
    <t>Australian Antarctic Division; Antarctic Climate &amp; Ecosystems Cooperative Research Centre (ACE CRC); University of Tasmania</t>
  </si>
  <si>
    <t>Robertson, G (corresponding author), Australian Antarctic Div, 203 Channel Highway, Kingston, Tas 7050, Australia.</t>
  </si>
  <si>
    <t>graham.robertson@aad.gov.au</t>
  </si>
  <si>
    <t>Fraser, Alexander/0000-0003-1924-0015</t>
  </si>
  <si>
    <t>Grants-in-Aid for Scientific Research [13F03748] Funding Source: KAKEN</t>
  </si>
  <si>
    <t>Grants-in-Aid for Scientific Research(Ministry of Education, Culture, Sports, Science and Technology, Japan (MEXT)Japan Society for the Promotion of ScienceGrants-in-Aid for Scientific Research (KAKENHI))</t>
  </si>
  <si>
    <t>10.1007/s00300-013-1428-z</t>
  </si>
  <si>
    <t>WOS:000329794700009</t>
  </si>
  <si>
    <t>Toda, R; Lindsay, DJ; Fuentes, VL; Moteki, M</t>
  </si>
  <si>
    <t>Toda, Ryoji; Lindsay, Dhugal J.; Fuentes, Veronica L.; Moteki, Masato</t>
  </si>
  <si>
    <t>Community structure of pelagic cnidarians off Ad,lie Land, East Antarctica, during austral summer 2008</t>
  </si>
  <si>
    <t>Siphonophorae; Medusae; Spatial distribution; Vertical distribution; Cluster analysis; Discrete depth sampling</t>
  </si>
  <si>
    <t>SOUTHERN-OCEAN; WEDDELL SEA; VERTICAL-DISTRIBUTION; EUPHAUSIA-SUPERBA; ADELIE LAND; ABUNDANCE; MACROZOOPLANKTON; SLOPE; KRILL; FISH</t>
  </si>
  <si>
    <t>Some studies have suggested that pelagic cnidarians are important components of the Southern Ocean ecosystem due to their high abundance and diversity and their high predatory effects, although little information on these animals is available. Thus, we examined the spatial distribution of pelagic cnidarians from the oceanic to neritic zone off Ad,lie Land, East Antarctica. Discrete depth sampling was conducted from the surface to 2,000 m depth from late January to early February 2008. In total, 3347 individuals representing 45 species/taxa from eight orders were collected. Cluster analysis revealed three major clusters: (1) an epipelagic group in the oceanic zone composed mainly of Pegantha martagon, the abundance and species diversity of which were very low; (2) a meso- and bathy-pelagic group characterised by high abundance and species diversity with dominance of Dimophyes arctica, Vogtia serrata, and Halicreas minimum; and (3) a neritic group represented by a high abundance of Diphyes antarctica. Cnidarian communities in the epipelagic zone were divided by hydrographic structures such as the Southern Boundary of the Antarctic Circumpolar Current and Antarctic Slope Front, whereas those in the meso- and bathy-pelagic layers dominated by circumpolar deep water were relatively stable with higher diversity throughout the oceanic zone.</t>
  </si>
  <si>
    <t>[Toda, Ryoji; Moteki, Masato] Tokyo Univ Marine Sci &amp; Technol, Dept Ocean Sci, Minato Ku, Tokyo 1088477, Japan; [Lindsay, Dhugal J.] Japan Agcy Marine Earth Sci &amp; Technol, Extremobiosphere Res Ctr, Yokosuka, Kanagawa 2370016, Japan; [Fuentes, Veronica L.] CSIC, Inst Ciencies Mar, E-08003 Barcelona, Spain</t>
  </si>
  <si>
    <t>Tokyo University of Marine Science &amp; Technology; Japan Agency for Marine-Earth Science &amp; Technology (JAMSTEC); Consejo Superior de Investigaciones Cientificas (CSIC); CSIC - Centro Mediterraneo de Investigaciones Marinas y Ambientales (CMIMA); CSIC - Instituto de Ciencias del Mar (ICM)</t>
  </si>
  <si>
    <t>Moteki, M (corresponding author), Tokyo Univ Marine Sci &amp; Technol, Dept Ocean Sci, Minato Ku, 4-5-7 Konan, Tokyo 1088477, Japan.</t>
  </si>
  <si>
    <t>masato@kaiyodai.ac.jp</t>
  </si>
  <si>
    <t>Fuentes, Verónica L/K-7589-2014</t>
  </si>
  <si>
    <t>Fuentes, Verónica L/0000-0002-6380-0174</t>
  </si>
  <si>
    <t>Japan Society for the Promotion of Science [14255012, 19255014]; Grants-in-Aid for Scientific Research [19255014, 14255012]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</si>
  <si>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</si>
  <si>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the officers and crew of the TR/V Umitaka-Maru (TUMSAT) and all on-board cadets in the Advanced Course for Marine Science and Technology for their outstanding assistance in sample collection. We also thank our scientific colleagues from various institutes for help with processing the samples and with the on-board hydrographic observations. We also wish to thank M. Grossmann for her help in the laboratory. The survey in 2008 was conducted as a part of the Collaborative East Antarctic Marine Census (CEAMARC) programme. This study was supported by Grants-in-Aid for Scientific Research from the Japan Society for the Promotion of Science (Nos. 14255012 and 19255014 for T. Ishimaru, TUMSAT). Finally, we would like to thank T. Ishimaru and G. W. Hosie (Australian Antarctic Division), who encouraged our study as the cruise leader and CEAMARC leader, respectively.</t>
  </si>
  <si>
    <t>10.1007/s00300-013-1430-5</t>
  </si>
  <si>
    <t>WOS:000329794700011</t>
  </si>
  <si>
    <t>Farmery, A; Gardner, C; Green, BS; Jennings, S</t>
  </si>
  <si>
    <t>Farmery, Anna; Gardner, Caleb; Green, Bridget S.; Jennings, Sarah</t>
  </si>
  <si>
    <t>Managing fisheries for environmental performance: the effects of marine resource decision-making on the footprint of seafood</t>
  </si>
  <si>
    <t>JOURNAL OF CLEANER PRODUCTION</t>
  </si>
  <si>
    <t>Carbon footprint; Fisheries management; Life cycle assessment; Maximum economic yield; Maximum sustainable yield; Southern rock lobster</t>
  </si>
  <si>
    <t>LOBSTER JASUS-EDWARDSII; LIFE-CYCLE ASSESSMENT; PROTECTED AREAS; WATER-USE; SUSTAINABILITY; MANAGEMENT; COD; ASSESSMENTS; CONSUMPTION; TOXICITY</t>
  </si>
  <si>
    <t>The concept of seafood sustainability does not typically include the energetic or material demands of the capture or supply chain processes, despite the significant impacts they generate. We used life cycle assessment (LCA) to measure the environmental footprint of the supply of Tasmanian southern rock lobster, Jasus edwardsii (TSRL). International airfreight of live lobsters was the major contributor to global warming potential (GWP) and cumulative energy demand (CED) indicators, while the fishing stage accounted for the majority of impacts to eutrophication potential (EP), water use and marine aquatic ecotoxicity. The environmental footprint of the TSRL in our scenarios was responsive to marine resource management decisions made inside and outside the fishery. Targeting maximum economic yield rather than maximum sustainable yield decreased the carbon footprint by 80% or 10 kg CO(2)e kg(-1) of lobster at capture. Limiting access to the fishery by increasing the coverage of marine protected areas increased the fishery's carbon footprint by 23% or 3 kg CO(2)e kg(-1) of lobster at capture. The unintended consequences of management changes suggest that in a future of increased carbon emission regulation, marine resource decision making should not be made in isolation of broader environmental impacts. (C) 2013 Elsevier Ltd. All rights reserved.</t>
  </si>
  <si>
    <t>[Farmery, Anna; Gardner, Caleb; Green, Bridget S.] Univ Tasmania, Inst Marine &amp; Antarctic Studies, Hobart, Tas 7001, Australia; [Jennings, Sarah] Univ Tasmania, Sch Econ &amp; Finance, Hobart, Tas 7001, Australia</t>
  </si>
  <si>
    <t>Farmery, A (corresponding author), Univ Tasmania, Inst Marine &amp; Antarctic Studies, Hobart, Tas 7001, Australia.</t>
  </si>
  <si>
    <t>Anna.Farmery@utas.edu.au; Caleb.gardner@utas.edu.au; Bridget.green@utas.edu.au; Sarah.jennings@utas.edu.au</t>
  </si>
  <si>
    <t>Farmery, Anna/H-9696-2014; Green, Bridget S/G-3368-2014; Gardner, Caleb/I-7086-2013; Jennings, Sarah/J-7888-2014</t>
  </si>
  <si>
    <t>Farmery, Anna/0000-0002-8938-0040; Gardner, Caleb/0000-0003-0324-4337; Jennings, Sarah/0000-0002-5760-4193</t>
  </si>
  <si>
    <t>Australian National Network in Marine Science (ANNIMS); Fisheries Research and Development Corporation (FRDC); Marine NARP project [2011/233]; Australian Government</t>
  </si>
  <si>
    <t>Australian National Network in Marine Science (ANNIMS); Fisheries Research and Development Corporation (FRDC)(Fisheries R&amp;D Corp); Marine NARP project; Australian Government(Australian Government)</t>
  </si>
  <si>
    <t>Ethics approval was obtained from the Tasmanian Ethics Committee and granted as minimal risk (reference H12188). We greatly appreciate the participation of stakeholders across the southern rock lobster supply chain. This work was supported by the Australian National Network in Marine Science (ANNIMS), the Fisheries Research and Development Corporation (FRDC) and Marine NARP project 2011/233, both funded by the Australian Government.</t>
  </si>
  <si>
    <t>0959-6526</t>
  </si>
  <si>
    <t>1879-1786</t>
  </si>
  <si>
    <t>J CLEAN PROD</t>
  </si>
  <si>
    <t>J. Clean Prod.</t>
  </si>
  <si>
    <t>10.1016/j.jclepro.2013.10.016</t>
  </si>
  <si>
    <t>Green &amp; Sustainable Science &amp; Technology; Engineering, Environmental; Environmental Sciences</t>
  </si>
  <si>
    <t>Science &amp; Technology - Other Topics; Engineering; Environmental Sciences &amp; Ecology</t>
  </si>
  <si>
    <t>288EV</t>
  </si>
  <si>
    <t>WOS:000329595700033</t>
  </si>
  <si>
    <t>Jeong, HH; Jeong, SG; Park, A; Jang, SC; Hong, SG; Lee, CS</t>
  </si>
  <si>
    <t>Jeong, Heon-Ho; Jeong, Seong-Geun; Park, Aeri; Jang, Sung-Chan; Hong, Soon Gyu; Lee, Chang-Soo</t>
  </si>
  <si>
    <t>Effect of temperature on biofilm formation by Antarctic marine bacteria in a microfluidic device</t>
  </si>
  <si>
    <t>ANALYTICAL BIOCHEMISTRY</t>
  </si>
  <si>
    <t>Antarctic marine bacteria; Biofilm; Temperature gradient; Microfluidic device; Cryobiology</t>
  </si>
  <si>
    <t>SEA-ICE; INCUBATION-TEMPERATURE; GRADIENT; GROWTH; EXOPOLYSACCHARIDES; COMMUNITIES; CHEMOTAXIS; PARALLEL; GENES; LIFE</t>
  </si>
  <si>
    <t>Polar biofilms have become an increasingly popular biological issue because new materials and phenotypes have been discovered in microorganisms in the polar region. Various environmental factors affect the functionality and adaptation of microorganisms. Because the polar region represents an extremely cold environment, polar microorganisms have a functionality different from that of normal microorganisms. Thus, determining the effective temperature for the development of polar biofilms is crucial. Here, we present a simple, novel one-pot assay for analysis of the effect of temperature on formation of Antarctic bacterial biofilm using a microfluidic system where continuous temperature gradients are generated. We find that a specific range of temperature is required for the growth of biofilms. Thus, this microfluidic approach provides precise information regarding the effective temperature for polar biofilm development with a new high-throughput screening format. (C) 2013 Elsevier Inc. All rights reserved.</t>
  </si>
  <si>
    <t>[Jeong, Heon-Ho; Jeong, Seong-Geun; Park, Aeri; Jang, Sung-Chan; Lee, Chang-Soo] Chungnam Natl Univ, Dept Chem Engn, Taejon 305764, South Korea; [Hong, Soon Gyu] Korea Polar Res Insitute, Div Polar Life Sci, Inchon 406840, South Korea</t>
  </si>
  <si>
    <t>Chungnam National University</t>
  </si>
  <si>
    <t>Lee, CS (corresponding author), Chungnam Natl Univ, Dept Chem Engn, Taejon 305764, South Korea.</t>
  </si>
  <si>
    <t>rhadum@cnu.ac.kr</t>
  </si>
  <si>
    <t>Lee, Chang/HME-1129-2023</t>
  </si>
  <si>
    <t>Lee, Chang-Soo/0000-0003-3789-2412</t>
  </si>
  <si>
    <t>Polar Academic Program (PAP); KOPRI; Converging Research Center Program through the Ministry of Science, ICT and Future Planning, Korea [2013K000339]</t>
  </si>
  <si>
    <t>Polar Academic Program (PAP); KOPRI(Korea Polar Research Institute of Marine Research Placement (KOPRI)); Converging Research Center Program through the Ministry of Science, ICT and Future Planning, Korea(Ministry of Science, ICT &amp; Future Planning, Republic of Korea)</t>
  </si>
  <si>
    <t>This research was supported by the Polar Academic Program (PAP), KOPRI, and the Converging Research Center Program through the Ministry of Science, ICT and Future Planning, Korea (2013K000339).</t>
  </si>
  <si>
    <t>0003-2697</t>
  </si>
  <si>
    <t>1096-0309</t>
  </si>
  <si>
    <t>ANAL BIOCHEM</t>
  </si>
  <si>
    <t>Anal. Biochem.</t>
  </si>
  <si>
    <t>10.1016/j.ab.2013.10.027</t>
  </si>
  <si>
    <t>Biochemical Research Methods; Biochemistry &amp; Molecular Biology; Chemistry, Analytical</t>
  </si>
  <si>
    <t>293CR</t>
  </si>
  <si>
    <t>WOS:000329949500016</t>
  </si>
  <si>
    <t>[Anonymous]</t>
  </si>
  <si>
    <t>Standing Up For Peer Review</t>
  </si>
  <si>
    <t>10.1017/S0954102014000042</t>
  </si>
  <si>
    <t>WOS:000332374600001</t>
  </si>
  <si>
    <t>Abrams, PA</t>
  </si>
  <si>
    <t>Abrams, Peter A.</t>
  </si>
  <si>
    <t>How precautionary is the policy governing the Ross Sea Antarctic toothfish (Dissostichus mawsoni) fishery?</t>
  </si>
  <si>
    <t>precautionary management; ecological prediction; sustainable harvest; density dependence</t>
  </si>
  <si>
    <t>MAXIMUM REPRODUCTIVE RATE; SOUTHERN-OCEAN; ATLANTIC COD; DENSITY-DEPENDENCE; NATURAL MORTALITY; MCMURDO SOUND; FOOD-WEB; POPULATION; RECOVERY; STOCKS</t>
  </si>
  <si>
    <t>This article reviews the adequacy of data and models currently being used to estimate the present and future population sizes of the Antarctic toothfish (Dissostichus mawsoni Norman) in the Ross Sea regional ecosystem. The current tagging programme is unlikely to provide an accurate picture of total population size, and estimates of both the pre-exploitation spawning stock biomass and the ratio of current to pre-exploitation biomass are unreliable. Many parameters necessary for estimating future population growth or decline have not been measured, and the current objective of a 50% reduction in biomass relative to unexploited biomass may easily fail to prevent a much larger reduction from taking place. The need to guess values of important parameters makes it impossible to set bounds on the potential errors of population forecasts. Current scientific knowledge is far from what is needed to predict the likely effects of food-web responses to harvesting of toothfish in the Ross Sea, or to predict the feedback effects of those food-web changes on toothfish populations.</t>
  </si>
  <si>
    <t>Univ Toronto, Dept Ecol &amp; Evolutionary Biol, Toronto, ON M5S 3G5, Canada</t>
  </si>
  <si>
    <t>University of Toronto</t>
  </si>
  <si>
    <t>Abrams, PA (corresponding author), Univ Toronto, Dept Ecol &amp; Evolutionary Biol, 25 Harbord St, Toronto, ON M5S 3G5, Canada.</t>
  </si>
  <si>
    <t>peter.abrams@utoronto.ca</t>
  </si>
  <si>
    <t>Abrams, Peter A/A-5240-2008</t>
  </si>
  <si>
    <t>Discovery Grant from the Natural Sciences and Engineering Research Council of Canada</t>
  </si>
  <si>
    <t>Discovery Grant from the Natural Sciences and Engineering Research Council of Canada(Natural Sciences and Engineering Research Council of Canada (NSERC))</t>
  </si>
  <si>
    <t>I thank Donald Siniff for bringing the fishery on Antarctic toothfish to my attention, and David Ainley for extensive advice on the literature in this area. Their comments and suggestions, and those of Brian Shuter, Henrique Giacomini, Jeff Hutchings and Bob Hoffman, as well as two anonymous reviewers have improved previous drafts of this manuscript. I have been supported by a Discovery Grant from the Natural Sciences and Engineering Research Council of Canada.</t>
  </si>
  <si>
    <t>10.1017/S0954102013000801</t>
  </si>
  <si>
    <t>WOS:000332374600002</t>
  </si>
  <si>
    <t>Keller, W; Paterson, AM; Rühland, KM; Blais, JM</t>
  </si>
  <si>
    <t>Keller, Wendel (Bill); Paterson, Andrew M.; Ruehland, Kathleen M.; Blais, Jules M.</t>
  </si>
  <si>
    <t>Introduction-Environmental Change in the Hudson and James Bay Region</t>
  </si>
  <si>
    <t>CLIMATE-CHANGE; CARBON ACCUMULATION; EXPLORATORY SURVEY; WATER-CHEMISTRY; NORTHERN QUEBEC; LOWLANDS; ONTARIO; RIVER; PONDS; LAKES</t>
  </si>
  <si>
    <t>[Keller, Wendel (Bill)] Laurentian Univ, Cooperat Freshwater Ecol Unit, Sudbury, ON P3E 2C6, Canada; [Paterson, Andrew M.] Dorset Environm Sci Ctr, Ontario Minist Environm, Dorset, ON P0A 1E0, Canada; [Ruehland, Kathleen M.] Queens Univ, Dept Biol, PEARL, Kingston, ON K7L 3N6, Canada; [Blais, Jules M.] Univ Ottawa, Dept Biol, Ottawa, ON K1N 6N5, Canada</t>
  </si>
  <si>
    <t>Laurentian University; Queens University - Canada; University of Ottawa</t>
  </si>
  <si>
    <t>Keller, W (corresponding author), Laurentian Univ, Cooperat Freshwater Ecol Unit, Ramsey Lake Rd, Sudbury, ON P3E 2C6, Canada.</t>
  </si>
  <si>
    <t>bkeller@laurentian.ca</t>
  </si>
  <si>
    <t>Blais, Jules/AAV-2321-2020; Keller, Wendel/G-1533-2012</t>
  </si>
  <si>
    <t>Blais, Jules/0000-0002-7188-3598;</t>
  </si>
  <si>
    <t>10.1657/1938-4246-46.1.2</t>
  </si>
  <si>
    <t>Green Submitted, Bronze</t>
  </si>
  <si>
    <t>WOS:000333866100002</t>
  </si>
  <si>
    <t>Holmquist, JR; MacDonald, GM; Gallego-Sala, A</t>
  </si>
  <si>
    <t>Holmquist, James R.; MacDonald, Glen M.; Gallego-Sala, Angela</t>
  </si>
  <si>
    <t>Peatland Initiation, Carbon Accumulation, and 2 ka Depth in the James Bay Lowland and Adjacent Regions</t>
  </si>
  <si>
    <t>HUDSON-BAY; CLIMATE-CHANGE; NORTH-AMERICA; BOREAL; CANADA; TEMPERATURE; GROWTH; RATES; DECOMPOSITION; PERMAFROST</t>
  </si>
  <si>
    <t>Peatlands surrounding Hudson and James Bays form the second largest peatland complex in the world and contain major stores of soil carbon (C). This study utilized a transect of eight ombrotrophic peat cores from remote regions of central and northern Ontario to quantify the magnitude and rate of C accumulation since peatland initiation and for the past 2000 calendar years before present (2 ka). These new data were supplemented by 17 millennially resolved chronologies from a literature review covering the Boreal Shield, Hudson Plains, and Taiga Shield bordering Hudson and James Bays. Peatlands initiated in central and northern Ontario by 7.8 ka following deglaciation and isostatic emergence of northern areas to above sea level. Total C accumulated since inception averaged 109.7 +/- (std. dev.) 36.2 kg C m(-2). Approximately 40% of total. soil C has accumulated since 2 ka at an average apparent rate of 20.2 +/- 6.9 g C m(-2) yr(-1). The 2 ka depths correlate significantly and positively with modern gridded climate estimates for mean annual precipitation, mean annual air temperature, growing degree-days &gt; 0 degrees C, and photosynthetically active radiation integrated over days &gt; 0 degrees C. There are significantly shallower depths in permafrost peatlands. Vertical peat accumulation was likely constrained by temperature, growing season length, and photosynthetically active radiation over the last 2 ka in the Hudson Bay Lowlands and surrounding regions.</t>
  </si>
  <si>
    <t>[Holmquist, James R.; MacDonald, Glen M.] Univ Calif Los Angeles, Dept Ecol &amp; Evolutionary Biol, Los Angeles, CA 90095 USA; [MacDonald, Glen M.] Univ Calif Los Angeles, Inst Environm &amp; Sustainabil, Los Angeles, CA 90095 USA; [Gallego-Sala, Angela] Univ Exeter, Dept Geog, Exeter EX4 4RJ, Devon, England</t>
  </si>
  <si>
    <t>University of California System; University of California Los Angeles; University of California System; University of California Los Angeles; University of Exeter</t>
  </si>
  <si>
    <t>Holmquist, JR (corresponding author), Univ Calif Los Angeles, Dept Ecol &amp; Evolutionary Biol, Hershey Hall,Box 957246, Los Angeles, CA 90095 USA.</t>
  </si>
  <si>
    <t>jamesholmquist@ucla.edu</t>
  </si>
  <si>
    <t>Gallego-Sala, Angela/G-8770-2012</t>
  </si>
  <si>
    <t>Gallego-Sala, Angela/0000-0002-7483-7773; Holmquist, James/0000-0003-2546-6766</t>
  </si>
  <si>
    <t>U.S. National Science Foundation [NSF-0843685, NSF-0628598]; Natural Environment Research Council [NE/I012915/1] Funding Source: researchfish; NERC [NE/I012915/1] Funding Source: UKRI</t>
  </si>
  <si>
    <t>U.S. National Science Foundation(National Science Foundation (NSF)); Natural Environment Research Council(UK Research &amp; Innovation (UKRI)Natural Environment Research Council (NERC)); NERC(UK Research &amp; Innovation (UKRI)Natural Environment Research Council (NERC))</t>
  </si>
  <si>
    <t>The authors acknowledge the U.S. National Science Foundation for funding this research (NSF-0843685; NSF-0628598). We also acknowledge Dave Beilman for contributions to fieldwork; Matt Zebrowski for mapping assistance; and Siduo Zhang, Luis Rodriguez, Jennifer Kim, Karly Wagner, and Nicolai Kondov for contributions to laboratory processing. We also thank Nigel T. Roulet and one anonymous reviewer for their constructive criticisms and suggestions for improving this manuscript. We finally thank the people of the communities of Thunder Bay, Pickle Lake, and Big Trout Lake for their assistance and hospitality.</t>
  </si>
  <si>
    <t>10.1657/1938-4246-46.1.19</t>
  </si>
  <si>
    <t>WOS:000333866100004</t>
  </si>
  <si>
    <t>Hochheim, KP; Barber, DG</t>
  </si>
  <si>
    <t>Hochheim, Klaus P.; Barber, David G.</t>
  </si>
  <si>
    <t>An Update on the Ice Climatology of the Hudson Bay System</t>
  </si>
  <si>
    <t>SEA-ICE; RIVER DISCHARGE; SEASONAL CYCLE; BAFFIN-BAY; VARIABILITY; LABRADOR; OCEAN; TRENDS; COVER; NAO</t>
  </si>
  <si>
    <t>The objective of this paper is to examine the thermodynamic and dynamic forcing of sea ice within the Hudson Bay System, including Hudson Bay, Hudson Strait, and Foxe Basin. Changes in fall and spring sea ice extents (SIEs) are examined in relation to seasonal surface air temperatures (SATs) and winds, as are changes in freeze-up dates and breakup dates. The proportional leverage of the fall (lag1) and spring SATs and winds on ice is statistically examined per basin. Results show SATs have increased significantly since the mid-1990s and that increases in the fall are higher than the spring period. Fall SATs are highly related to fall SIEs (R-2 = 0.79-0.82). For every 1 degrees C increase in SAT, SIB decreases by 14% (% of basin area) within the Hudson Bay System; a 1 degrees C increase delays freeze-up by 0.7 to 0.9 weeks on average. Spring SIEs and breakup dates are shown to be highly correlated with fall (lag1) and spring SATs, and with U and V component winds. Proportionately, spring and fall SATs combined play a dominant role (70-80%) in SIB, and the remaining leverage is attributed to dynamic forcing (winds). The relative leverage of fall (lag1) SATs and surface winds are shown to be significant and vary by basin. The open water season has on average increased by 3.1 (+/- 0.6) weeks in Hudson Bay, 4.9 (+/- 0.8) weeks in Hudson Strait, and 3.5 (+/- 0.9) weeks in Foxe Basin.</t>
  </si>
  <si>
    <t>[Hochheim, Klaus P.; Barber, David G.] Univ Manitoba, CEOS, Clayton H Riddell Fac Environm Earth &amp; Resources, Winnipeg, MB R3T 2N2, Canada</t>
  </si>
  <si>
    <t>Barber, DG (corresponding author), Univ Manitoba, CEOS, Clayton H Riddell Fac Environm Earth &amp; Resources, Wallace Bldg,125 Dysart Rd, Winnipeg, MB R3T 2N2, Canada.</t>
  </si>
  <si>
    <t>David.Barber@umanitoba.ca</t>
  </si>
  <si>
    <t>Barber, David/0000-0001-9466-3291</t>
  </si>
  <si>
    <t>Natural Sciences and Engineering Research Council (NSERC); University of Manitoba; Arctic Net</t>
  </si>
  <si>
    <t>Natural Sciences and Engineering Research Council (NSERC)(Natural Sciences and Engineering Research Council of Canada (NSERC)); University of Manitoba; Arctic Net</t>
  </si>
  <si>
    <t>We gratefully acknowledge the contributions of the Canada Excellence Research Chair (CERC) and Canada Research Chair (CRC) programs. Support was also provided by the Natural Sciences and Engineering Research Council (NSERC), the University of Manitoba, and Arctic Net. This work is a contribution to the Arctic Science Partnership (ASP) and the Arctic Net Network of Centres of Excellence. We thank Brian Horton for editorial assistance on this paper.</t>
  </si>
  <si>
    <t>10.1657/1938-4246-46.1.66</t>
  </si>
  <si>
    <t>WOS:000333866100007</t>
  </si>
  <si>
    <t>Humphreys, ER; Charron, C; Brown, M; Jones, R</t>
  </si>
  <si>
    <t>Humphreys, Elyn R.; Charron, Chris; Brown, Mathew; Jones, Randall</t>
  </si>
  <si>
    <t>Two Bogs in the Canadian Hudson Bay Lowlands and a Temperate Bog Reveal Similar Annual Net Ecosystem Exchange of CO2</t>
  </si>
  <si>
    <t>CARBON-DIOXIDE FLUXES; INTERANNUAL VARIABILITY; PLANT BIOMASS; WATER-VAPOR; BALANCE; MIRE; ACCUMULATION; ENERGY; NORTH; TABLE</t>
  </si>
  <si>
    <t>Two ombrotrophic bogs in Canada's Hudson Bay Lowlands (HBL), an area storing an estimated 33 Gt of soil carbon, are contrasted with the Mer Bleue temperate ombrotrophic bog approximately 1000 km to the southeast to assess the net carbon dioxide (CO2) exchange between these ecosystems and the atmosphere. Peatlands in the BBL region may be impacted by not only climate change but also resource extraction practices that may cause drying of surrounding areas. Two years of eddy covariance CO2 flux measurements show the two HBL bogs to be annual sinks for CO2. Given random error and gap-filling uncertainties of 6 to 13 g C m(-2) yr(-1), the annual budgets of 45 to 55 g C m(-2) yr(-1) for the HBL bogs did not differ significantly from the temperate bog's budget of 55 g C m(-2) yr(-1) (in the first year) despite differences in climate and vegetation composition and abundance. The temperate bog did have significantly greater net uptake of CO2 (78 g C m(-2) yr(-1)) in the second study year. Component fluxes of photosynthesis and respiration were much smaller at the HBL bogs and speculated to be a result of less vascular vegetation. Less growing season CO2 uptake at the HBL bogs was offset by less winter loss when compared to the temperate bog. The influence of mid-summer drying and lowered water tables was similar among all three bogs. Decreasing mid-summer net ecosystem productivity (NEP) appeared to be a result of reduced photosynthetic uptake rather than increased respiration. In the short-term, drying of the BBL peatlands might result in a decrease of their C sink strength.</t>
  </si>
  <si>
    <t>[Humphreys, Elyn R.; Brown, Mathew] Carleton Univ, Dept Geog &amp; Environm Studies, Ottawa, ON K1S 5B6, Canada; [Charron, Chris; Jones, Randall] Ontario Minist Environm, Terr Assessment Unit, Environm Monitoring &amp; Reporting Branch, Toronto, ON M9P 3V6, Canada</t>
  </si>
  <si>
    <t>Carleton University</t>
  </si>
  <si>
    <t>Humphreys, ER (corresponding author), Carleton Univ, Dept Geog &amp; Environm Studies, B349 Loeb,1125 Colonel Dr, Ottawa, ON K1S 5B6, Canada.</t>
  </si>
  <si>
    <t>elyn_humphreys@carleton.ca</t>
  </si>
  <si>
    <t>Humphreys, Elyn/0000-0002-5397-2802</t>
  </si>
  <si>
    <t>Natural Sciences and Engineering Research Council of Canada; OME</t>
  </si>
  <si>
    <t>Natural Sciences and Engineering Research Council of Canada(Natural Sciences and Engineering Research Council of Canada (NSERC)CGIAR); OME</t>
  </si>
  <si>
    <t>The authors gratefully acknowledge the support of the Attawapiskat and Moose Cree First Nations in the establishment of the Ontario Ministry of the Environment's (OME's) monitoring stations at Kinoje Lake and along the Attawapiskat River. Members of the Ontario Ministry of the Environment's Terrestrial Assessment Unit, more specifically Murray Dixon, Chris Watson, Laura Benakoun, and Andrew Warner, were instrumental in establishing and maintaining the Ministry's monitoring stations in the remote and challenging environment of the Hudson Bay Lowlands and we are grateful for for their hard work and dedication. Thanks are extended to the Ontario Ministry Natural Resources, specifically Jim McLaughlin, Benoit Hamel, Mark Crofts, and Adam Kinnunen, for their valued assistance and support in establishing the Ministry's carbon flux stations and their ongoing collaborations at these sites. The authors also acknowledge and thank De Beers Canada's Victor Diamond Mine for the logistical support provided to the Ministry in establishing and maintaining the Attawapiskat River monitoring station. During the study period, research at Mer Bleue was supported by grants from the Natural Sciences and Engineering Research Council of Canada and the OME. We are grateful to our many collaborators, including Drs. Nigel Roulet, Tim Moore, Jill Bubier and Peter Lafleur, for their ongoing support of the Mer Bleue monitoring study. Technical assistance was provided by Mike Treberg and Mike Dalva. We thank the National Capital Commission for permission to study Mer Bleue and their long-term support of our research efforts.</t>
  </si>
  <si>
    <t>10.1657/1938-4246.46.1.103</t>
  </si>
  <si>
    <t>WOS:000333866100009</t>
  </si>
  <si>
    <t>Paterson, AM; Keller, W; Rühland, KM; Jones, FC; Winter, JG</t>
  </si>
  <si>
    <t>Paterson, Andrew M.; Keller, W. (Bill); Ruehland, Kathleen M.; Jones, F. Chris; Winter, Jennifer G.</t>
  </si>
  <si>
    <t>An Exploratory Survey of Summer Water Chemistry and Plankton Communities in Lakes near the Sutton River, Hudson Bay Lowlands, Ontario, Canada</t>
  </si>
  <si>
    <t>WAPUSK NATIONAL-PARK; CRUSTACEAN ZOOPLANKTON COMMUNITIES; LONG-TERM CHANGES; SUB-ARCTIC LAKES; NORTHWEST-TERRITORIES; NUTRIENT LIMITATION; CHEMICAL LIMNOLOGY; NORTHERN ONTARIO; TOTAL PHOSPHORUS; ORGANIC-CARBON</t>
  </si>
  <si>
    <t>We provide the first assessment of regional water chemistry and plankton (phytoplankton and crustacean zooplankton) for a suite of lakes near the Sutton River region of the north-central Hudson Bay Lowlands (HBL). We use ordination analyses to examine the spatial variation in water chemistry and plankton across lakes, and to explore the factors that may explain this variation. Based on data collected during summer from 2009 to 2011, we found that in addition to geology, water chemistry was strongly influenced by a lake's proximity to salt water and the degree of permafrost development within its catchment. Phytoplankton composition varied across lakes based on differences in Water depth and nutrient concentrations, with non-filamentous cyanobacteria and chlorophytes more common in shallow lakes, and deeper lakes dominated by planktonic diatoms or filamentous cyanophytes. Crustacean zooplankton community composition and richness in the HBL lakes was similar to communities found in Ontario lakes in more temperate regions within the Precambrian Shield. These baseline data provide a foundation upon which future surveys in this climatically sensitive region may be compared.</t>
  </si>
  <si>
    <t>[Paterson, Andrew M.; Jones, F. Chris] Ontario Minist Environm, Dorset Environm Sci Ctr, Dorset, ON P0A 1E0, Canada; [Keller, W. (Bill)] Laurentian Univ, Cooperat Freshwater Ecol Unit, Sudbury, ON P3E 2C6, Canada; [Ruehland, Kathleen M.] Queens Univ, Dept Biol, PEARL, Kingston, ON K7L 3N6, Canada; [Winter, Jennifer G.] Ontario Minist Environm, Biomonitoring Sect, Toronto, ON M9P 3V6, Canada</t>
  </si>
  <si>
    <t>Laurentian University; Queens University - Canada</t>
  </si>
  <si>
    <t>Paterson, AM (corresponding author), Ontario Minist Environm, Dorset Environm Sci Ctr, 1026 Bellwood Acres Rd,POB 39, Dorset, ON P0A 1E0, Canada.</t>
  </si>
  <si>
    <t>andrew.paterson@ontario.ca</t>
  </si>
  <si>
    <t>Keller, Wendel/G-1533-2012</t>
  </si>
  <si>
    <t>Ontario Ministry of the Environment through the Climate Change and Multiple Stressor Research Program at Laurentian University</t>
  </si>
  <si>
    <t>We thank Albert and Gilbert Chookomolin for their hospitality and for their insights into the Hudson Bay Lowlands region; and Kathryn Hargan, Lee Has lam, Jason Houle, and Shannon MacPhee, who assisted with the collection of water chemistry and plankton samples. We also thank Hearst Air for providing first rate air service, built on decades of experience in this remote region; Lorna Murison, who provided the map in Figure 1; and the staff at the Ontario Ministry of the Environment's Dorset Environmental Science Centre, which provided chemical analyses and database support. We thank two anonymous reviewers for helpful comments that strengthened this paper. This work was supported by the Ontario Ministry of the Environment through the Climate Change and Multiple Stressor Research Program at Laurentian University.</t>
  </si>
  <si>
    <t>10.1657/1938-4246-46.1.121</t>
  </si>
  <si>
    <t>WOS:000333866100011</t>
  </si>
  <si>
    <t>Rühland, KM; Hargan, KE; Jeziorski, A; Paterson, AM; Keller, W; Smol, JP</t>
  </si>
  <si>
    <t>Ruehland, Kathleen M.; Hargan, Kathryn E.; Jeziorski, Adam; Paterson, Andrew M.; Keller, W. (Bill); Smol, John P.</t>
  </si>
  <si>
    <t>A Multi-trophic Exploratory Survey of Recent Environmental Changes Using Lake Sediments in the Hudson Bay Lowlands, Ontario, Canada</t>
  </si>
  <si>
    <t>WAPUSK NATIONAL-PARK; SUB-ARCTIC LAKES; CLIMATE-CHANGE; MICROCRUSTACEAN CLADOCERA; ILLUSTRATED GUIDE; AIR-TEMPERATURE; WATER CHEMISTRY; NORTH-AMERICAN; SUTTON RIVER; SEA-ICE</t>
  </si>
  <si>
    <t>A multi-proxy paleolimnological survey was performed on 13 lakes in the Hudson Bay Lowlands (HBL) of northern Ontario in order to provide a regional analysis of recent environmental changes in this poorly studied sub-Arctic region. In contrast to the amplified warming experienced by most of the circumpolar Arctic since the mid-19th century, the climate of the Hudson Bay (HB) region has remained relatively cool and stable for hundreds of years. However, since approximately the 1990s, the HBL has experienced rapid and large increases in air temperature and declines in sea ice. Diatom, cladoceran, and chironomid remains preserved in the recent (surface) and pre-1850 sediments of 13 lakes were used to examine whether this new climate regime has resulted in species assemblage changes across multiple trophic levels. Our results indicate clear limnological responses to warming among the freshwater biota of HBL lakes; however, the magnitude of this change varied among both biological indicators and sites. As expected, diatoms exhibited the greatest degree of change, closely followed by chironomids, with relatively little change observed among cladoceran assemblages. Planktonic diatoms were more common in modern assemblages, often including plankters that were previously not recorded in the bottom sediments, and in fact all indicator groups recorded a change in benthic/littoral taxa in the recent sediments indicative of warming-induced increases in habitat availability due to decreased lake ice cover.</t>
  </si>
  <si>
    <t>[Ruehland, Kathleen M.; Hargan, Kathryn E.; Jeziorski, Adam; Smol, John P.] Queens Univ, Dept Biol, PEARL, Kingston, ON K7L 3N6, Canada; [Paterson, Andrew M.] Ontario Minist Environm, Dorset Environm Sci Ctr, Dorset, ON P0A 1E0, Canada; [Keller, W. (Bill)] Laurentian Univ, Cooperat Freshwater Ecol Unit, Sudbury, ON P3E 2C6, Canada</t>
  </si>
  <si>
    <t>Queens University - Canada; Laurentian University</t>
  </si>
  <si>
    <t>Rühland, KM (corresponding author), Queens Univ, Dept Biol, PEARL, 116 Barrie St, Kingston, ON K7L 3N6, Canada.</t>
  </si>
  <si>
    <t>ruhlandk@queensu.ca</t>
  </si>
  <si>
    <t>Jeziorski, Adam/AAJ-6982-2020; Smol, John P/A-8838-2015; Keller, Wendel/G-1533-2012</t>
  </si>
  <si>
    <t>Jeziorski, Adam/0000-0001-7701-7247; Smol, John/0000-0002-2499-6696</t>
  </si>
  <si>
    <t>Ontario Ministry of the Environment through the Climate Change and Multiple Stressor Research Program at Laurentian University; W. Garfield Weston Foundation Fellowship from the Wildlife Conservation Society Canada; Natural Sciences and Engineering Research Council of Canada</t>
  </si>
  <si>
    <t>Ontario Ministry of the Environment through the Climate Change and Multiple Stressor Research Program at Laurentian University; W. Garfield Weston Foundation Fellowship from the Wildlife Conservation Society Canada; Natural Sciences and Engineering Research Council of Canada(Natural Sciences and Engineering Research Council of Canada (NSERC)CGIAR)</t>
  </si>
  <si>
    <t>We thank Albert and Gilbert Chookomolin for their excellent guidance in our fieldwork and for their generosity in sharing valuable traditional knowledge and insights into the Hudson Bay Lowlands region; Joan Bunbury, Ron Ingram, Chris Jones, Shannon MacPhee, and Maara Packalen for fieldwork assistance; Hearst Air, particularly pilots Georges and Mike Veilleux, for their first-rate air transport service in this remote region; the staff at the Ontario Ministry of the Environment's Dorset Environmental Science Centre for chemical analyses and database support. This work was supported by the Ontario Ministry of the Environment through the Climate Change and Multiple Stressor Research Program at Laurentian University, the W. Garfield Weston Foundation Fellowship from the Wildlife Conservation Society Canada (to K. Hargan), and by the Natural Sciences and Engineering Research Council of Canada (to J. P. Smol).</t>
  </si>
  <si>
    <t>10.1657/1938-4246-46.1.139</t>
  </si>
  <si>
    <t>WOS:000333866100012</t>
  </si>
  <si>
    <t>White, J; Hall, RI; Wolfe, BB; Light, EM; Macrae, ML; Fishback, L</t>
  </si>
  <si>
    <t>White, Jerry; Hall, Roland I.; Wolfe, Brent B.; Light, Erin M.; Macrae, Merrin L.; Fishback, LeeAnn</t>
  </si>
  <si>
    <t>Hydrological Connectivity and Basin Morphometry Influence Seasonal Water-Chemistry Variations in Tundra Ponds of the Northwestern Hudson Bay Lowlands</t>
  </si>
  <si>
    <t>WAPUSK NATIONAL-PARK; ARCTIC NORTH-AMERICA; CLIMATIC-CHANGE; HIGH-LATITUDES; SHALLOW LAKES; FRESH-WATERS; CO2 EXCHANGE; SEA-ICE; VARIABILITY; PERMAFROST</t>
  </si>
  <si>
    <t>Due to shallow depth and high surface area-to-volume ratio, ponds of the Hudson Bay Lowlands are vulnerable to climatic and hydrological changes, but relations between hydrological processes and limnological conditions remain unknown. Here, we measured water balance and limnological variables (water chemistry, suspended sediments, chlorophyll-a) at 20 ponds near Churchill (Manitoba) three times during the ice-free season of 2010 to explore relations among hydrological connectivity, basin morphometry, and water-chemistry variations. Using principal components analysis, we identified that the ponds followed one of four distinctive seasonal water chemistry trajectories (SWCT1-4). Most of the ponds that lacked apparent hydrologic connectivity displayed SWCT1, characterized by rising alkalinity and ionic content between early June and late July due to evaporative concentration. In contrast, most ponds with apparent hydrological connectivity displayed SWCT2 or SWCT3, characterized by marked changes in suspended sediment and total nitrogen concentrations due to inflow that transferred allochthonous materials from the catchment. Ponds in SWCT2 likely possessed temporary hydrological connections during periods of relatively high water supply and exhibited marked decline of suspended sediment and total nitrogen content when hydrological connection was lost. Most ponds in SWCT3 maintained active hydrological connections during all or most of the ice-free season and possessed relatively high suspended sediment and total nitrogen concentrations throughout the season. Ponds in SWCT4 possessed relatively stable water chemistry due to greater water depth and local features that reduced wind-induced sediment resuspension. We conclude that hydrological connectivity and basin morphometry exert important influence on seasonal pond water-chemistry dynamics.</t>
  </si>
  <si>
    <t>[White, Jerry; Hall, Roland I.] Univ Waterloo, Dept Biol, Waterloo, ON N2L 3G1, Canada; [Wolfe, Brent B.; Light, Erin M.] Wilfrid Laurier Univ, Dept Geog &amp; Environm Studies, Waterloo, ON N2L 3C5, Canada; [Macrae, Merrin L.] Univ Waterloo, Department Geog &amp; Environm Management, Waterloo, ON N2L 3G1, Canada; [Fishback, LeeAnn] Churchill Northern Studies Ctr, Churchill, MB R0B 0E0, Canada</t>
  </si>
  <si>
    <t>Hall, RI (corresponding author), Univ Waterloo, Dept Biol, 200 Univ Ave West, Waterloo, ON N2L 3G1, Canada.</t>
  </si>
  <si>
    <t>rihall@uwaterloo.ca</t>
  </si>
  <si>
    <t>Hall, Roland/0000-0002-0314-6449; Macrae, Merrin/0000-0003-3296-3103</t>
  </si>
  <si>
    <t>Natural Sciences and Engineering Research Council of Canada (NSERC) via Discovery Grant/Northern Research Supplement/Northern Research Chair Programs; Aboriginal Affairs and Northern Development Canada's Northern Scientific Training Program; Churchill Northern Studies Centre's Northern Research Fund</t>
  </si>
  <si>
    <t>Funding for this study was provided by the Natural Sciences and Engineering Research Council of Canada (NSERC) via Discovery Grant/Northern Research Supplement/Northern Research Chair Programs, Aboriginal Affairs and Northern Development Canada's Northern Scientific Training Program, and the Churchill Northern Studies Centre's Northern Research Fund. We thank Lauren MacDonald, Nicole Farquharson, Kaleigh Eichel, and Jon Goetz for their logistical help in conducting the fieldwork, and Lauren MacDonald, Jon Goetz, Gillian Merritt, and Johan Wiklund for help with labwork and analysis involved in this research. Claude Duguay supported the airplane charter that provided aerial photographic evidence of hydrological connections at the study ponds.</t>
  </si>
  <si>
    <t>10.1657/1938-4246-46.1.218</t>
  </si>
  <si>
    <t>WOS:000333866100016</t>
  </si>
  <si>
    <t>Bouchard, F; Francus, P; Pienitz, R; Laurion, I; Feyte, S</t>
  </si>
  <si>
    <t>Bouchard, Frederic; Francus, Pierre; Pienitz, Reinhard; Laurion, Isabelle; Feyte, Stephane</t>
  </si>
  <si>
    <t>Subarctic Thermokarst Ponds: Investigating Recent Landscape Evolution and Sediment Dynamics in Thawed Permafrost of Northern Quebec (Canada)</t>
  </si>
  <si>
    <t>WESTERN SIBERIA; DISCONTINUOUS PERMAFROST; METHANE EMISSIONS; CLIMATE-CHANGE; LAKES; CARBON; PALSAS; DEGRADATION; VEGETATION; PEATLANDS</t>
  </si>
  <si>
    <t>Although widely distributed throughout Arctic and subarctic regions, thermokarst ponds and lakes remain relatively unexplored regarding geomorphological changes in their catchments and their internal properties in relation to climate change over the past decades. This study synthesizes recent landscape evolution and modern sedimentology of limnologically diverse thermokarst ponds near southeastern Hudson Bay, Canada. Spatio-temporal analysis of permafrost mounds, thermokarst ponds, and vegetation surface areas over the past five decades revealed that the recent climate-induced decrease of permafrost-affected areas was not primarily compensated by thermokarst pond development, but rather by a remarkable increase in vegetation cover. These changes appeared to be modulated by topographical and hydrological gradients at the study site, which are associated with eastward increasing thickness of postglacial marine deposits. At a more contemporary time-scale, physico-chemical measurements made on sedimenting materials (sediment traps) and freshly deposited lacustrine sediments of selected thermokarst ponds revealed striking differences both among ponds and between the oxic epilimnion and the oxygen-depleted hypolimnion. These findings underscore the major influence of local landscape properties and oxycline development on pond sedimentology and geochemistry, such as the transport of detritic particles and the concentration of redox-sensitive elements.</t>
  </si>
  <si>
    <t>[Bouchard, Frederic; Francus, Pierre; Laurion, Isabelle; Feyte, Stephane] Ctr Eau Terre Environm INRS ETE, Inst Natl Rech Sci, Quebec City, PQ G1K 9A9, Canada; [Bouchard, Frederic; Francus, Pierre; Pienitz, Reinhard; Laurion, Isabelle] Univ Laval, CEN, Quebec City, PQ G1V 0A6, Canada; [Pienitz, Reinhard] Univ Laval, Dept Geog, Quebec City, PQ G1V 0A6, Canada</t>
  </si>
  <si>
    <t>University of Quebec; Institut national de la recherche scientifique (INRS); Laval University; Laval University</t>
  </si>
  <si>
    <t>Bouchard, F (corresponding author), Univ Laval, CEN, Pavillon Abitibi Price,2405 Terrasse, Quebec City, PQ G1V 0A6, Canada.</t>
  </si>
  <si>
    <t>Frederic.bouchard@cen.ulaval.ca</t>
  </si>
  <si>
    <t>Francus, Pierre/H-3713-2019; Francus, Pierre/IZD-8849-2023</t>
  </si>
  <si>
    <t>Francus, Pierre/0000-0001-5465-1966; Francus, Pierre/0000-0001-5465-1966; Bouchard, Frederic/0000-0001-9687-3356; Laurion, Isabelle/0000-0001-8694-3330</t>
  </si>
  <si>
    <t>Fonds de recherche du Quebec-Nature et Technologies (FRQNT); Natural Sciences and Engineering Research Council of Canada (NSERC); Arctic Net; Northern Scientific Training Program (NSTP) of Indian and Northern Affairs Canada</t>
  </si>
  <si>
    <t>Fonds de recherche du Quebec-Nature et Technologies (FRQNT); Natural Sciences and Engineering Research Council of Canada (NSERC)(Natural Sciences and Engineering Research Council of Canada (NSERC)); Arctic Net; Northern Scientific Training Program (NSTP) of Indian and Northern Affairs Canada</t>
  </si>
  <si>
    <t>We are grateful to C. Dupont, T. Harding, T. Roiha, P.-G. Rossi, A. Rouillard, M. P. Rousseau, D. Sarrazin, and S. Watanabe for their assistance in the field; Y. Gauthier, J. Poulin, and C. Zimmermann for their help in the laboratory; and R. Tremblay and C. Gobeil for inspiring discussions. L. Provencher-Nolet was a great help in performing the spatio-temporal analysis (remote sensing). We also thank the Inuit and Cree communities of Kuujjuarapik and Whapmagoostui for their support and access to all-terrain vehicle trails; the Centre d'etudes nordiques (CEN) for logistical support during fieldwork campaigns; and two anonymous reviewers as well as the AAAR editing team for their insightful comments that considerably improved the manuscript. This project was funded through grants from the Fonds de recherche du Quebec-Nature et Technologies (FRQNT), the Natural Sciences and Engineering Research Council of Canada (NSERC), Arctic Net, and the Northern Scientific Training Program (NSTP) of Indian and Northern Affairs Canada.</t>
  </si>
  <si>
    <t>10.1657/1938-4246-46.1.251</t>
  </si>
  <si>
    <t>WOS:000333866100018</t>
  </si>
  <si>
    <t>Macrae, ML; Brown, LC; Duguay, CR; Parrott, JA; Petrone, RM</t>
  </si>
  <si>
    <t>Macrae, Merrin L.; Brown, Laura C.; Duguay, Claude R.; Parrott, Jennifer A.; Petrone, Richard M.</t>
  </si>
  <si>
    <t>Observed and Projected Climate Change in the Churchill Region of the Hudson Bay Lowlands and Implications for Pond Sustainability</t>
  </si>
  <si>
    <t>LAND-SURFACE SCHEME; LAKE ICE; ENERGY-BALANCE; WATER-BALANCE; FRESH-WATERS; TUNDRA PONDS; ARCTIC RIVER; MODEL; VARIABILITY; PERMAFROST</t>
  </si>
  <si>
    <t>There is concern over the fate of surface water bodies at high latitudes as a consequence of rising global temperatures. The goal of this study is to characterize climatic change that has occurred in the northern Hudson Bay Lowlands (HBL), Canada, from 1943 to 2009, to determine if this has resulted in a change to pond surface areas and to predict if changes may continue in the future. Climate change and changes to pond volume and size over the past similar to 60 years were examined using a combination of field methods/instrumental records (1943-2009), modeling (1953-2009; 1961-2100), and remote sensing/imagery analyses (1947-2008). Results demonstrate that temperatures are warming and breakup dates are earlier, but this has not significantly increased the duration of the open-water period or pond evaporation rates, which can be highly variable from year to year. Annual precipitation, primarily summer rainfall, has increased, lessening the summer moisture deficit and leading to wetter conditions. The observed changes of a smaller summer moisture deficit are predicted to continue in future, although there is less certainty with predictions of future precipitation than there is with predictions of air temperature. Thus, ponds are likely not at risk for drying and instead may be at risk for expansion. Despite the increases in summer rainfall, imagery analysis of 100 ponds shows that pond surface areas have fluctuated over the study period but have not increased in size.</t>
  </si>
  <si>
    <t>[Macrae, Merrin L.; Brown, Laura C.; Duguay, Claude R.; Parrott, Jennifer A.; Petrone, Richard M.] Univ Waterloo, Interdisciplinary Ctr Climate Change IC3, Waterloo, ON N2L 3G1, Canada; [Macrae, Merrin L.; Brown, Laura C.; Duguay, Claude R.; Parrott, Jennifer A.; Petrone, Richard M.] Univ Waterloo, Dept Geog &amp; Environm Management, Waterloo, ON N2L 3G1, Canada</t>
  </si>
  <si>
    <t>University of Waterloo; University of Waterloo</t>
  </si>
  <si>
    <t>Macrae, ML (corresponding author), Univ Waterloo, Interdisciplinary Ctr Climate Change IC3, Waterloo, ON N2L 3G1, Canada.</t>
  </si>
  <si>
    <t>mmacrae@uwaterloo.ca</t>
  </si>
  <si>
    <t>Brown, Laura C/F-5932-2011; Duguay, Claude R/G-5682-2011</t>
  </si>
  <si>
    <t>Brown, Laura C/0000-0002-3173-8433; Duguay, Claude/0000-0002-1044-5850; Macrae, Merrin/0000-0003-3296-3103</t>
  </si>
  <si>
    <t>Canadian Foundation of Climate and Atmospheric Sciences (CFCAS); Churchill Northern Studies Centre Northern Research Fund; Northern Scientific Training Program (NSTP)</t>
  </si>
  <si>
    <t>This project was funded and/or supported by the Canadian Foundation of Climate and Atmospheric Sciences (CFCAS grant to Macrae and Duguay), Churchill Northern Studies Centre Northern Research Fund, and the Northern Scientific Training Program (NSTP). Two anonymous reviewers are acknowledged for their constructive suggestions.</t>
  </si>
  <si>
    <t>10.1657/1938-4246-46.1.272</t>
  </si>
  <si>
    <t>WOS:000333866100019</t>
  </si>
  <si>
    <t>Motloch, P; Hollon, N; Privitera, P</t>
  </si>
  <si>
    <t>Motloch, P.; Hollon, N.; Privitera, P.</t>
  </si>
  <si>
    <t>On the prospects of Ultra-High Energy Cosmic Rays detection by high altitude antennas</t>
  </si>
  <si>
    <t>ASTROPARTICLE PHYSICS</t>
  </si>
  <si>
    <t>Ultra-High Energy Cosmic Rays; Radio detection</t>
  </si>
  <si>
    <t>RADIO-EMISSION; AIR-SHOWERS; RADIATION</t>
  </si>
  <si>
    <t>Radio emission from Ultra-High Energy Cosmic Rays (UHECR) showers detected after specular reflection off the Antarctic ice surface has been recently demonstrated by the ANITA balloon-borne experiment. An antenna observing a large area of ice or water from a mountaintop, a balloon or a satellite may be competitive with more conventional techniques. We present an estimate of the exposure of a high altitude antenna, which provides insight on the prospects of this technique for UHECR detection. We find that a satellite antenna may reach a significantly larger exposure than existing UHECR observatories, but an experimental characterization of the radio reflected signal is required to establish the potential of this approach. A balloon-borne or a mountaintop antenna are found not to be competitive under any circumstances. (C) 2013 Elsevier B.V. All rights reserved.</t>
  </si>
  <si>
    <t>[Motloch, P.; Privitera, P.] Univ Chicago, Dept Phys, Chicago, IL 60637 USA; [Hollon, N.; Privitera, P.] Univ Chicago, Dept Astron &amp; Astrophys, Chicago, IL 60637 USA; [Privitera, P.] Univ Chicago, Enrico Fermi Inst, Chicago, IL 60637 USA; [Privitera, P.] Univ Chicago, Kavli Inst Cosmol Phys, Chicago, IL 60637 USA</t>
  </si>
  <si>
    <t>University of Chicago; University of Chicago; University of Chicago; University of Chicago</t>
  </si>
  <si>
    <t>Privitera, P (corresponding author), Univ Chicago, Dept Astron &amp; Astrophys, 5640 S Ellis Ave, Chicago, IL 60637 USA.</t>
  </si>
  <si>
    <t>motloch@uchicago.edu; hollon@oddjob.uchicago.edu; priviter@kicp.uchicago.edu</t>
  </si>
  <si>
    <t>Privitera, Anna Provvidenza/AIC-7270-2022</t>
  </si>
  <si>
    <t>Privitera, Anna Provvidenza/0000-0003-0705-9622</t>
  </si>
  <si>
    <t>NSF at the University of Chicago [PHY-1068696]; Kavli Institute for Cosmological Physics [NSF PHY-1125897]; Division Of Physics; Direct For Mathematical &amp; Physical Scien [1068696, 1125897] Funding Source: National Science Foundation</t>
  </si>
  <si>
    <t>NSF at the University of Chicago; Kavli Institute for Cosmological Physics; Division Of Physics; Direct For Mathematical &amp; Physical Scien(National Science Foundation (NSF)NSF - Directorate for Mathematical &amp; Physical Sciences (MPS))</t>
  </si>
  <si>
    <t>We thank A. Romero-Wolf for providing detailed information on the SWORD concept and for his careful reading of the paper. We acknowledge stimulating discussions with P. Gorham, D. Saltzberg, A. Vieregg and E. Zas on the radio detection of UHECR showers. We particularly thank T. Huege for providing the CoREAS simulated showers used in this work. This work was supported by the NSF Grant PHY-1068696 at the University of Chicago, and the Kavli Institute for Cosmological Physics through Grant NSF PHY-1125897 and an endowment from the Kavli Foundation.</t>
  </si>
  <si>
    <t>0927-6505</t>
  </si>
  <si>
    <t>1873-2852</t>
  </si>
  <si>
    <t>ASTROPART PHYS</t>
  </si>
  <si>
    <t>Astropart Phys.</t>
  </si>
  <si>
    <t>10.1016/j.astropartphys.2013.11.002</t>
  </si>
  <si>
    <t>Astronomy &amp; Astrophysics; Physics, Particles &amp; Fields</t>
  </si>
  <si>
    <t>Astronomy &amp; Astrophysics; Physics</t>
  </si>
  <si>
    <t>AC3PW</t>
  </si>
  <si>
    <t>WOS:000332434700005</t>
  </si>
  <si>
    <t>Zhu, RB; Ma, DW; Xu, H</t>
  </si>
  <si>
    <t>Zhu, Renbin; Ma, Dawei; Xu, Hua</t>
  </si>
  <si>
    <t>Summertime N2O, CH4 and CO2 exchanges from a tundra marsh and an upland tundra in maritime Antarctica</t>
  </si>
  <si>
    <t>ATMOSPHERIC ENVIRONMENT</t>
  </si>
  <si>
    <t>N2O; CH4; CO2; Greenhouse gas fluxes; Tundra; Antarctica</t>
  </si>
  <si>
    <t>NITROUS-OXIDE FLUXES; CARBON-DIOXIDE; METHANE EMISSIONS; WATER-TABLE; SOIL; ECOSYSTEM; WETLANDS; TRANSECT; SNOWPACK; VALLEY</t>
  </si>
  <si>
    <t>This study provides the first concurrent measurements of nitrous oxide (N2O), methane (CH4) and carbon dioxide (CO2) fluxes from a tundra marsh and an upland tundra in maritime Antarctica over the summers of 2007/2008 and 2011/2012. Tundra N2O and CH4 fluxes showed large spatial variations depending on local hydrological regimes. N2O sinks generally occurred at waterlogged marsh sites (-3.0 to 27.5 mu g N2O m(-2) h(-1)) whereas relatively dry and mesic sites presented weak or strong N2O sources (2.2-41.6 mu g N2O m(-2) h(-1)). Upland tundra sites showed negligible N2O emissions due to low soil TN and NH4+-N contents. Dry/upland tundra sites showed weak to strong CH4 uptake (-4.5 to -85.8 mu g CH4 m(-2) h(-1)). The waterlogged sites showed weak to strong CH4 emissions (29.8 mu g CH4 m(-2) h(-1)-2.4 mg CH4 m(-2) h(-1)). Both tundra marsh and upland tundra experienced a large net CO2 uptake with the greatest mean CO2 uptake rate (-92.1 mg CO2 m(-2) h(-1)) at dry marsh sites. Mean ecosystem respiration (ER) ranged between 82.5 +/- 13.2 and 174.9 +/- 25.7 mg CO2 m(-2) h(-1) at all the sites, and showed a strong exponential correlation (P &lt; 0.001) with 0-10 cm soil temperature. Gross photosynthesis (P-g) was more than two times higher in tundra marsh than in upland tundra due to the difference of vegetation coverage. N2O flux showed a strong negative correlation (P &lt; 0.01) with 0-10 cm soil temperature at the marsh sites, and significant or weak positive correlations with total daily radiation (TDR) and sunlight time (ST). No significant correlation was obtained between CH4 fluxes and environmental variables at tundra marsh and upland tundra sites. There was a significant negative correlation (P &lt; 0.01) between NEE and 0-10 cm mean soil temperature, total daily radiation. Our results indicated that the lowering of water table significantly increased N2O emissions and CH4 consumption, but decreased C loss from the tundra marsh. In the future, the combination of climate warming and frequent precipitation will alter tundra hydrological conditions, and thus decrease N2O emission and CH4 consumption from maritime Antarctic tundra. (C) 2013 Elsevier Ltd. All rights reserved.</t>
  </si>
  <si>
    <t>[Zhu, Renbin; Ma, Dawei] Univ Sci &amp; Technol China, Sch Earth &amp; Space Sci, Inst Polar Environm, Hefei 230026, Anhui, Peoples R China; [Xu, Hua] Chinese Acad Sci, Inst Soil Sci, State Key Lab Soil &amp; Sustainable Agr, Nanjing 210008, Peoples R China</t>
  </si>
  <si>
    <t>Chinese Academy of Sciences; University of Science &amp; Technology of China, CAS; Chinese Academy of Sciences; Nanjing Institute of Soil Science, CAS</t>
  </si>
  <si>
    <t>Zhu, RB (corresponding author), Univ Sci &amp; Technol China, Sch Earth &amp; Space Sci, Inst Polar Environm, Hefei 230026, Anhui, Peoples R China.</t>
  </si>
  <si>
    <t>zhurb@ustc.edu.cn</t>
  </si>
  <si>
    <t>Polar Office of National Ocean Bureau of China; National Natural Science Foundation of China [41176171, 41076124]; Specialized Research Fund for the Doctoral Program of Higher Education [20123402110026]</t>
  </si>
  <si>
    <t>Polar Office of National Ocean Bureau of China; National Natural Science Foundation of China(National Natural Science Foundation of China (NSFC)); Specialized Research Fund for the Doctoral Program of Higher Education(Specialized Research Fund for the Doctoral Program of Higher Education (SRFDP))</t>
  </si>
  <si>
    <t>We thank Dr. Zhiyong Yang for the field sampling and assistant. We also thank Polar Office of National Ocean Bureau of China and the members of the 24th and 28th Chinese Antarctic Research Expedition for their support and assistant. This work was supported by the National Natural Science Foundation of China (Grant No. 41176171; 41076124), and Specialized Research Fund for the Doctoral Program of Higher Education (Grant No. 20123402110026). We are grateful to the anonymous reviewer and editor for their helpful revision and comments on a previous version of this paper.</t>
  </si>
  <si>
    <t>1352-2310</t>
  </si>
  <si>
    <t>1873-2844</t>
  </si>
  <si>
    <t>ATMOS ENVIRON</t>
  </si>
  <si>
    <t>Atmos. Environ.</t>
  </si>
  <si>
    <t>10.1016/j.atmosenv.2013.11.017</t>
  </si>
  <si>
    <t>AB3DB</t>
  </si>
  <si>
    <t>WOS:000331670400031</t>
  </si>
  <si>
    <t>Tabak, MA; Poncet, S; Passfield, K; del Rio, CM</t>
  </si>
  <si>
    <t>Tabak, Michael A.; Poncet, Sally; Passfield, Ken; del Rio, Carlos Martinez</t>
  </si>
  <si>
    <t>Invasive species and land bird diversity on remote South Atlantic islands</t>
  </si>
  <si>
    <t>BIOLOGICAL INVASIONS</t>
  </si>
  <si>
    <t>Global change; Invasive species; Diversity; Species-area curve; Nestedness</t>
  </si>
  <si>
    <t>RODENT ERADICATION; INTRODUCED RATS; NESTEDNESS; IMPACT; EXTINCTION; CONSEQUENCES; COMMUNITIES; PERSISTENCE; REGRESSION; PREDATORS</t>
  </si>
  <si>
    <t>Invasive species pose significant threats to biodiversity, especially on islands. They cause extinctions and population declines, yet little is known about their consequences on the emergent, metacommunity-level patterns of native species in island assemblages. We investigated differences in species-area relationships, nestedness, and occupancy of 9 species of native land birds between island assemblages with and without invasive Norway rats (Rattus norvegicus) in the Falkland Archipelago. We found that species-area curves, nestedness, and individual species' occurrences differed between island assemblages with and without rats. Rat-free islands had, on average, 2.1 more land bird species than rat-infested islands of similar size. Passerine bird communities on islands with and without rats were significantly nested, but nestedness was significantly higher on rat-free islands than on rat-infested islands. The presence of rats was associated with differences in the incidence of many, but not all bird species. On rat free islands the occurrence of all species increased with island area. The occurrence of most, albeit not all, bird species was lower on islands with than on islands without rats. Two species of conservation concern, Troglodytes aedon cobbi and Cinclodes antarcticus, were abundant on rat-free islands, but absent or found at very low frequencies on islands with rats. The occurrence of three species was not associated with the presence of rats. The patterns presented here can be used to evaluate the consequences of ongoing rat eradications for passerine diversity, distribution, and abundance.</t>
  </si>
  <si>
    <t>[Tabak, Michael A.; del Rio, Carlos Martinez] Univ Wyoming, Dept Zool &amp; Physiol, Program Ecol, Laramie, WY 82071 USA; [Poncet, Sally; Passfield, Ken] FIQQ IZZ Stanley, South Georgia Surveys, Beaver Isl LandCare, Falkland Isl, England</t>
  </si>
  <si>
    <t>University of Wyoming</t>
  </si>
  <si>
    <t>Tabak, MA (corresponding author), Univ Wyoming, Dept Zool &amp; Physiol, Program Ecol, Dept 3166,1000 E Univ Ave, Laramie, WY 82071 USA.</t>
  </si>
  <si>
    <t>mtabak@uwyo.edu; sallyponcet@horizon.co.fk; kenpassfield@yahoo.co.uk; cmdelrio@uwyo.edu</t>
  </si>
  <si>
    <t>Tabak, Michael/P-3316-2019</t>
  </si>
  <si>
    <t>UK Overseas Territories Environment Programme; Royal Society for Protection of Birds; Joint Nature Conservation Committee, Antarctic Research Trust; Falkland Islands Government; United States National Science Foundation [DIOS-0848028]; Division Of Graduate Education; Direct For Education and Human Resources [0841298] Funding Source: National Science Foundation; Division Of Integrative Organismal Systems; Direct For Biological Sciences [0848028] Funding Source: National Science Foundation</t>
  </si>
  <si>
    <t>UK Overseas Territories Environment Programme; Royal Society for Protection of Birds; Joint Nature Conservation Committee, Antarctic Research Trust; Falkland Islands Government; United States National Science Foundation(National Science Foundation (NSF)); Division Of Graduate Education; Direct For Education and Human Resources(National Science Foundation (NSF)NSF - Directorate for STEM Education (EDU)); Division Of Integrative Organismal Systems; Direct For Biological Sciences(National Science Foundation (NSF)NSF - Directorate for Biological Sciences (BIO)NSF - Division of Integrative Organismal Systems (IOS))</t>
  </si>
  <si>
    <t>Shannon Albeke helped us draft Fig. 1. S.P. and K.P. were funded by UK Overseas Territories Environment Programme, the Royal Society for Protection of Birds, theJoint Nature Conservation Committee, Antarctic Research Trust, and the Falkland Islands Government; and M.T. and C.M. R. were partially funded by the United States National Science Foundation Grant DIOS-0848028. The comments of Anna Chalfoun, Dan Doak, Christa Mulder, Dan Simberloff, and two anonymous reviewers greatly benefitted previous drafts of this manuscript.</t>
  </si>
  <si>
    <t>1387-3547</t>
  </si>
  <si>
    <t>1573-1464</t>
  </si>
  <si>
    <t>BIOL INVASIONS</t>
  </si>
  <si>
    <t>Biol. Invasions</t>
  </si>
  <si>
    <t>10.1007/s10530-013-0524-x</t>
  </si>
  <si>
    <t>302PZ</t>
  </si>
  <si>
    <t>WOS:000330618700009</t>
  </si>
  <si>
    <t>Williams, CR; Bees, MA</t>
  </si>
  <si>
    <t>Williams, C. R.; Bees, M. A.</t>
  </si>
  <si>
    <t>Mechanistic Modeling of Sulfur-Deprived Photosynthesis and Hydrogen Production in Suspensions of Chlamydomonas Reinhardtii</t>
  </si>
  <si>
    <t>BIOTECHNOLOGY AND BIOENGINEERING</t>
  </si>
  <si>
    <t>hydrogen production; sulfur deprivation; photosynthetic growth; light limitation; mechanistic model; Chlamydomonas reinhardtii</t>
  </si>
  <si>
    <t>GREEN-ALGA; LIGHT LIMITATION; H-2 PRODUCTION; GAS-PRODUCTION; CULTURE; DEPRIVATION; OXYGEN; PHOTOPRODUCTION; SENSITIVITY; METABOLISM</t>
  </si>
  <si>
    <t>The ability of unicellular green algal species such as Chlamydomonas reinhardtii to produce hydrogen gas via iron-hydrogenase is well known. However, the oxygen-sensitive hydrogenase is closely linked to the photosynthetic chain in such a way that hydrogen and oxygen production need to be separated temporally for sustained photo-production. Under illumination, sulfur-deprivation has been shown to accommodate the production of hydrogen gas by partially-deactivating O-2 evolution activity, leading to anaerobiosis in a sealed culture. As these facets are coupled, and the system complex, mathematical approaches potentially are of significant value since they may reveal improved or even optimal schemes for maximizing hydrogen production. Here, a mechanistic model of the system is constructed from consideration of the essential pathways and processes. The role of sulfur in photosynthesis (via PSII) and the storage and catabolism of endogenous substrate, and thus growth and decay of culture density, are explicitly modeled in order to describe and explore the complex interactions that lead to H-2 production during sulfur-deprivation. As far as possible, functional forms and parameter values are determined or estimated from experimental data. The model is compared with published experimental studies and, encouragingly, qualitative agreement for trends in hydrogen yield and initiation time are found. It is then employed to probe optimal external sulfur and illumination conditions for hydrogen production, which are found to differ depending on whether a maximum yield of gas or initial production rate is required. The model constitutes a powerful theoretical tool for investigating novel sulfur cycling regimes that may ultimately be used to improve the commercial viability of hydrogen gas production from microorganisms. (C) 2013 The Authors. Biotechnology and Bioengineering Published by Wiley Periodicals, Inc.</t>
  </si>
  <si>
    <t>[Williams, C. R.] British Antarctic Survey, NERC, Cambridge CB3 0ET, England; [Bees, M. A.] Univ York, Dept Math, York YO10 5DD, N Yorkshire, England; Univ Glasgow, Sch Math &amp; Stat, Glasgow G12 8QW, Lanark, Scotland</t>
  </si>
  <si>
    <t>UK Research &amp; Innovation (UKRI); Natural Environment Research Council (NERC); NERC British Antarctic Survey; University of York - UK; University of Glasgow</t>
  </si>
  <si>
    <t>Williams, CR (corresponding author), British Antarctic Survey, NERC, Madingley Rd, Cambridge CB3 0ET, England.</t>
  </si>
  <si>
    <t>chll1@bas.ac.uk</t>
  </si>
  <si>
    <t>EPSRC [EP/D073398/1]; Engineering and Physical Sciences Research Council [EP/D073308/1] Funding Source: researchfish; Natural Environment Research Council [bas0100027] Funding Source: researchfish; EPSRC [EP/D073308/1] Funding Source: UKRI; NERC [bas0100027] Funding Source: UKRI</t>
  </si>
  <si>
    <t>EPSRC(UK Research &amp; Innovation (UKRI)Engineering &amp; Physical Sciences Research Council (EPSRC)); 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</si>
  <si>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Contract grant sponsor: EPSRC; Contract grant number: EP/D073398/1</t>
  </si>
  <si>
    <t>0006-3592</t>
  </si>
  <si>
    <t>1097-0290</t>
  </si>
  <si>
    <t>BIOTECHNOL BIOENG</t>
  </si>
  <si>
    <t>Biotechnol. Bioeng.</t>
  </si>
  <si>
    <t>10.1002/bit.25023</t>
  </si>
  <si>
    <t>AA3CA</t>
  </si>
  <si>
    <t>WOS:000330969300011</t>
  </si>
  <si>
    <t>Wedekin, LL; Rossi-Santos, MR; Baracho, C; Cypriano-Souza, AL; Simoes-Lopes, PC</t>
  </si>
  <si>
    <t>Wedekin, L. L.; Rossi-Santos, M. R.; Baracho, C.; Cypriano-Souza, A. L.; Simoes-Lopes, P. C.</t>
  </si>
  <si>
    <t>Cetacean records along a coastal-offshore gradient in the Vitoria-Trindade Chain, western South Atlantic Ocean</t>
  </si>
  <si>
    <t>BRAZILIAN JOURNAL OF BIOLOGY</t>
  </si>
  <si>
    <t>Megaptera novaeangliae; Balaenoptera physalus; Balaenoptera bonaerensis; Orcinus orca; Steno bredanensis; Tursiops truncatus; seamounts; Brazil</t>
  </si>
  <si>
    <t>WHALES MEGAPTERA-NOVAEANGLIAE; HUMPBACK WHALES; SITE FIDELITY</t>
  </si>
  <si>
    <t>Oceanic waters are difficult to assess, and there are many gaps in knowledge regarding cetacean occurrence. To fill some of these gaps, this article provides important cetacean records obtained in the winter of 2010 during a dedicated expedition to collect visual and acoustic information in the Vitoria-Trindade seamounts. We observed 19 groups of cetaceans along a 1300-km search trajectory, with six species being identified: the humpback whale (Megaptera novaeangliae, N = 9 groups), the fin whale (Balaenoptera physalus, N = 1), the Antarctic minke whale (Balaenoptera bonaerensis, N = 1), the rough-toothed dolphin (Steno bredanensis, N = 1), the bottlenose dolphin (Tursiops truncatus, N = 2), and the killer whale (Orcinus orca, N = 1). Most humpback whale groups (N = 7; 78%) were observed in the Vitoria-Trindade seamounts, especially the mounts close to the Abrolhos Bank. Only one lone humpback whale was observed near Trindade Island after a search effort encompassing more than 520 km. From a total of 28 acoustic stations, humpback whale songs were only detected near the seamounts close to the Abrolhos Bank, where most groups of this species were visually detected (including a competitive group and groups with calves). The presence of humpback whales at the Trindade Island and surroundings is most likely occasional, with few sightings and low density. Finally, we observed a significant number of humpback whales along the seamounts close to the Abrolhos Bank, which may function as a breeding habitat for this species. We also added important records regarding the occurrence of cetaceans in these mounts and in the Western South Atlantic, including the endangered fin whale.</t>
  </si>
  <si>
    <t>[Wedekin, L. L.; Rossi-Santos, M. R.; Baracho, C.; Cypriano-Souza, A. L.] Inst Baleia Jubarte, BR-45900000 Caravelas, BA, Brazil; [Cypriano-Souza, A. L.] Pontifcia Univ Catolica Rio Grande Sul PUCRS, Fac Biociencias, Lab Biol Genom Mol, BR-90619900 Porto Alegre, RS, Brazil; [Simoes-Lopes, P. C.] Univ Fed Santa Catarina, Dept Ecol &amp; Zool, Lab Mamiferos Aquaticos LAMAQ, BR-88040970 Florianopolis, SC, Brazil</t>
  </si>
  <si>
    <t>Pontificia Universidade Catolica Do Rio Grande Do Sul; Universidade Federal de Santa Catarina (UFSC)</t>
  </si>
  <si>
    <t>Wedekin, LL (corresponding author), Inst Baleia Jubarte, Rua Barao Rio Branco 125, BR-45900000 Caravelas, BA, Brazil.</t>
  </si>
  <si>
    <t>lwedekin@yahoo.com.br</t>
  </si>
  <si>
    <t>Simões-Lopes, P. C./AAC-8562-2020; Wedekin, Leonardo L/F-7014-2012; Simões-Lopes, P. C./I-9501-2012; Rossi-Santos, Marcos R/J-9545-2015</t>
  </si>
  <si>
    <t>Simões-Lopes, P. C./0000-0002-7338-3669; Rossi-Santos, Marcos R/0000-0002-7171-3011; Wedekin, Leonardo/0000-0001-8651-8051</t>
  </si>
  <si>
    <t>Brazilian Research Bureau (Conselho Nacional de Desenvolvimento Cientifico e Tecnologico CNPq/PQ) [proc: 310796/2009-1]; Fundacao ECOAPLUB; PETROBRAS</t>
  </si>
  <si>
    <t>Brazilian Research Bureau (Conselho Nacional de Desenvolvimento Cientifico e Tecnologico CNPq/PQ)(Conselho Nacional de Desenvolvimento Cientifico e Tecnologico (CNPQ)); Fundacao ECOAPLUB; PETROBRAS(Fundacao de Amparo a Pesquisa do Amapa (FAPEAP)Petrobras)</t>
  </si>
  <si>
    <t>The information regarding the humpback whales' occurrence in the Vitoria-Trindade Chain was part of a doctoral thesis by the first author in Zoology at Universidade Federal do Parana. We thank the expedition team members: Eduardo Camargo, Enrico Marcovaldi, Bernardo Cerqueira, Djalma, Joao Mario, and Nico. Joana D'Arc Figueiredo coordinated the photo-identification comparisons of humpback whales. We are thankful for the contributions of Dr. Alexandre Zerbini, which greatly improved the manuscript. Marinha do Brasil and Secretaria da Comissao Interministerial para os Recursos do Mar (SECIRM) provided logistical support. Fundacao ECOAPLUB provided financial support for the expedition. PETROBRAS is the official sponsor of the Instituto Baleia Jubarte. P. C. Simoes-Lopes received a research grant from the Brazilian Research Bureau (Conselho Nacional de Desenvolvimento Cientifico e Tecnologico CNPq/PQ, proc: 310796/2009-1). A research permit was issued by Instituto Chico Mendes de Conservacao da Biodiversidade (ICMBio), number 21489-1.</t>
  </si>
  <si>
    <t>INT INST ECOLOGY</t>
  </si>
  <si>
    <t>SAO CARLOS</t>
  </si>
  <si>
    <t>RUA BENTO CARLOS, 750 - CENTRO, SAO CARLOS, SP 00000, BRAZIL</t>
  </si>
  <si>
    <t>1519-6984</t>
  </si>
  <si>
    <t>1678-4375</t>
  </si>
  <si>
    <t>BRAZ J BIOL</t>
  </si>
  <si>
    <t>Braz. J. Biol.</t>
  </si>
  <si>
    <t>10.1590/1519-6984.21812</t>
  </si>
  <si>
    <t>AN8EN</t>
  </si>
  <si>
    <t>WOS:000340836100016</t>
  </si>
  <si>
    <t>Prasad, S; Manasa, P; Buddhi, S; Tirunagari, P; Begum, Z; Rajan, S; Shivaji, S</t>
  </si>
  <si>
    <t>Prasad, Sathish; Manasa, Poorna; Buddhi, Sailaja; Tirunagari, Preethi; Begum, Zareena; Rajan, Sivaraman; Shivaji, Sisinthy</t>
  </si>
  <si>
    <t>Diversity and Bioprospective Potential (Cold-Active Enzymes) of Cultivable Marine Bacteria from the Subarctic Glacial Fjord, Kongsfjorden</t>
  </si>
  <si>
    <t>CURRENT MICROBIOLOGY</t>
  </si>
  <si>
    <t>PURIFICATION; CHITIN; WATER; ICE; EXTREMOPHILES; SEDIMENT; STRAIN</t>
  </si>
  <si>
    <t>The diversity and abundance of culturable bacteria in Kongsfjorden water (15 stations) and sediments (12 stations) were studied. Viable numbers ranged between 10(5)-10(6) CFU l(-1) in water and 10(2)-10(4) CFU g(-1) in the sediments. A total of 291 and 43 bacterial isolates were retrieved from the water (KJF) and sediments (FS), respectively. Based on 16S rRNA gene sequence similarities, the KJF and FS isolates were grouped into 49 and 23 phylotypes, respectively. The KJF and FS phylotypes represented three phyla namely, Actinobacteria, Bacteroidetes, and Proteobacteria. At the genus level, Flavobacterium and Shewanella and at the species level, Pseudoaltermonas arctica and Colwellia psychrerythraea were dominant in the water and sediments, respectively. Most phylotypes were psychrotolerant with upper growth temperature limit of 25-37 A degrees C and tolerated 0.3-2.5 M NaCl and pH values of 5.0-11.0. Majority of the phylotypes produced one or more of the extracellular hydrolytic enzymes amylase, lipase, caseinase, urease, gelatinase, and DNase at 4 and 18 A degrees C, while none were chitinolytic. Few of the FS phylotypes exhibited extracellular activity only at 4 or 18 A degrees C. Nine FS and 21 KJF isolates were pigmented. The predominant cellular fatty acids were unsaturated, branched, and modified fatty acids, which are unique to cold-adapted bacteria.</t>
  </si>
  <si>
    <t>[Prasad, Sathish; Manasa, Poorna; Buddhi, Sailaja; Tirunagari, Preethi; Begum, Zareena; Shivaji, Sisinthy] Ctr Cellular &amp; Mol Biol, Hyderabad 500007, Andhra Pradesh, India; [Rajan, Sivaraman] Natl Ctr Antarctic &amp; Ocean Res, Vasco Da Gama 403804, Goa, India</t>
  </si>
  <si>
    <t>Council of Scientific &amp; Industrial Research (CSIR) - India; CSIR - Centre for Cellular &amp; Molecular Biology (CCMB); Ministry of Earth Sciences (MoES) - India; National Centre for Polar and Ocean Research (NCPOR)</t>
  </si>
  <si>
    <t>Shivaji, S (corresponding author), Ctr Cellular &amp; Mol Biol, Uppal Rd, Hyderabad 500007, Andhra Pradesh, India.</t>
  </si>
  <si>
    <t>shivas@ccmb.res.in</t>
  </si>
  <si>
    <t>Prasad, Sathish/AAH-5305-2020</t>
  </si>
  <si>
    <t>shivaji, sisinthy/0000-0003-0376-4658; Bhamidimarri, Poorna Manasa/0000-0002-7418-0492</t>
  </si>
  <si>
    <t>Council of Scientific and Industrial Research, Government of India; NCAOR; Ministry of Earth Sciences, Government of India</t>
  </si>
  <si>
    <t>Council of Scientific and Industrial Research, Government of India(Council of Scientific &amp; Industrial Research (CSIR) - India); NCAOR; Ministry of Earth Sciences, Government of India(Ministry of Earth Science (MoES), Government of India)</t>
  </si>
  <si>
    <t>We would like to thank the Council of Scientific and Industrial Research, Government of India, for financial support to SS. SS would also like to thank NCAOR and Ministry of Earth Sciences, Government of India, for providing financial and logistic support for the trip to Arctic.</t>
  </si>
  <si>
    <t>0343-8651</t>
  </si>
  <si>
    <t>1432-0991</t>
  </si>
  <si>
    <t>CURR MICROBIOL</t>
  </si>
  <si>
    <t>Curr. Microbiol.</t>
  </si>
  <si>
    <t>10.1007/s00284-013-0467-6</t>
  </si>
  <si>
    <t>293SR</t>
  </si>
  <si>
    <t>WOS:000329994500016</t>
  </si>
  <si>
    <t>Schnurr, S; Brandt, A; Brix, S; Fiorentino, D; Malyutina, M; Svavarsson, J</t>
  </si>
  <si>
    <t>Schnurr, Sarah; Brandt, Angelika; Brix, Saskia; Fiorentino, Dario; Malyutina, Marina; Svavarsson, Joerundur</t>
  </si>
  <si>
    <t>Composition and distribution of selected munnopsid genera (Crustacea, Isopoda, Asellota) in Icelandic waters</t>
  </si>
  <si>
    <t>Munnopsidae; Isopoda; Icelandic fauna distribution; Greenland-Scotland Ridge; BIOICE; IceAGE</t>
  </si>
  <si>
    <t>ARCTIC SEA-ICE; NORTH-ATLANTIC; COMMUNITY STRUCTURE; DIVERSITY; GREENLAND; OCEAN; PATTERNS; DEPTH; BIOGEOGRAPHY; ZOOGEOGRAPHY</t>
  </si>
  <si>
    <t>The Greenland Scotland Ridge (GSR) is a major topographic feature, extending from Greenland to Scotland. It constrains the water exchange between the northernmost North Atlantic Ocean and the Greenland, Iceland and Norwegian Seas (GIN Seas) and thus forms a potential barrier for faunal exchange from the Arctic to the North Atlantic (and vice versa). Recently an increase in Atlantic water inflow has been observed, leading to changes in physical parameters (i.e. temperature and salinity), which may have an impact on the resident fauna. In this study, we analyzed the composition and distribution of six selected genera of the isopod family Munnopsidae (Crustacea) occurring north and south of the GSR. We examined 82 epibenthic sledge samples and 26 additional sub-samples taken in the course of the Benthic Invertebrates of Icelandic Waters (BIOICE) and Icelandic Marine Animals: Genetics and Ecology (IceAGE) projects, respectively, covering a total depth range from 103 to 2752 m depth. Overall, 58 of the evaluated stations originated in the area north of the GSR, while the remaining 50 samples were collected south of the ridge. In total, 10517 individuals could be assigned to 15 species, most belonging to the genus Euzycope Sars, 1864. Due to the presence of the GSR as well as differences in the environment, we expected significant dissimilarities in faunal composition between the two study areas. However, most species (8) occurred on both sides of the ridge, while four species were restricted to the region north of Iceland, and three to the region south of the ridge. Depth (or factors related to depth) appeared to be the most important factor in driving distributional patterns of the studied species. Temperature was also an important driver, but not to the same extent as depth. On the contrary, salinity and sediment type did not have much influence on munnopsid distribution patterns. Hence, the presence of the ridge does not restrict faunal exchange between the northern North Atlantic Ocean and GIN Seas for most of the investigated species, which may be explained by the good swimming abilities and the ecological flexibility of these munnopsid species. (C) 2013 Elsevier Ltd. All rights reserved.</t>
  </si>
  <si>
    <t>[Schnurr, Sarah; Brix, Saskia] German Ctr Marine Biodivers Res DZMB, Senckenberg Res Inst, Biocentrum Grindel, D-20146 Hamburg, Germany; [Brandt, Angelika; Fiorentino, Dario] Univ Hamburg, Biocentrum Grindel Zool Museum, D-20146 Hamburg, Germany; [Malyutina, Marina] AV Zhirmunsky Inst Marine Biol FEB RAS, Vladivostok 690059, Russia; [Svavarsson, Joerundur] Univ Iceland, Inst Biol, IS-101 Reykjavik, Iceland</t>
  </si>
  <si>
    <t>University of Hamburg; Senckenberg Gesellschaft fur Naturforschung (SGN); University of Hamburg; Russian Academy of Sciences; National Scientific Center of Marine Biology, Far East Branch of the Russian Academy of Sciences; University of Iceland</t>
  </si>
  <si>
    <t>Schnurr, S (corresponding author), German Ctr Marine Biodivers Res DZMB, Senckenberg Res Inst, Biocentrum Grindel, Martin Luther King Pl 3, D-20146 Hamburg, Germany.</t>
  </si>
  <si>
    <t>sarahschnurr@gmx.de</t>
  </si>
  <si>
    <t>Malyutina, Marina/A-6839-2014; Malyutina, Marina/JAC-6506-2023; Brandt, Angelika/C-1630-2018</t>
  </si>
  <si>
    <t>Malyutina, Marina/0000-0003-2161-3917; Fiorentino, Dario/0000-0003-1097-4784; Svavarsson, Jorundur/0000-0003-1842-7515</t>
  </si>
  <si>
    <t>CeDAMar travel grant; RFBR Grant [11-04-98586]</t>
  </si>
  <si>
    <t>CeDAMar travel grant; RFBR Grant(Russian Foundation for Basic Research (RFBR))</t>
  </si>
  <si>
    <t>We would like to thank the crews and the participants of the BIOICE cruises on board of Bjami Swmundsson, Helicon Mosby and Magnus Heinason as well as the crew and the participants of the first IceAGE cruise on board of RV Meteor. Moreover, we would like to thank all pickers and sorters of the Sandgeroi Marine Centre in Sandgeroi, Iceland and the DZMB in Hamburg, Germany, as well as Prof. Dr. Detlef Quadfasel and Dr. Kerstin Jochumsen for their support in the creation of the maps of near-bottom temperature and salinity data. These maps served as the data source for all temperature and salinity values of the evaluated BIOICE and IceAGE stations. The NISE data were kindly provided by the Marine Research Institute, Iceland, the Institute of Marine Research, Norway, the Faroese Fisheries Laboratory, the Arctic and Antarctic Research Institute, Russia, and the Geophysical Institute, University of Bergen, Norway, through the NISE project. Also, we would like to thank Dr. Robert Jennings for his constructive linguistic advice and Dr. Charlotte Havermans for helpful comments. Further we would like to thank three unknown reviewers and Dr. Andy Gooday for their constructive and helpful comments to improve the manuscript. Thanks to a CeDAMar travel grant and RFBR Grant 11-04-98586, Sarah Schnurr and Dr. Marina Malyutina were able to visit the University of Iceland, in order to work on the BIOICE material.</t>
  </si>
  <si>
    <t>10.1016/j.dsr.2013.11.004</t>
  </si>
  <si>
    <t>WOS:000329960000012</t>
  </si>
  <si>
    <t>Schartl, M</t>
  </si>
  <si>
    <t>Schartl, Manfred</t>
  </si>
  <si>
    <t>Beyond the zebrafish: diverse fish species for modeling human disease</t>
  </si>
  <si>
    <t>DISEASE MODELS &amp; MECHANISMS</t>
  </si>
  <si>
    <t>Fish model; Cancer; Evolutionary mutant model; Natural variation</t>
  </si>
  <si>
    <t>TERT PROMOTER MUTATIONS; NOTHOBRANCHIUS-FURZERI; COMPARATIVE GENOMICS; ANTARCTIC ICEFISHES; RAINBOW-TROUT; EVOLUTION; MELANOMA; EXPRESSION; POECILIA; CAVE</t>
  </si>
  <si>
    <t>In recent years, zebrafish, and to a lesser extent medaka, have become widely used small animal models for human diseases. These organisms have convincingly demonstrated the usefulness of fish for improving our understanding of the molecular and cellular mechanisms leading to pathological conditions, and for the development of new diagnostic and therapeutic tools. Despite the usefulness of zebrafish and medaka in the investigation of a wide spectrum of traits, there is evidence to suggest that other fish species could be better suited for more targeted questions. With the emergence of new, improved sequencing technologies that enable genomic resources to be generated with increasing efficiency and speed, the potential of non-mainstream fish species as disease models can now be explored. A key feature of these fish species is that the pathological condition that they model is often related to specific evolutionary adaptations. By exploring these adaptations, new disease-causing and disease-modifier genes might be identified; thus, diverse fish species could be exploited to better understand the complexity of disease processes. In addition, non-mainstream fish models could allow us to study the impact of environmental factors, as well as genetic variation, on complex disease phenotypes. This Review will discuss the opportunities that such fish models offer for current and future biomedical research.</t>
  </si>
  <si>
    <t>[Schartl, Manfred] Univ Wurzburg, Dept Physiol Chem, Bioctr, D-97078 Wurzburg, Germany; [Schartl, Manfred] Univ Clin Wurzburg, Comprehens Canc Ctr Mainfranken, D-97078 Wurzburg, Germany</t>
  </si>
  <si>
    <t>University of Wurzburg; University of Wurzburg</t>
  </si>
  <si>
    <t>Schartl, M (corresponding author), Univ Wurzburg, Dept Physiol Chem, Bioctr, D-97078 Wurzburg, Germany.</t>
  </si>
  <si>
    <t>phch1@biozentrum.uni-wuerzburg.de</t>
  </si>
  <si>
    <t>Schartl, Manfred/0000-0001-9882-5948</t>
  </si>
  <si>
    <t>Deutsche Forschungsgemeinschaft; Deutsche Krebshilfe</t>
  </si>
  <si>
    <t>Deutsche Forschungsgemeinschaft(German Research Foundation (DFG)); Deutsche Krebshilfe(Deutsche Krebshilfe)</t>
  </si>
  <si>
    <t>Work of the author has been supported by the Deutsche Forschungsgemeinschaft and the Deutsche Krebshilfe.</t>
  </si>
  <si>
    <t>COMPANY BIOLOGISTS LTD</t>
  </si>
  <si>
    <t>BIDDER BUILDING, STATION RD, HISTON, CAMBRIDGE CB24 9LF, ENGLAND</t>
  </si>
  <si>
    <t>1754-8403</t>
  </si>
  <si>
    <t>1754-8411</t>
  </si>
  <si>
    <t>DIS MODEL MECH</t>
  </si>
  <si>
    <t>Dis. Model. Mech.</t>
  </si>
  <si>
    <t>10.1242/dmm.012245</t>
  </si>
  <si>
    <t>Cell Biology; Pathology</t>
  </si>
  <si>
    <t>AJ4CY</t>
  </si>
  <si>
    <t>WOS:000337619300005</t>
  </si>
  <si>
    <t>Pardo, D; Barbraud, C; Weimerskirch, H</t>
  </si>
  <si>
    <t>Pardo, Deborah; Barbraud, Christophe; Weimerskirch, Henri</t>
  </si>
  <si>
    <t>What shall I do now? State-dependent variations of life-history traits with aging in Wandering Albatrosses</t>
  </si>
  <si>
    <t>ECOLOGY AND EVOLUTION</t>
  </si>
  <si>
    <t>LONG-LIVED SEABIRD; REPRODUCTIVE EFFORT; TERMINAL INVESTMENT; AGE; SENESCENCE; SURVIVAL; RECAPTURE; DISPERSAL; BIRDS; CORTICOSTERONE</t>
  </si>
  <si>
    <t>[Pardo, Deborah; Barbraud, Christophe; Weimerskirch, Henri] CEBC CNRS UPR 1934, F-79360 Villiers En Bois, France</t>
  </si>
  <si>
    <t>Centre National de la Recherche Scientifique (CNRS)</t>
  </si>
  <si>
    <t>Pardo, D (corresponding author), British Antarctic Survey, Madingley Rd, Cambridge CB3 0ET, England.</t>
  </si>
  <si>
    <t>deborah.pardo@gmail.com</t>
  </si>
  <si>
    <t>Barbraud, Christophe/A-5870-2012; Weimerskirch, Henri/F-5562-2013; Weimerskirch, Henri/K-7306-2019</t>
  </si>
  <si>
    <t>Barbraud, Christophe/0000-0003-0146-212X; Weimerskirch, Henri/0000-0002-0457-586X</t>
  </si>
  <si>
    <t>French research minister; NERC [bas0100025] Funding Source: UKRI; Natural Environment Research Council [bas0100025] Funding Source: researchfish</t>
  </si>
  <si>
    <t>French research minister; NERC(UK Research &amp; Innovation (UKRI)Natural Environment Research Council (NERC)); Natural Environment Research Council(UK Research &amp; Innovation (UKRI)Natural Environment Research Council (NERC))</t>
  </si>
  <si>
    <t>DP was funded by a grant from the French research minister.</t>
  </si>
  <si>
    <t>2045-7758</t>
  </si>
  <si>
    <t>ECOL EVOL</t>
  </si>
  <si>
    <t>Ecol. Evol.</t>
  </si>
  <si>
    <t>10.1002/ece3.882</t>
  </si>
  <si>
    <t>Ecology; Evolutionary Biology</t>
  </si>
  <si>
    <t>Environmental Sciences &amp; Ecology; Evolutionary Biology</t>
  </si>
  <si>
    <t>AA8OJ</t>
  </si>
  <si>
    <t>Green Published, gold, Green Accepted</t>
  </si>
  <si>
    <t>WOS:000331354500014</t>
  </si>
  <si>
    <t>Singh, P; Hanada, Y; Singh, SM; Tsuda, S</t>
  </si>
  <si>
    <t>Singh, Purnima; Hanada, Yuichi; Singh, Shiv Mohan; Tsuda, Sakae</t>
  </si>
  <si>
    <t>Antifreeze protein activity in Arctic cryoconite bacteria</t>
  </si>
  <si>
    <t>FEMS MICROBIOLOGY LETTERS</t>
  </si>
  <si>
    <t>antifreeze protein; thermal hysteresis; recrystallization inhibition; cryoconite; Arctic bacteria</t>
  </si>
  <si>
    <t>CRYSTAL-CONTROLLING PROTEINS; RICH-REPEAT PROTEIN; ICE-BINDING PROTEIN; SURVIVAL; CARROT; GROWTH; RECRYSTALLIZATION; GLYCOPROTEINS; EXPRESSION; NUCLEATION</t>
  </si>
  <si>
    <t>Fourteen Arctic bacterial strains belonging to five genera, Cryobacterium, Leifsonia, Polaromonas, Pseudomonas, and Subtercola isolated from sediments found in cryoconite holes of Arctic glaciers, were subjected to screening for antifreeze proteins (AFPs). Eight strains showed AFP activity, and six strains of four species were further characterized. Pseudomonas ficuserectae exhibited a high thermal hysteresis (TH) activity. Ice recrystallization inhibition (IRI) activity was observed in most cultures at low protein concentration. Bacterial AFPs produced rounded shape of ice crystals that did not change their size and morphology within the TH window. Cry-g (P.ficuserectae) failed to inhibit ice recrystallization, indicating that the IRI activity of the AFPs does not relate to the strength of TH activity. SDS-PAGE analysis of the AFPs suggests their apparent molecular weights to be around 23kDa. This study is significant as it screens several species of Arctic bacterial strains for AFP activity. So far, only one species of bacteria, Pseudomonas putida, was reported from the Arctic to produce AFPs. N-terminal amino acid sequence analysis shows that the bacterial AFPs isolated belong to the AFP family IBP-1, which is known to have an important physiological role in the cold environment. AFPs of glacier cryoconite habitat have been discussed.</t>
  </si>
  <si>
    <t>[Singh, Purnima] Birla Inst Technol &amp; Sci, Zuarinagar 403726, Goa, India; [Hanada, Yuichi; Tsuda, Sakae] Natl Inst Adv Ind Sci &amp; Technol, Sapporo, Hokkaido, Japan; [Hanada, Yuichi; Tsuda, Sakae] Hokkaido Univ, Grad Sch Life Sci, Sapporo, Hokkaido, Japan; [Singh, Shiv Mohan] Natl Ctr Antarctic &amp; Ocean Res, Vasco Da Gama, Goa, India</t>
  </si>
  <si>
    <t>Birla Institute of Technology &amp; Science Pilani (BITS Pilani); National Institute of Advanced Industrial Science &amp; Technology (AIST); Hokkaido University; Ministry of Earth Sciences (MoES) - India; National Centre for Polar and Ocean Research (NCPOR)</t>
  </si>
  <si>
    <t>Tsuda, Sakae/M-2756-2018</t>
  </si>
  <si>
    <t>Tsuda, Sakae/0000-0002-1399-0619</t>
  </si>
  <si>
    <t>Department of Science &amp; Technology (DST), Government of India; Grants-in-Aid for Scientific Research [23310171] Funding Source: KAKEN</t>
  </si>
  <si>
    <t>Department of Science &amp; Technology (DST), Government of India(Department of Science &amp; Technology (India)); Grants-in-Aid for Scientific Research(Ministry of Education, Culture, Sports, Science and Technology, Japan (MEXT)Japan Society for the Promotion of ScienceGrants-in-Aid for Scientific Research (KAKENHI))</t>
  </si>
  <si>
    <t>We would like to thank the directors, Birla Institute of Technology and Science (BITS) Goa Campus, National Centre for Antarctic and Ocean Research (NCAOR), Goa, and National Institute of Advanced Industrial Science and Technology (AIST) Sapporo, for facilities. We are thankful to Dr Ad H. L. Huiskes, former SCAR-Vice President, for checking the English and suggestion. The authors are also thankful to reviewers and editor for valuable comments on the contents of the manuscript. PS acknowledges the Department of Science &amp; Technology (DST), Government of India, for the financial support.</t>
  </si>
  <si>
    <t>0378-1097</t>
  </si>
  <si>
    <t>1574-6968</t>
  </si>
  <si>
    <t>FEMS MICROBIOL LETT</t>
  </si>
  <si>
    <t>FEMS Microbiol. Lett.</t>
  </si>
  <si>
    <t>10.1111/1574-6968.12345</t>
  </si>
  <si>
    <t>303LP</t>
  </si>
  <si>
    <t>WOS:000330676100004</t>
  </si>
  <si>
    <t>Abrantes, KG; Barnett, A; Bouillon, S</t>
  </si>
  <si>
    <t>Abrantes, Katya G.; Barnett, Adam; Bouillon, Steven</t>
  </si>
  <si>
    <t>Stable isotope-based community metrics as a tool to identify patterns in food web structure in east African estuaries</t>
  </si>
  <si>
    <t>FUNCTIONAL ECOLOGY</t>
  </si>
  <si>
    <t>Bayesian models; community metrics; food web structure; tropical systems</t>
  </si>
  <si>
    <t>ORGANIC-MATTER; BETSIBOKA ESTUARY; TROPHIC POSITION; RATIOS PROVIDE; WIDE MEASURES; NICHE WIDTH; CARBON; NITROGEN; DELTA-N-15; FISH</t>
  </si>
  <si>
    <t>Quantitative tools to describe biological communities are important for conservation and ecological management. The analysis of trophic structure can be used to quantitatively describe communities. Stable isotope analysis is useful to describe trophic organization, but statistical models that allow the identification of general patterns and comparisons between systems/sampling periods have only recently been developed. Here, stable isotope-based Bayesian community-wide metrics are used to investigate patterns in trophic structure in five estuaries that differ in size, sediment yield and catchment vegetation cover (C3/C4): the Zambezi in Mozambique, the Tana in Kenya and the Rianila, the Betsiboka and Pangalanes Canal (sampled at Ambila) in Madagascar. Primary producers, invertebrates and fish of different trophic ecologies were sampled at each estuary before and after the 2010-2011 wet season. Trophic length, estimated based on N-15, varied between 3 center dot 6 (Ambila) and 4 center dot 7 levels (Zambezi) and did not vary seasonally for any estuary. Trophic structure differed the most at Ambila, where trophic diversity and trophic redundancy were lower than at the other estuaries. Among the four open estuaries, the Betsiboka and Tana (C4-dominated) had lower trophic diversity than the Zambezi and Rianila (C3-dominated), probably due to the high loads of suspended sediment, which limited the availability of aquatic sources. There was seasonality in trophic structure at Ambila and Betsiboka, as trophic diversity increased and trophic redundancy decreased from the prewet to the postwet season. For Ambila, this probably resulted from the higher variability and availability of sources after the wet season, which allowed diets to diversify. For the Betsiboka, where aquatic productivity is low, this was likely due to a greater input of terrestrial material during the wet season. The comparative analysis of community-wide metrics was useful to detect patterns in trophic structure and identify differences/similarities in trophic organization related to environmental conditions. However, more widespread application of these approaches across different faunal communities in contrasting ecosystems is required to allow identification of robust large-scale patterns in trophic structure. The approach used here may also find application in comparing food web organization before and after impacts or monitoring ecological recovery after rehabilitation.</t>
  </si>
  <si>
    <t>[Abrantes, Katya G.; Bouillon, Steven] Katholieke Univ Leuven, Dept Earth &amp; Environm Sci, B-3001 Louvain, Belgium; [Barnett, Adam] Deakin Univ, Sch Life &amp; Environm Sci, Burwood, Vic 3125, Australia; [Barnett, Adam] Inst Marine &amp; Antarctic Studies, Fisheries Aquaculture &amp; Coasts Ctr, Hobart, Tas 7001, Australia</t>
  </si>
  <si>
    <t>KU Leuven; Deakin University; University of Tasmania</t>
  </si>
  <si>
    <t>Abrantes, KG (corresponding author), James Cook Univ, Sch Marine &amp; Trop Biol, Estuary &amp; Tidal Wetland Ecosyst Res Grp, Townsville, Qld 4811, Australia.</t>
  </si>
  <si>
    <t>katya.abrantes@gmail.com</t>
  </si>
  <si>
    <t>; Bouillon, Steven/C-5177-2011</t>
  </si>
  <si>
    <t>, Adam/0000-0001-7430-8428; Bouillon, Steven/0000-0001-7669-2929; abrantes, katya/0000-0001-8648-8817</t>
  </si>
  <si>
    <t>postdoctoral Marie Curie International Incoming Fellowship within the 7th European Community Framework Programme; Starting Grant from the European Research Council (AFRIVAL) [ERC-StG 240002]; Research Foundation Flanders (FWO-Vlaanderen); Rufford Small Grant</t>
  </si>
  <si>
    <t>postdoctoral Marie Curie International Incoming Fellowship within the 7th European Community Framework Programme(European Union (EU)); Starting Grant from the European Research Council (AFRIVAL); Research Foundation Flanders (FWO-Vlaanderen)(FWO); Rufford Small Grant</t>
  </si>
  <si>
    <t>We thank Francois Rabemanansoa for help in Madagascar, Lilia Rabeharisoa for logistical support in Antananarivo, Zita Kelemen for support with laboratorial analyses, Adriano Macia for logistic support in Mozambique. A special thanks to the many artisanal fishermen that made sampling much easier and faster. Without their help, this study would not have been possible. Thank you also to the three anonymous reviewers that greatly contributed to improve the manuscript. This study was supported by a postdoctoral Marie Curie International Incoming Fellowship within the 7th European Community Framework Programme, a Starting Grant from the European Research Council (ERC-StG 240002, AFRIVAL), two travel grants to K. A. from the Research Foundation Flanders (FWO-Vlaanderen), and a Rufford Small Grant to K. A. Idea Wild provided some field material. Animal handling was conducted in accordance with the European Communities Council Directive of 24 November 1986 (86/609/EEC), and to the laws and regulations of the countries involved.</t>
  </si>
  <si>
    <t>0269-8463</t>
  </si>
  <si>
    <t>1365-2435</t>
  </si>
  <si>
    <t>FUNCT ECOL</t>
  </si>
  <si>
    <t>Funct. Ecol.</t>
  </si>
  <si>
    <t>10.1111/1365-2435.12155</t>
  </si>
  <si>
    <t>AA4RN</t>
  </si>
  <si>
    <t>WOS:000331083900027</t>
  </si>
  <si>
    <t>Tonui, E; Zolensky, M; Hiroi, T; Nakamura, T; Lipschutz, ME; Wang, MS; Okudaira, K</t>
  </si>
  <si>
    <t>Tonui, Eric; Zolensky, Mike; Hiroi, Takahiro; Nakamura, Tomoki; Lipschutz, Michael E.; Wang, Ming-Sheng; Okudaira, Kyoko</t>
  </si>
  <si>
    <t>Petrographic, chemical and spectroscopic evidence for thermal metamorphism in carbonaceous chondrites I: CI and CM chondrites</t>
  </si>
  <si>
    <t>OXYGEN ISOTOPES; TRACE-ELEMENTS; TAGISH LAKE; METEORITES; SERPENTINE; MINERALOGY; CLASSIFICATION; FORSTERITE; MATRIX</t>
  </si>
  <si>
    <t>We present a comprehensive description of petrologic, chemical and spectroscopic features of thermally metamorphosed CI-like and CM (and CM-like) chondrites. Only two such CI chondrites have so far been discovered i.e. Y-86029 and Y-82162. Thermal metamorphism in these chondrites is apparent in their low contents of H2O, C and the most thermally labile trace elements, partial dehydration of matrix phyllosilicates and abundance of thermally decomposed Ca-Mg-Fe-Mn carbonates, which apparently resulted from heating of Mg-Fe carbonate precursors. The CM chondrites exhibit a wide range of aqueous and thermal alteration characteristics. This alteration was almost complete in Y-86720 and Y-86789, which also escaped alternating episodes of oxidation and sulfidization experienced by the others. Thermal metamorphism in the CM chondrites is apparent in loss of thermally labile trace elements and also in partial to almost complete dehydration of matrix phyllosilicates: heating was less uniform in them than in CI chondrites. This dehydration is also evident in strength and shapes of integrated intensities of the 3 mu m bands except in PCA 91008, which experienced extensive terrestrial weathering. Tochilinite is absent in all but Y-793321 probably due to heating. Textural evidence for thermal metamorphism is conspicuous in blurring or integration/fusion of chondrules with matrix in the more extensively heated (&gt;= 600 degrees C) CM chondrites like PCA 91008 and B-7904. TEM and XRD analyses reveal that phyllosilicate transformation to anhydrous phases proceeds via poorly crystalline, highly desiccated and disordered 'intermediate' phases in the least and moderately heated (400-600 degrees C) carbonaceous chondrites like WIS 91600, PCA 91008 and Y-86029. These findings are significant in that they confirm that these phases occur in meteorites as well as terrestrial samples. Thermal alteration in these meteorites can be used to identify other carbonaceous chondrites that were thermally metamorphosed in their parent bodies. Combining RNAA trace element data for experimentally heated Murchison CM2 samples with petrographic and spectroscopic data, these thermally metamorphosed carbonaceous chondrites can be ordered by severity of open system heating as 400 degrees C &lt;= Y-793321 &lt; WIS91600 = EET90043 = A881655 &lt; PCA91008 &lt; B-7904 = Y-86029 &lt; Y-82162 &lt; Y-86720 = Y-86789 &gt;= 700 degrees C. Nearly all heated carbonaceous chondrites discovered so far have been found in Antarctica, which is known to have sampled the flux of near-Earth material for much longer than exemplified by current falls. Published by Elsevier Ltd.</t>
  </si>
  <si>
    <t>[Tonui, Eric] BP Upstream Res &amp; Technol, Houston, TX 77079 USA; [Tonui, Eric; Zolensky, Mike] NASA, Lyndon B Johnson Space Ctr, Houston, TX 77058 USA; [Hiroi, Takahiro] Brown Univ, Dept Geol Sci, Providence, RI 02912 USA; [Nakamura, Tomoki] Tohoku Univ Aramaki, Dept Earth &amp; Planetary Mat Sci, Fac Sci, Aoba Ku, Sendai, Miyagi 9808578, Japan; [Lipschutz, Michael E.; Wang, Ming-Sheng] Purdue Univ, Dept Chem, W Lafayette, IN 47907 USA; [Okudaira, Kyoko] Univ Aizu, Aizu Wakamatsu, Fukushima 9658580, Japan</t>
  </si>
  <si>
    <t>National Aeronautics &amp; Space Administration (NASA); NASA Johnson Space Center; Brown University; Tohoku University; Purdue University System; Purdue University; University of Aizu</t>
  </si>
  <si>
    <t>Zolensky, M (corresponding author), NASA, Lyndon B Johnson Space Ctr, Houston, TX 77058 USA.</t>
  </si>
  <si>
    <t>michael.e.zolensky@nasa.gov</t>
  </si>
  <si>
    <t>Hiroi, Takahiro/0000-0003-2866-9091; Zolensky, Michael/0000-0002-3181-1303</t>
  </si>
  <si>
    <t>NASA's Origins of Solar Systems and Cosmochemistry Programs; DOE [DE-FG07-01ID14146]; NASA [NAGW-3396]; Grants-in-Aid for Scientific Research [25247091] Funding Source: KAKEN</t>
  </si>
  <si>
    <t>NASA's Origins of Solar Systems and Cosmochemistry Programs; DOE(United States Department of Energy (DOE)); NASA(National Aeronautics &amp; Space Administration (NASA)); Grants-in-Aid for Scientific Research(Ministry of Education, Culture, Sports, Science and Technology, Japan (MEXT)Japan Society for the Promotion of ScienceGrants-in-Aid for Scientific Research (KAKENHI))</t>
  </si>
  <si>
    <t>This research has been carried out as part of the National Research Council (NRC) associateship award to E. K. T. M.E.Z was supported by grants by NASA's Origins of Solar Systems and Cosmochemistry Programs. We are grateful to Robert Clayton and Toshiko Mayeda for oxygen isotopic analysis of the newly-analyzed meteorites, and for a detailed review of the manuscript. An anonymous GCA reviewer significantly improved an earlier version of this paper. M. E. L also acknowledges with great appreciation the staff at the University of Missouri Research Reactor for aid in neutron irradiations, which were supported by DOE grant DE-FG07-01ID14146. Additional support for M. E. L was provided by NASA grant NAGW-3396. We are grateful to Hideyasu Kojima and NIPR for providing thin sections of some of the new carbonaceous chondrites. We are also grateful to Craig Schwandt for his assistance with technical aspects of electron microprobe and SEM work. We acknowledge NIPR and U.S. National Science Foundation for supporting the collection of Antarctic meteorites (via the Japanese Antarctic Research Expeditions, JARE, and the Antarctic Search for Meteorites, ANSMET) which continue to provide us with invaluable samples for these studies.</t>
  </si>
  <si>
    <t>10.1016/j.gca.2013.10.053</t>
  </si>
  <si>
    <t>286YI</t>
  </si>
  <si>
    <t>WOS:000329504800017</t>
  </si>
  <si>
    <t>Lechtenfeld, OJ; Kattner, G; Flerus, R; McCallister, SL; Schmitt-Kopplin, P; Koch, BP</t>
  </si>
  <si>
    <t>Lechtenfeld, Oliver J.; Kattner, Gerhard; Flerus, Ruth; McCallister, S. Leigh; Schmitt-Kopplin, Philippe; Koch, Boris P.</t>
  </si>
  <si>
    <t>Molecular transformation and degradation of refractory dissolved organic matter in the Atlantic and Southern Ocean</t>
  </si>
  <si>
    <t>EASTERN NORTH PACIFIC; RESOLUTION MASS DATA; WEDDELL SEA; OPTICAL-PROPERTIES; INORGANIC CARBON; SURFACE WATERS; ROSS SEA; MARINE; RADIOCARBON; DEEP</t>
  </si>
  <si>
    <t>More than 90% of the global ocean dissolved organic carbon (DOC) is refractory, has an average age of 4000-6000 years and a lifespan from months to millennia. The fraction of dissolved organic matter (DOM) that is resistant to degradation is a long-term buffer in the global carbon cycle but its chemical composition, structure, and biochemical formation and degradation mechanisms are still unresolved. We have compiled the most comprehensive molecular dataset of 197 Fourier transform ion cyclotron resonance mass spectrometry (FT-ICR MS) analyses from solid-phase extracted marine DOM covering two major oceans, the Atlantic sector of the Southern Ocean and the East Atlantic Ocean (ranging from 50 degrees N to 70 degrees S). Molecular trends and radiocarbon dating of 34 DOM samples (comprising Delta C-14 values from -229 parts per thousand to -495 parts per thousand) were combined to model an integrated degradation rate for bulk DOC resulting in a predicted age of &gt;24 ka for the most persistent DOM fraction. First order kinetic degradation rates for 1557 mass peaks indicate that numerous DOM molecules cycle on timescales much longer than the turnover of the bulk DOC pool (estimated residence times of up to similar to 100 ka) and the range of validity of radiocarbon dating. Changes in elemental composition were determined by assigning molecular formulae to the detected mass peaks. The combination of residence times with molecular information enabled modelling of the average elemental composition of the slowest degrading fraction of the DOM pool. In our dataset, a group of 361 molecular formulae represented the most stable composition in the oceanic environment (island of stability). These most persistent compounds encompass only a narrow range of the molecular elemental ratios H/C (average of 1.17 +/- 0.13), and O/C (average of 0.52 +/- 0.10) and molecular masses (360 +/- 28 and 497 +/- 51 Da). In the Weddell Sea DOC concentrations in the surface waters were low (46.3 +/- 3.3 mu M) while the organic radiocarbon was significantly more depleted than that of the East Atlantic, representing average surface water DOM ages of 4920 +/- 180 a. These results are in accordance with a highly degraded DOM in the Weddell Sea surface water as also shown by the molecular degradation index IDEG obtained from FT-ICR MS data. Further, we identified 339 molecular formulae which probably contribute to an increased DOC concentration in the Southern Ocean and potentially reflect an accumulation or enhanced sequestration of refractory DOC in the Weddell Sea. These results will contribute to a better understanding of the persistent nature of marine DOM and its role as an oceanic carbon buffer in a changing climate. (C) 2013 Elsevier Ltd. All rights reserved.</t>
  </si>
  <si>
    <t>[Lechtenfeld, Oliver J.; Kattner, Gerhard; Flerus, Ruth; Koch, Boris P.] Helmholtz Zentrum Polar &amp; Meeresforsch, Alfred Wegener Inst, D-27570 Bremerhaven, Germany; [McCallister, S. Leigh] Virginia Commonwealth Univ, Dept Biol, Ctr Environm Studies, Richmond, VA 23284 USA; [Schmitt-Kopplin, Philippe] Helmholtz Zentrum Munchen, German Res Ctr Environm Hlth, Inst Ecol Chem, D-85764 Neuherberg, Germany; [Schmitt-Kopplin, Philippe] Tech Univ Munich, Chair Analyt Food Chem, D-85354 Freising Weihenstephan, Germany; [Koch, Boris P.] Univ Appl Sci, D-27568 Bremerhaven, Germany</t>
  </si>
  <si>
    <t>Helmholtz Association; Alfred Wegener Institute, Helmholtz Centre for Polar &amp; Marine Research; Virginia Commonwealth University; Helmholtz Association; Helmholtz-Center Munich - German Research Center for Environmental Health; Technical University of Munich</t>
  </si>
  <si>
    <t>Koch, BP (corresponding author), Helmholtz Zentrum Polar &amp; Meeresforsch, Alfred Wegener Inst, Handelshafen 12, D-27570 Bremerhaven, Germany.</t>
  </si>
  <si>
    <t>Boris.Koch@awi.de</t>
  </si>
  <si>
    <t>Koch, Boris/B-2784-2009; Lechtenfeld, Oliver J./A-6480-2013; Schmitt-Kopplin, Philippe/H-6271-2011</t>
  </si>
  <si>
    <t>Koch, Boris/0000-0002-8453-731X; Lechtenfeld, Oliver J./0000-0001-5313-6014; Schmitt-Kopplin, Philippe/0000-0003-0824-2664</t>
  </si>
  <si>
    <t>Deutsche Forschungsgemeinschaft (DFG) [KO 2164/8-1+2]</t>
  </si>
  <si>
    <t>Deutsche Forschungsgemeinschaft (DFG)(German Research Foundation (DFG))</t>
  </si>
  <si>
    <t>The authors thank the executive editor Marc Norman for handling this paper. The associate editor Elizabeth Canuel and the three anonymous reviewers are gratefully acknowledged for their thoughtful comments and contribution to improve the quality of the manuscript. We also acknowledge the master and the crew of the research vessel Polarstern and the chief scientist Olaf Boebel for professional assistance during sample collection and Lindsey Koren for radiocarbon sample preparation. We thank Stephan Frickenhaus, Mario Hoppema, and Michiel Rutgers van der Loeff for their helpful discussions during the preparation and Ruth Alheit for proof reading of this manuscript. This work was supported by the Deutsche Forschungsgemeinschaft (DFG) in the framework of the priority programme Antarctic Research with comparative investigations in Arctic ice areas (Grant KO 2164/8-1+2).</t>
  </si>
  <si>
    <t>10.1016/j.gca.2013.11.009</t>
  </si>
  <si>
    <t>Green Accepted, Green Published</t>
  </si>
  <si>
    <t>WOS:000329504800019</t>
  </si>
  <si>
    <t>Cabarcos, E; Flores, JA; Sierro, FJ</t>
  </si>
  <si>
    <t>Cabarcos, Eloy; Flores, Jose-Abel; Sierro, Francisco J.</t>
  </si>
  <si>
    <t>High-resolution productivity record and reconstruction of ENSO dynamics during the Holocene in the Eastern Equatorial Pacific using coccolithophores</t>
  </si>
  <si>
    <t>HOLOCENE</t>
  </si>
  <si>
    <t>coccolithophores; Eastern Equatorial Pacific; El Nino-Southern Oscillation; Holocene; nutricline; productivity</t>
  </si>
  <si>
    <t>EL-NINO/SOUTHERN-OSCILLATION; TROPICAL PACIFIC; SOUTH ATLANTIC; INDIAN-OCEAN; PLEISTOCENE FLUCTUATIONS; SURFACE SEDIMENTS; NORTHWEST AFRICA; CURRENT SYSTEM; CLIMATE-CHANGE; VARIABILITY</t>
  </si>
  <si>
    <t>We provide high-resolution paleoproductivity data for the Holocene in the Eastern Equatorial Pacific (EEP). We describe the coccolithophore assemblages at Ocean Drilling Program (ODP) Site 1240 located in the Panama basin. Coccolithophore assemblages are proposed as a productivity proxy and nutricline position for the tropical Pacific Ocean. Our proxies can be used as a tool to reconstruct the El Nino-Southern Oscillation (ENSO), the main factor controlling the climate variability in the EEP. The equatorial upwelling intensity and the influence of waters with a Sub-Antarctic origin have controlled the productivity and the phytoplankton composition during the Holocene, and this has been strongly controlled by ENSO dynamics and, as our data suggest, by Southern Hemisphere ocean dynamics. Our results reveal a clear prevalence of dominant La Nina-like conditions during the early Holocene, with an intense upwelling and high primary productivity conditions in the EEP. La Nina-like conditions prevailed during the middle Holocene, although important fluctuations were observed in paleoproductivity, and some periods with a low primary productivity were recognizable (between 8.2 and 8 kyr and around 7 and 6.5 kyr), indicating a weakened upwelling stage, as occurs during El Nino events. A strong decrease in paleoproductivity occurred between 5 and 4.3 kyr, suggesting a relevant shift toward dominant El Nino-like conditions, with an increase in the stratification of the water column. An alternation between El Nino-like and La Nina-like dominant conditions occurred during the late Holocene, characterized by a clear trend toward prevailing El Nino-like conditions, with a low primary productivity.</t>
  </si>
  <si>
    <t>[Cabarcos, Eloy; Flores, Jose-Abel; Sierro, Francisco J.] Univ Salamanca, E-37008 Salamanca, Spain</t>
  </si>
  <si>
    <t>University of Salamanca</t>
  </si>
  <si>
    <t>Cabarcos, E (corresponding author), Univ Salamanca, Dept Geol, Plz De la Merced S-N, E-37008 Salamanca, Spain.</t>
  </si>
  <si>
    <t>eloycabarcos@usal.es</t>
  </si>
  <si>
    <t>Sierro, Francisco/A-4714-2008; Flores, José-Abel/D-4218-2009; Cabarcos, Eloy/G-1463-2016</t>
  </si>
  <si>
    <t>Sierro, Francisco/0000-0002-8647-456X; Flores, José-Abel/0000-0003-1909-293X; Cabarcos, Eloy/0000-0001-6863-2395</t>
  </si>
  <si>
    <t>University of Salamanca; Spanish Ministerio de Ciencia e Innovacion [CONSOLIDER-INGENIO CSD 2007-00067, PASUR CGL2009-08651, CONSOLIDER-GRACCIE VACLIODP339, MINECO CTM2012-38248]</t>
  </si>
  <si>
    <t>University of Salamanca; Spanish Ministerio de Ciencia e Innovacion(Instituto de Salud Carlos IIISpanish Government)</t>
  </si>
  <si>
    <t>This study has been funded by a grant provided by the University of Salamanca, and the Spanish Ministerio de Ciencia e Innovacion CONSOLIDER-INGENIO CSD 2007-00067, PASUR CGL2009-08651, CONSOLIDER-GRACCIE VACLIODP339 and MINECO CTM2012-38248 projects.</t>
  </si>
  <si>
    <t>SAGE PUBLICATIONS LTD</t>
  </si>
  <si>
    <t>1 OLIVERS YARD, 55 CITY ROAD, LONDON EC1Y 1SP, ENGLAND</t>
  </si>
  <si>
    <t>0959-6836</t>
  </si>
  <si>
    <t>1477-0911</t>
  </si>
  <si>
    <t>Holocene</t>
  </si>
  <si>
    <t>10.1177/0959683613516818</t>
  </si>
  <si>
    <t>291KQ</t>
  </si>
  <si>
    <t>WOS:000329828000005</t>
  </si>
  <si>
    <t>Criscitiello, AS; Das, SB; Karnauskas, KB; Evans, MJ; Frey, KE; Joughin, I; Steig, EJ; McConnell, JR; Medley, B</t>
  </si>
  <si>
    <t>Criscitiello, Alison S.; Das, Sarah B.; Karnauskas, Kristopher B.; Evans, Matthew J.; Frey, Karen E.; Joughin, Ian; Steig, Eric J.; McConnell, Joseph R.; Medley, Brooke</t>
  </si>
  <si>
    <t>Tropical Pacific Influence on the Source and Transport of Marine Aerosols to West Antarctica</t>
  </si>
  <si>
    <t>Antarctica; Sea ice; Teleconnections; Atmosphere-ocean interaction; Climate records; Interannual variability</t>
  </si>
  <si>
    <t>PINE ISLAND GLACIER; NINO-SOUTHERN-OSCILLATION; SEA-ICE; AMUNDSEN SEA; ROSS SEA; CLIMATE VARIABILITY; ATMOSPHERIC SULFUR; FROST FLOWERS; CORE; PHYTOPLANKTON</t>
  </si>
  <si>
    <t>The climate of West Antarctica is strongly influenced by remote forcing from the tropical Pacific. For example, recent surface warming over West Antarctica reflects atmospheric circulation changes over the Amundsen Sea, driven by an atmospheric Rossby wave response to tropical sea surface temperature (SST) anomalies. Here, it is demonstrated that tropical Pacific SST anomalies also influence the source and transport of marine-derived aerosols to the West Antarctic Ice Sheet. Using records from four firn cores collected along the Amundsen coast of West Antarctica, the relationship between sea ice-modulated chemical species and large-scale atmospheric variability in the tropical Pacific from 1979 to 2010 is investigated. Significant correlations are found between marine biogenic aerosols and sea salts, and SST and sea level pressure in the tropical Pacific. In particular, La Nina-like conditions generate an atmospheric Rossby wave response that influences atmospheric circulation over Pine Island Bay. Seasonal regression of atmospheric fields on methanesulfonic acid (MSA) reveals a reduction in onshore wind velocities in summer at Pine Island Bay, consistent with enhanced katabatic flow, polynya opening, and coastal dimethyl sulfide production. Seasonal regression of atmospheric fields on chloride (Cl-) reveals an intensification in onshore wind velocities in winter, consistent with sea salt transport from offshore source regions. Both the source and transport of marine aerosols to West Antarctica are found to be modulated by similar atmospheric dynamics in response to remote forcing. Finally, the regional ice-core array suggests that there is both a temporally and a spatially varying response to remote tropical forcing.</t>
  </si>
  <si>
    <t>[Criscitiello, Alison S.] MIT, WHOI Joint Program Oceanog Appl Ocean Sci &amp; Engn, Woods Hole, MA USA; [Criscitiello, Alison S.; Das, Sarah B.; Karnauskas, Kristopher B.] Woods Hole Oceanog Inst, Dept Geol &amp; Geophys, Woods Hole, MA 02543 USA; [Evans, Matthew J.] Wheaton Coll, Dept Chem, Norton, MA 02766 USA; [Evans, Matthew J.] Clark Univ, Grad Sch Geog, Worcester, MA 01610 USA; [Joughin, Ian; Medley, Brooke] Univ Washington, Dept Earth &amp; Space Sci, Seattle, WA 98195 USA; [Joughin, Ian] Univ Washington, Appl Phys Lab, Seattle, WA 98105 USA; [Steig, Eric J.] Univ Washington, Quaternary Res Ctr, Seattle, WA 98195 USA; [McConnell, Joseph R.] Univ Nevada, Desert Res Inst, Reno, NV 89506 USA</t>
  </si>
  <si>
    <t>Massachusetts Institute of Technology (MIT); Woods Hole Oceanographic Institution; Clark University; University of Washington; University of Washington Seattle; University of Washington; University of Washington Seattle; University of Washington; University of Washington Seattle; Nevada System of Higher Education (NSHE); Desert Research Institute NSHE; University of Nevada Reno</t>
  </si>
  <si>
    <t>Criscitiello, AS (corresponding author), Woods Hole Oceanog Inst, 266 Woods Hole Rd MS 23, Woods Hole, MA 02543 USA.</t>
  </si>
  <si>
    <t>glacierz@gmail.com</t>
  </si>
  <si>
    <t>Joughin, Ian/AAR-7778-2021; Joughin, Ian R/A-2998-2008; /G-9088-2015</t>
  </si>
  <si>
    <t>Joughin, Ian/0000-0001-6229-679X; Joughin, Ian R/0000-0001-6229-679X; Criscitiello, Alison/0000-0002-8741-709X; Evans, Matthew/0000-0003-4100-4780; /0000-0002-8191-5549</t>
  </si>
  <si>
    <t>Department of Energy Office of Science Graduate Fellowship Program (DOE SCGF); NSF-OPP [ANT-0632031, ANT-0631973]; NSF-MRI [EAR-1126217]; NASA [NNX10AP09G]; WHOI Andrew W. Mellon Foundation; James E. and Barbara V. Moltz Research Fellowship; NASA [NNX10AP09G, 126835] Funding Source: Federal RePORTER</t>
  </si>
  <si>
    <t>Department of Energy Office of Science Graduate Fellowship Program (DOE SCGF)(United States Department of Energy (DOE)); NSF-OPP(National Science Foundation (NSF)); NSF-MRI(National Science Foundation (NSF)NSF - Office of the Director (OD)); NASA(National Aeronautics &amp; Space Administration (NASA)); WHOI Andrew W. Mellon Foundation; James E. and Barbara V. Moltz Research Fellowship; NASA(National Aeronautics &amp; Space Administration (NASA))</t>
  </si>
  <si>
    <t>Thanks to Lou Albershardt, Howard Conway, Luke Trusel, Twila Moon, RPSC staff, and NICL staff for assistance in the field and with ice-core processing. Thanks to DRI staff for continuous melter analyses. Thanks to Kevin Anchukaitis for assistance with the Monte Carlo simulations. We thank the two anonymous reviewers. This research was supported by an award from the Department of Energy Office of Science Graduate Fellowship Program (DOE SCGF) to ASC, a James E. and Barbara V. Moltz Research Fellowship to SBD, and grants from NSF-OPP (ANT-0632031 and ANT-0631973), NSF-MRI (EAR-1126217), and the NASA Cryosphere Program (NNX10AP09G), and a WHOI Andrew W. Mellon Foundation Award for Innovative Research.</t>
  </si>
  <si>
    <t>10.1175/JCLI-D-13-00148.1</t>
  </si>
  <si>
    <t>Bronze, Green Submitted, Green Published</t>
  </si>
  <si>
    <t>WOS:000330085000023</t>
  </si>
  <si>
    <t>Fierro, AO; Leslie, LM</t>
  </si>
  <si>
    <t>Fierro, Alexandre O.; Leslie, Lance M.</t>
  </si>
  <si>
    <t>Relationships between Southeast Australian Temperature Anomalies and Large-Scale Climate Drivers</t>
  </si>
  <si>
    <t>Anomalies; Climate variability; Decadal variability; Interannual variability; Seasonal variability; Trends</t>
  </si>
  <si>
    <t>EL-NINO; INDIAN-OCEAN; RAINFALL VARIABILITY; OSCILLATION; IMPACTS; PRECIPITATION; ENSO; MODULATION; SIGNAL; MODE</t>
  </si>
  <si>
    <t>Over the past century, particularly after the 1960s, observations of mean maximum temperatures reveal an increasing trend over the southeastern quadrant of the Australian continent. Correlation analysis of seasonally averaged mean maximum temperature anomaly data for the period 1958-2012 is carried out for a representative group of 10 stations in southeast Australia (SEAUS). For the warm season (November-April) there is a positive relationship with the El Nino-Southern Oscillation (ENSO) and the Pacific decadal oscillation (PDO) and an inverse relationship with the Antarctic Oscillation (AAO) for most stations. For the cool season (May-October), most stations exhibit similar relationships with the AAO, positive correlations with the dipole mode index (DMI), and marginal inverse relationships with the Southern Oscillation index (SOI) and the PDO. However, for both seasons, the blocking index (BI, as defined by M. Pook and T. Gibson) in the Tasman Sea (160 degrees E) clearly is the dominant climate mode affecting maximum temperature variability in SEAUS with negative correlations in the range from r = -0.30 to -0.65. These strong negative correlations arise from the usual definition of BI, which is positive when blocking high pressure systems occur over the Tasman Sea (near 45 degrees S, 160 degrees E), favoring the advection of modified cooler, higher-latitude maritime air over SEAUS.A point-by-point correlation with global sea surface temperatures (SSTs), principal component analysis, and wavelet power spectra support the relationships with ENSO and DMI. Notably, the analysis reveals that the maximum temperature variability of one group of stations is explained primarily by local factors (warmer near-coastal SSTs), rather than teleconnections with large-scale drivers.</t>
  </si>
  <si>
    <t>[Fierro, Alexandre O.; Leslie, Lance M.] Univ Oklahoma, Cooperat Inst Mesoscale Meteorol Studies, Norman, OK 73072 USA; [Fierro, Alexandre O.] Univ Oklahoma, NOAA OAR Natl Severe Storms Lab, Norman, OK 73072 USA; [Leslie, Lance M.] Univ Oklahoma, Sch Meteorol, Norman, OK 73072 USA</t>
  </si>
  <si>
    <t>University of Oklahoma System; University of Oklahoma - Norman; University of Oklahoma System; University of Oklahoma - Norman; National Oceanic Atmospheric Admin (NOAA) - USA; University of Oklahoma System; University of Oklahoma - Norman</t>
  </si>
  <si>
    <t>Fierro, AO (corresponding author), Univ Oklahoma, Natl Weather Ctr, Cooperat Inst Mesoscale Meteorol Studies, Suite 2100,120 David L Boren Blvd, Norman, OK 73072 USA.</t>
  </si>
  <si>
    <t>afierro@ou.edu</t>
  </si>
  <si>
    <t>Fierro, Alexandre/C-4733-2014</t>
  </si>
  <si>
    <t>Fierro, Alexandre/0000-0002-4859-1255</t>
  </si>
  <si>
    <t>NOAA/Office of Oceanic and Atmospheric Research under NOAA-University of Oklahoma, U.S. Department of Commerce [NA11OAR4320072]; NESDIS program under National Oceanic and Atmospheric Administration of the U.S. Department of Commerce [NOAA-NESDIS-OAR-NA08OAR4320904]</t>
  </si>
  <si>
    <t>NOAA/Office of Oceanic and Atmospheric Research under NOAA-University of Oklahoma, U.S. Department of Commerce(National Oceanic Atmospheric Admin (NOAA) - USA); NESDIS program under National Oceanic and Atmospheric Administration of the U.S. Department of Commerce</t>
  </si>
  <si>
    <t>Funding was provided by NOAA/Office of Oceanic and Atmospheric Research under NOAA-University of Oklahoma Cooperative Agreement NA11OAR4320072, U.S. Department of Commerce. This work is supported by the NESDIS program, which is under the auspices of the National Oceanic and Atmospheric Administration of the U.S. Department of Commerce under the Grant NOAA-NESDIS-OAR-NA08OAR4320904. Computer resources were provided both by the Oklahoma Supercomputing Center for Education and Research (OSCER) hosted at the University of Oklahoma. The authors also wish to thank Dr. W. Sasaki for providing the updated dataset for the Modoki index, Drs. L. Qi and M. Pook for providing the blocking index data, and Mr. T. Skinner for useful discussions that helped improve the quality of the manuscript.</t>
  </si>
  <si>
    <t>10.1175/JCLI-D-13-00229.1</t>
  </si>
  <si>
    <t>WOS:000330816100003</t>
  </si>
  <si>
    <t>Beem, LH; Tulaczyk, SM; King, MA; Bougamont, M; Fricker, HA; Christoffersen, P</t>
  </si>
  <si>
    <t>Beem, L. H.; Tulaczyk, S. M.; King, M. A.; Bougamont, M.; Fricker, H. A.; Christoffersen, P.</t>
  </si>
  <si>
    <t>Variable deceleration ofWhillans Ice Stream, West Antarctica</t>
  </si>
  <si>
    <t>Whillans Ice Stream; basal resistance; GPS; basal freeze on</t>
  </si>
  <si>
    <t>BASAL MECHANICS; WHILLANS; DYNAMICS; RADAR; SHEET; TRIBUTARIES; GREENLAND; VELOCITY; BENEATH; MOUTH</t>
  </si>
  <si>
    <t>The Whillans Ice Stream Ice Plain (WIP) has been slowing since at least 1963. Prior constraints on this slowdown were consistent with a constant long-term deceleration rate. New observations of ice velocity from 11 continuous and 3 seasonal GPS sites indicate the deceleration rate varies through time including on interannual time scales. Between 2009 and 2012 WIP decelerated at a rate (6.1 to 10.9 +/- 2 m/yr(2)) that was double the multidecadal average (3.0 to 5.6 +/- 2 m/yr(2)). To identify the causes of slowdown, we used new and prior velocity estimates to constrain longitudinal and transverse force budget models as well as a higher-order inverse model. All model results support the conclusion that the observed deceleration of WIP is caused by an increase in basal resistance to motion at a rate of 10 to 40 Pa/yr. Subglacial processes that may be responsible for strengthening the ice stream bed include basal freeze on, changes in subglacial hydrology, or increases in the area of resistant basal substrate through differential erosion. The observed variability in WIP deceleration rate suggests that dynamics in subglacial hydrology, plausibly driven by basal freeze on and/or activity of subglacial lakes, plays a key role in modulating basal resistance to ice motion in the region.</t>
  </si>
  <si>
    <t>[Beem, L. H.; Tulaczyk, S. M.] Univ Calif Santa Cruz, Dept Earth &amp; Planetary Sci, Santa Cruz, CA 95064 USA; [King, M. A.] Univ Tasmania, Sch Geog &amp; Environm Studies, Hobart, Tas, Australia; [King, M. A.] Univ Newcastle, Sch Civil Engn &amp; Geosci, Newcastle Upon Tyne, Tyne &amp; Wear, England; [Bougamont, M.; Christoffersen, P.] Univ Cambridge, Scott Polar Res Inst, Cambridge CB2 1ER, England; [Fricker, H. A.] Univ Calif San Diego, Scripps Inst Oceanog, Inst Geophys &amp; Planetary Phys, San Diego, CA 92103 USA</t>
  </si>
  <si>
    <t>University of California System; University of California Santa Cruz; University of Tasmania; Newcastle University - UK; University of Cambridge; University of California System; University of California San Diego; Scripps Institution of Oceanography</t>
  </si>
  <si>
    <t>Beem, LH (corresponding author), Univ Calif Santa Cruz, Dept Earth &amp; Planetary Sci, Santa Cruz, CA 95064 USA.</t>
  </si>
  <si>
    <t>lhbeem@gmail.com</t>
  </si>
  <si>
    <t>King, Matt/B-4622-2008; Christoffersen, Poul/W-3708-2019; Tulaczyk, Slawek/O-7375-2018</t>
  </si>
  <si>
    <t>King, Matt/0000-0001-5611-9498; Christoffersen, Poul/0000-0003-2643-8724; Tulaczyk, Slawek/0000-0002-9711-4332; Fricker, Helen Amanda/0000-0002-0921-1432; Bougamont, Marion Heidi/0000-0001-7196-4171</t>
  </si>
  <si>
    <t>National Science Foundation Section for Antarctic Sciences [ANT0636970, ANT0839142, ANT0838947]; Australian Research Council [FT110100207]; NERC [NE/E005950/1] Funding Source: UKRI; Natural Environment Research Council [NE/E005950/1] Funding Source: researchfish; Directorate For Geosciences; Office of Polar Programs (OPP) [0838885, 0838947] Funding Source: National Science Foundation; Office of Polar Programs (OPP); Directorate For Geosciences [0839142] Funding Source: National Science Foundation</t>
  </si>
  <si>
    <t>National Science Foundation Section for Antarctic Sciences; Australian Research Council(Australian Research Council);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</si>
  <si>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This material is based upon work supported by the National Science Foundation Section for Antarctic Sciences under grant ANT0636970, ANT0839142, and ANT0838947. Since 2009 our GPS data collection has been conducted as part of the interdisciplinary WISSARD (Whillans Ice Stream Subglacial Access Research Drilling) project. We are thankful to the other members of the WISSARD Science Team for this opportunity. UNAVCO provided polar GPS hardware and technical expertise of their staff, including Bjorn Johns, Marianne Okal, Joe Pettit, and Seth White. United States Antarctic Program enabled our field work through logistical support, with Air National Guard and Ken Borek Air transporting us to, and from, remote field sites. We are grateful to the following individuals for their field assistance in setting up the GPS network: Douglas Fox, Rickard Petterson, Kristin Poinar, Nadine Quintana-Krupinski, Jake Walter, and John Woodward. MAK is a recipient of an Australian Research Council Future Fellowship (project FT110100207). Insightful comment provided by Dr. Jason Amundson, two anonymous reviewers, and the associate editor helped us improve an earlier version of this manuscript.</t>
  </si>
  <si>
    <t>10.1002/2013JF002958</t>
  </si>
  <si>
    <t>AD1ZN</t>
  </si>
  <si>
    <t>WOS:000333032300008</t>
  </si>
  <si>
    <t>Jamieson, SSR; Vieli, A; Cofaigh, CO; Stokes, CR; Livingstone, SJ; Hillenbrand, CD</t>
  </si>
  <si>
    <t>Jamieson, Stewart S. R.; Vieli, Andreas; Cofaigh, Colm O.; Stokes, Chris R.; Livingstone, Stephen J.; Hillenbrand, Claus-Dieter</t>
  </si>
  <si>
    <t>Understanding controls on rapid ice-stream retreat during the last deglaciation of Marguerite Bay, Antarctica, using a numerical model</t>
  </si>
  <si>
    <t>Ice stream; numerical model; grounding line; LGM retreat; Antarctica</t>
  </si>
  <si>
    <t>PINE ISLAND GLACIER; WEST ANTARCTICA; OUTLET GLACIERS; HOLOCENE RETREAT; SHEET; PENINSULA; STABILITY; SHELF; FLOW; GREENLAND</t>
  </si>
  <si>
    <t>Using a one-dimensional numerical model of ice-stream flow with robust grounding-line dynamics, we explore controls on paleo-ice-stream retreat in Marguerite Bay, Antarctica, during the last deglaciation. Landforms on the continental shelf constrain the numerical model and suggest that retreat was rapid but punctuated by a series of slowdowns. We investigate the sensitivity of ice-stream retreat to changes in subglacial and lateral topography and to forcing processes including sea-level rise, enhanced melting beneath an ice shelf, atmospheric warming, and ice-shelf debuttressing. Our experiments consistently reproduce punctuated retreat on a bed that deepens inland, with retreat-rate slowdowns controlled by narrowings in the topography. Sensitivity experiments indicate that the magnitudes of change required for individual forcing mechanisms to initiate retreat are unrealistically high but that thresholds are reduced when processes act in combination. The ice stream is, however, most sensitive to ocean warming and associated ice-shelf melting, and retreat was most likely in response to external forcing that endured throughout the period of retreat rather than to a single triggering event. Timescales of retreat are further controlled by the delivery of ice from upstream of the grounding line. Due to the influence of topography, modeled retreat patterns are insensitive to the temporal pattern of forcing evolution. We therefore suggest that despite regionally similar forcing mechanisms, landscape controls significant contrasts in retreat behavior between adjacent but topographically distinct catchments. Patterns of ice-stream retreat in the past, present, and future should therefore be expected to vary significantly.</t>
  </si>
  <si>
    <t>[Jamieson, Stewart S. R.; Vieli, Andreas; Cofaigh, Colm O.; Stokes, Chris R.] Univ Durham, Dept Geog, South Rd, Durham DH1 3LE, England; [Vieli, Andreas] Univ Zurich, Dept Geog, Zurich, Switzerland; [Livingstone, Stephen J.] Univ Sheffield, Dept Geog, Sheffield S10 2TN, S Yorkshire, England; [Hillenbrand, Claus-Dieter] British Antarctic Survey, Cambridge CB3 0ET, England</t>
  </si>
  <si>
    <t>Durham University; University of Zurich; University of Sheffield; UK Research &amp; Innovation (UKRI); Natural Environment Research Council (NERC); NERC British Antarctic Survey</t>
  </si>
  <si>
    <t>Jamieson, SSR (corresponding author), Univ Durham, Dept Geog, South Rd, Durham DH1 3LE, England.</t>
  </si>
  <si>
    <t>Stewart.Jamieson@durham.ac.uk</t>
  </si>
  <si>
    <t>Jamieson, Stewart S.R./B-8330-2013; Vieli, Andreas/A-6767-2011; Stokes, Chris/A-1957-2011</t>
  </si>
  <si>
    <t>Jamieson, Stewart S.R./0000-0002-9036-2317; Stokes, Chris/0000-0003-3355-1573; Livingstone, Stephen/0000-0002-7240-5037</t>
  </si>
  <si>
    <t>Natural Environment Research Council (NERC) UK [NE/G015430/1, NE/G018677/1]; NERC [NE/J018333/1]; NERC [bas0100027, NE/J018333/1, NE/G018677/1, NE/G015430/1] Funding Source: UKRI; Natural Environment Research Council [NE/G015430/1, NE/G018677/1, bas0100027, NE/J018333/1] Funding Source: researchfish</t>
  </si>
  <si>
    <t>Natural Environment Research Council (NERC) UK(UK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</si>
  <si>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Natural Environment Research Council (NERC) UK standard grants NE/G015430/1 (Vieli) and NE/G018677/1 (Hillenbrand) and NERC Fellowship grant NE/J018333/1 (Jamieson). Underlying data are available by request to Jamieson. We are grateful to Pippa Whitehouse for providing a local ICE-5G-based sea-level history, to Tony Payne and Richard Hindmarsh for the valuable discussions on the numerical modeling, and to Julian Dowdeswell for contributing parts of the underlying marine geophysical data. We acknowledge the efforts of Neil Ross, Mathieu Morlighem, Poul Christoffersen, and an anonymous reviewer for their constructive comments which helped improve this manuscript.</t>
  </si>
  <si>
    <t>10.1002/2013JF002934</t>
  </si>
  <si>
    <t>WOS:000333032300010</t>
  </si>
  <si>
    <t>Morris, EM; Wingham, DJ</t>
  </si>
  <si>
    <t>Morris, E. M.; Wingham, D. J.</t>
  </si>
  <si>
    <t>Densification of polar snow: Measurements, modeling, and implications for altimetry</t>
  </si>
  <si>
    <t>snow; densification; Greenland</t>
  </si>
  <si>
    <t>FIRN-DENSIFICATION; ICE-SHEET; SURFACE ELEVATION; GREENLAND; DENSITY; FLUCTUATIONS; COMPACTION</t>
  </si>
  <si>
    <t>Density profiles in the upper 10-14 m of snow have been measured along a 500 km traverse across the Greenland ice sheet, using a neutron scattering technique. Repeat measurements, over periods ranging from a few days to 5 years, allow strain rates to be determined as a function of depth. Very large strain rates are observed in the surface layer of snow over summer periods. In the underlying multiyear snow, strain rate decreases with decreasing porosity. However, once this effect has been removed, the effect of increasing overburden pressure is counteracted by increasing strength of the material. There are fluctuations in strain rate associated with the annual layering, which indicate that winter and summer snow have different strengths. Based on these observations, we derive a new densification equation which includes the effect of snow density and snow type, and the effect of temperature, described by an Arrhenius expression with activation energy of the order of 110 kJ mol(-1) and an exponential prefactor determined simply by the temperature history of the snow. For multiyear snow and meteorological conditions that do not vary from year to year, our equation reduces to a form similar to the Herron and Langway equation for first-stage densification. Using the new equation, we calculate the sensitivity of compaction rate to short-term fluctuations in temperature and accumulation as 0.11-0.20 m a(-1)K(-1) and 0.33-0.95 m a(-1)(meters water equivalent)(-1), respectively, and discuss the consequent uncertainty in satellite measurements of the long-term elevation trend in this area of the Greenland ice sheet. Key Points Snow densification rates have been measured directly A new compaction equation has been derived Densification can counteract the effect of snowfall on elevation</t>
  </si>
  <si>
    <t>[Morris, E. M.] Univ Cambridge, Scott Polar Res Inst, Cambridge CB2 1ER, England; [Wingham, D. J.] UCL, Ctr Polar Observat &amp; Modelling, London, England</t>
  </si>
  <si>
    <t>University of Cambridge; University of London; University College London</t>
  </si>
  <si>
    <t>Morris, EM (corresponding author), Univ Cambridge, Scott Polar Res Inst, Cambridge CB2 1ER, England.</t>
  </si>
  <si>
    <t>emm36@cam.ac.uk</t>
  </si>
  <si>
    <t>Morris, Elizabeth M/A-6081-2012; Facility, NERC Geophysical Equipment/G-5260-2010</t>
  </si>
  <si>
    <t>ESA; UK Natural Environment Research Council (NERC) consortium [NER/O/S/2003/00620]; NERC [NE/J005681/1, NE/J005657/1, cpom30001] Funding Source: UKRI; Natural Environment Research Council [NE/J005681/1, NE/J005657/1, cpom30001] Funding Source: researchfish</t>
  </si>
  <si>
    <t>ESA(European Space Agency); UK Natural Environment Research Council (NERC) consortium(UK Research &amp; Innovation (UKRI)Natural Environment Research Council (NERC)); NERC(UK Research &amp; Innovation (UKRI)Natural Environment Research Council (NERC)); Natural Environment Research Council(UK Research &amp; Innovation (UKRI)Natural Environment Research Council (NERC))</t>
  </si>
  <si>
    <t>This project is a contribution to the calibration and validation of the ESA CryoSat satellite altimeter and is supported by ESA and by the UK Natural Environment Research Council (NERC) consortium grant NER/O/S/2003/00620. We thank the British Antarctic Survey, NERC Geophysical Equipment Facility, and University of Edinburgh for the loan of geodetic GPS survey equipment and J.-S. Chen for unpublished details of his ADE solution. Logistic support for the traverses was provided by Air Greenland, VECO Polar Resources, CH2M Hill, and the University of Copenhagen. G. Somers, J. Pailthorpe, H. Chamberlain, M. Hignell, and J. Sweeny gave invaluable assistance in the field. We are grateful to R. Arthern and D.G. Vaughan for useful discussions. We also thank R. Dadic, B. Hubbard, E. Pettit, and, above all, E. Waddington for thorough reviews and good advice.</t>
  </si>
  <si>
    <t>10.1002/2013JF002898</t>
  </si>
  <si>
    <t>WOS:000333032300016</t>
  </si>
  <si>
    <t>Jordan, JR; Holland, PR; Jenkins, A; Piggott, MD; Kimura, S</t>
  </si>
  <si>
    <t>Jordan, James R.; Holland, Paul R.; Jenkins, Adrian; Piggott, Matthew D.; Kimura, Satoshi</t>
  </si>
  <si>
    <t>Modeling ice-ocean interaction in ice-shelf crevasses</t>
  </si>
  <si>
    <t>BOTTOM CREVASSES; DYNAMICS; MESH</t>
  </si>
  <si>
    <t>Ocean freezing within ice-shelf basal crevasses could potentially act as a stabilizing influence on ice shelves; however, ice-ocean interaction and ocean dynamics within these crevasses are as yet poorly understood. To this end, an idealized 2-D model of an ice-shelf basal crevasse has been developed using Fluidity, a finite-element ocean model using an unstructured mesh. A simple model of frazil ice formation and deposition has been incorporated into Fluidity to better represent the freezing process. Model results show two different flow regimes, dependent on the amount of freezing in the crevasse: one driven by freezing at the top of the crevasse and the other by the ingress of meltwater from outside the crevasse. In the first, freezing at the top of the crevasse leads to the formation of an unstable overturning circulation due to the rejection of dense, salty water. In the second, a buoyant layer is formed along the sides and roof of the crevasse, stratifying the water column. Frazil ice precipitation is found to be the dominant freezing process at the top of the basal crevasse in the freeze-driven case, with direct freezing being dominant in the melt-driven case. In both cases, melting occurs lower down on the walls of the crevasse due to the strong overturning circulation. The freezing in ice-shelf crevasses and rifts is found to be highly dependent upon ocean temperature, providing a stabilizing influence on ice shelves underlain by cold waters that is not present elsewhere.</t>
  </si>
  <si>
    <t>[Jordan, James R.; Holland, Paul R.; Jenkins, Adrian; Kimura, Satoshi] British Antarctic Survey, Cambridge CB3 0ET, England; [Piggott, Matthew D.] Univ London Imperial Coll Sci Technol &amp; Med, Appl Modelling &amp; Computat Grp, Dept Earth Sci &amp; Engn, London, England; [Piggott, Matthew D.] Univ London Imperial Coll Sci Technol &amp; Med, Grantham Inst Climate Change, London, England</t>
  </si>
  <si>
    <t>UK Research &amp; Innovation (UKRI); Natural Environment Research Council (NERC); NERC British Antarctic Survey; Imperial College London; Imperial College London</t>
  </si>
  <si>
    <t>Jordan, JR (corresponding author), British Antarctic Survey, Cambridge CB3 0ET, England.</t>
  </si>
  <si>
    <t>jamrda26@bas.ac.uk</t>
  </si>
  <si>
    <t>Kimura, Satoshi/AAT-3036-2021; Jenkins, Adrian/IUN-2406-2023; Holland, Paul R/G-2796-2012</t>
  </si>
  <si>
    <t>Kimura, Satoshi/0000-0003-1689-1605; Jenkins, Adrian/0000-0002-9117-0616; Jordan, Jim/0000-0001-8117-1976</t>
  </si>
  <si>
    <t>Natural Environment Research Council [NE/G018391/1, bas0100028, NE/G018146/1, NE/J005746/1, 1118811] Funding Source: researchfish; NERC [NE/G018391/1, NE/G018146/1, NE/J005746/1, bas0100028] Funding Source: UKRI</t>
  </si>
  <si>
    <t>10.1002/2013JC009208</t>
  </si>
  <si>
    <t>WOS:000336261200022</t>
  </si>
  <si>
    <t>Polzin, KL; Garabato, ACN; Huussen, TN; Sloyan, BM; Waterman, S</t>
  </si>
  <si>
    <t>Polzin, Kurt L.; Garabato, Alberto C. Naveira; Huussen, Tycho N.; Sloyan, Bernadette M.; Waterman, Stephanie</t>
  </si>
  <si>
    <t>Finescale parameterizations of turbulent dissipation</t>
  </si>
  <si>
    <t>ISOPYCNIC SLOPE SPECTRA; ANTARCTIC BOTTOM WATER; MID-ATLANTIC RIDGE; INTERNAL WAVES; SOUTHERN-OCEAN; FINE-STRUCTURE; TIME SCALES; DEEP-WATER; PART I; ENERGY</t>
  </si>
  <si>
    <t>This article (1) reviews and clarifies the basic physics underpinning finescale parameterizations of turbulent dissipation due to internal wave breaking and (2) provides advice on the implementation of the parameterizations in a way that is most consistent with the underlying physics, with due consideration given to common instrumental issues. Potential biases in the parameterization results are discussed in light of both (1) and (2), and illustrated with examples in the literature. The value of finescale parameterizations for studies of the large-scale ocean circulation in the presence of common biases is assessed. We conclude that the parameterizations can contribute significantly to the resolution of large-scale circulation problems associated with plausible ranges in the rates of turbulent dissipation and diapycnal mixing spanning an order of magnitude or more.</t>
  </si>
  <si>
    <t>[Polzin, Kurt L.] Woods Hole Oceanog Inst, Woods Hole, MA 02543 USA; [Garabato, Alberto C. Naveira] Natl Oceanog Ctr, Southampton, Hants, England; [Huussen, Tycho N.] Scripps Inst Oceanog, San Diego, CA USA; [Sloyan, Bernadette M.] CSIRO, Ctr Australian Weather &amp; Climate, Hobart, Tas, Australia; [Sloyan, Bernadette M.] CSIRO Wealth Ocean Natl Res Flagship, Hobart, Tas, Australia; [Waterman, Stephanie] Australian Natl Univ, Sydney, NSW, Australia; [Waterman, Stephanie] Univ British Columbia, Dept Earth Ocean &amp; Atmospher Sci, Vancouver, BC V5Z 1M9, Canada; [Waterman, Stephanie] Univ New S Wales, Climate Change Res Ctr, Sydney, NSW, Australia; [Waterman, Stephanie] Univ New S Wales, ARC Ctr Excellence Climate Syst Sci, Sydney, NSW, Australia</t>
  </si>
  <si>
    <t>Woods Hole Oceanographic Institution; NERC National Oceanography Centre; University of California System; University of California San Diego; Scripps Institution of Oceanography; Commonwealth Scientific &amp; Industrial Research Organisation (CSIRO); Commonwealth Scientific &amp; Industrial Research Organisation (CSIRO); Australian National University; University of British Columbia; University of New South Wales Sydney; University of New South Wales Sydney; ARC Centre of Excellence for Climate System Science</t>
  </si>
  <si>
    <t>Polzin, KL (corresponding author), Woods Hole Oceanog Inst, Woods Hole, MA 02543 USA.</t>
  </si>
  <si>
    <t>kpolzin@whoi.edu</t>
  </si>
  <si>
    <t>Sloyan, Bernadette/N-8989-2014; Garabato, Alberto Naveira/AAQ-1114-2020; Waterman, Stephanie/AAY-6033-2020</t>
  </si>
  <si>
    <t>Sloyan, Bernadette/0000-0003-0250-0167; Garabato, Alberto Naveira/0000-0001-6071-605X; Waterman, Stephanie/0000-0001-5797-1092</t>
  </si>
  <si>
    <t>Woods Hole Oceanographic Institution bridge support funds; NSF [OCE-0926848]; NERC [NE/C517633/1]; National Oceanography Centre, Southampton PhD studentship; Australian Climate Change Science Program; CSIRO Wealth from Ocean National Research Flagship; Australian Research Council [DE120102927, CE110001028]; Natural Environment Research Council [NE/C517633/1, NE/B503717/1, NE/E007058/1, NE/G001502/1] Funding Source: researchfish; Australian Research Council [DE120102927] Funding Source: Australian Research Council; NERC [NE/G001502/1, NE/E007058/1, NE/B503717/1] Funding Source: UKRI</t>
  </si>
  <si>
    <t>Woods Hole Oceanographic Institution bridge support funds; NSF(National Science Foundation (NSF)); NERC(UK Research &amp; Innovation (UKRI)Natural Environment Research Council (NERC)); National Oceanography Centre, Southampton PhD studentship; Australian Climate Change Science Program; CSIRO Wealth from Ocean National Research Flagship; Australian Research Council(Australian Research Council); Natural Environment Research Council(UK Research &amp; Innovation (UKRI)Natural Environment Research Council (NERC)); Australian Research Council(Australian Research Council); NERC(UK Research &amp; Innovation (UKRI)Natural Environment Research Council (NERC))</t>
  </si>
  <si>
    <t>K.L.P.'s salary support for this analysis was provided by Woods Hole Oceanographic Institution bridge support funds and NSF grant OCE-0926848. A.C.N.G. was supported by a NERC Advanced Research Fellowship (NE/C517633/1), T.N.H. by a National Oceanography Centre, Southampton PhD studentship, B. M. S. by the Australian Climate Change Science Program and CSIRO Wealth from Ocean National Research Flagship, and S.W. by Australian Research Council grants DE120102927 and CE110001028.</t>
  </si>
  <si>
    <t>10.1002/2013JC008979</t>
  </si>
  <si>
    <t>WOS:000336261200043</t>
  </si>
  <si>
    <t>Motoba, T; Ohtani, S; Kadokura, A; Gjerloev, J</t>
  </si>
  <si>
    <t>Motoba, T.; Ohtani, S.; Kadokura, A.; Gjerloev, J.</t>
  </si>
  <si>
    <t>Interrelationship between preonset auroral and magnetic signatures at a geomagnetically conjugate Iceland-Syowa pair</t>
  </si>
  <si>
    <t>Pi1-2; Pre-onset aurora; Hemispheric similarity; dissimilarity</t>
  </si>
  <si>
    <t>SUBSTORM; PULSATIONS; SYSTEM</t>
  </si>
  <si>
    <t>We present the initiation and development of Pi1-Pi2 band pulsations in concert with spatiotemporal evolution of preonset auroral arc during an isolated auroral substorm reported by Motoba et al. (2012), and their interhemispheric similarities/dissimilarities, based on the colocated optical and magnetic field measurements at a geomagnetically conjugate Iceland-Syowa pair. At least similar to 7min prior to the auroral expansion onset, the first identifiable signature of preonset arc began with a small-scale (similar to 30-50km) azimuthal beading. Interestingly, the early development of the visible arc beading for similar to 3-4min was not accompanied by any ground magnetic perturbation. Then the bead-like forms in the arc evolved into brighter, larger undulations, eventually developing into the poleward expansion. Such a preonset optical sequence was almost identical at both stations. In the transition from the beads into undulations, Pi2 pulsations were first identified clearly, followed by Pi1 pulsations a few minutes later. Whereas the Pi2 onset was coincident with the initiation of progressive increase of the preonset arc luminosity, the Pi1 onset was associated with a subsequent steep increase. The Pi2 wave cycles superimposed on the magnetic negative bay were well correlated with the preonset arc luminosity time series. These results imply the potential linkage between the ground Pi1-Pi2 signatures in the onset region and the preonset auroral arc processes. Although the Pi1-Pi2 features were generally similar between the two hemispheres, there was also some dissimilarity in their temporal behaviors, which could reflect a small but noteworthy interhemispheric asymmetry in the overhead conjugate preonset aurora.</t>
  </si>
  <si>
    <t>[Motoba, T.; Ohtani, S.; Gjerloev, J.] Johns Hopkins Univ, Appl Phys Lab, Johns Hopkins Rd, Laurel, MD 20723 USA; [Kadokura, A.] Natl Inst Polar Res, Tokyo, Japan; [Gjerloev, J.] Univ Bergen, Birkeland Ctr Space Sci, Bergen, Norway</t>
  </si>
  <si>
    <t>Johns Hopkins University; Johns Hopkins University Applied Physics Laboratory; Research Organization of Information &amp; Systems (ROIS); National Institute of Polar Research (NIPR) - Japan; University of Bergen</t>
  </si>
  <si>
    <t>Motoba, T (corresponding author), Johns Hopkins Univ, Appl Phys Lab, Johns Hopkins Rd, Laurel, MD 20723 USA.</t>
  </si>
  <si>
    <t>tetsuo.motoba@gmail.com</t>
  </si>
  <si>
    <t>Ohtani, Shinichi/E-3914-2016; Gjerloev, Jesper/C-2116-2016; Motoba, Tetsuo/S-4554-2017</t>
  </si>
  <si>
    <t>Ohtani, Shinichi/0000-0002-9565-6840; Motoba, Tetsuo/0000-0002-8138-7897</t>
  </si>
  <si>
    <t>NSF [1104338]; Ministry of education, Culture, Sports, Science and Technology of Japan [21403007]; Div Atmospheric &amp; Geospace Sciences; Directorate For Geosciences [1104338] Funding Source: National Science Foundation; Grants-in-Aid for Scientific Research [26247082, 21403007] Funding Source: KAKEN</t>
  </si>
  <si>
    <t>NSF(National Science Foundation (NSF)); Ministry of education, Culture, Sports, Science and Technology of Japan(Ministry of Education, Culture, Sports, Science and Technology, Japan (MEXT)); Div Atmospheric &amp; Geospace Sciences;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</si>
  <si>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Work at JHU/APL was supported by the NSF grant (1104338). T.M. would like to thank T. Sakurai for helpful comments on the observed Pi1-Pi2 activity. The ground-based instrument data at Syowa Station and Iceland were provided by the National Institute of Polar Research in Japan. We acknowledge the members of the Japanese Antarctic Research Expedition supporting the continued operation of the on-site observations at Syowa Station. Icelandic ground-based observations were partially supported by a Grant-in-Aid for Scientific Research B (21403007) funded by the Ministry of education, Culture, Sports, Science and Technology of Japan. Wp index data were obtained from Kyoto University (http://s-cubed.info).</t>
  </si>
  <si>
    <t>10.1002/2013JA019512</t>
  </si>
  <si>
    <t>AD2CP</t>
  </si>
  <si>
    <t>WOS:000333041000010</t>
  </si>
  <si>
    <t>Ha, SY; Joo, HM; Kang, SH; Ahn, IY; Shin, KH</t>
  </si>
  <si>
    <t>Ha, Sun-Yong; Joo, Hyong-Min; Kang, Sung-Ho; Ahn, In-Young; Shin, Kyung-Hoon</t>
  </si>
  <si>
    <t>Effect of ultraviolet irradiation on the production and composition of fatty acids in plankton in a sub-Antarctic environment</t>
  </si>
  <si>
    <t>UV-B radiation; Carbon stable isotope; Fatty acids; Antarctica; Food web</t>
  </si>
  <si>
    <t>UV-B RADIATION; FOOD QUALITY; PHYTOPLANKTON POPULATION; PHOTOSYNTHETIC PRODUCTS; MARINE; GROWTH; SEA; IMPACT; RATES; COMMUNITIES</t>
  </si>
  <si>
    <t>We investigated the effects of ultraviolet-B (UV-B) radiation on the natural phytoplankton assemblage in Marine Cove on King George Island, Antarctica, in December 2005. The amount of newly synthesized phytoplankton polyunsaturated fatty acids (PUFAs) was lower with exposure to full irradiation (PAR+UV-A+UV-B) than without such exposure (exposed instead to PAR+UV-A radiation) in an in situ incubation under the light conditions in two different types of incubation bottles: quartz bottles transmitting all light wavelengths including UV-B and polycarbonate bottles with no UV-B transmission and 20 % reduced PAR compared to the quartz bottle. However, the amount of newly synthesized saturated fatty acids was greater with than without UV-B radiation. Thus, UV-B radiation may have a significant influence on fatty acid synthesis in phytoplankton. In particular, the production of eicosapentaenoic acid [20:5(n-3)] and docosahexaenoic acid [22:6(n-3)] was reduced during incubation under the natural solar radiation including UV-B. To understand the indirect influence of UV-B on herbivores (the secondary producer), we conducted feeding experiments with amphipods fed in situ on the natural phytoplankton assemblage. The amphipods fed on the phytoplankton with the low PUFA values also exhibited a low PUFA accumulation rate, which could negatively affect their growth, development, and reproduction. Consequently, the diminished rate of essential fatty acid synthesis [especially 20:5(n-3) and 22:6(n-3)] in primary producers caused by UV-B exposure could affect the structure and function of the Antarctic marine ecosystem.</t>
  </si>
  <si>
    <t>[Ha, Sun-Yong; Joo, Hyong-Min; Kang, Sung-Ho; Ahn, In-Young] Korea Polar Res Inst, Inchon 406840, South Korea; [Shin, Kyung-Hoon] Hanyang Univ, Dept Marine Sci &amp; Convergent Technol, Ansan 425791, Kyeonggi Do, South Korea</t>
  </si>
  <si>
    <t>Korea Polar Research Institute (KOPRI); Korea Institute of Ocean Science &amp; Technology (KIOST); Hanyang University</t>
  </si>
  <si>
    <t>Shin, KH (corresponding author), Hanyang Univ, Dept Marine Sci &amp; Convergent Technol, 1271 Sa 3 Dong, Ansan 425791, Kyeonggi Do, South Korea.</t>
  </si>
  <si>
    <t>shinkh@hanyang.ac.kr</t>
  </si>
  <si>
    <t>Shin, Kyung-Hoon/AAD-6999-2021</t>
  </si>
  <si>
    <t>Shin, Kyung-Hoon/0000-0002-3169-4274</t>
  </si>
  <si>
    <t>Ministry of Oceans and Fisheries, Korea [PM12020]; Status and Changes of Polar Indicator Species and Coastal/Terrestrial Ecosystems grant [PE08040]; Korea Polar Research Institute (KOPRI) of the Korea Ocean Research and Development Institute (KORDI); Marine Biotechnology Program; Ministry of Land, Transport and Maritime Affairs of the Korean Government</t>
  </si>
  <si>
    <t>Ministry of Oceans and Fisheries, Korea; Status and Changes of Polar Indicator Species and Coastal/Terrestrial Ecosystems grant; Korea Polar Research Institute (KOPRI) of the Korea Ocean Research and Development Institute (KORDI); Marine Biotechnology Program; Ministry of Land, Transport and Maritime Affairs of the Korean Government(Ministry of Land, Transport and Maritime Affairs (MLTM), Republic of Korea)</t>
  </si>
  <si>
    <t>We thank Dr. Y.J. Yoon and Dr. T.J. Choi for providing the intensity of UV-B radiation. This research was a part of the project 'Korea-Polar Ocean in Rapid Transition (KOPRI, PM12020)', funded by the Ministry of Oceans and Fisheries, Korea, and by a Status and Changes of Polar Indicator Species and Coastal/Terrestrial Ecosystems grant (PE08040) funded by the Korea Polar Research Institute (KOPRI) of the Korea Ocean Research and Development Institute (KORDI). This research was supported by a grant from the Marine Biotechnology Program funded by the Ministry of Land, Transport and Maritime Affairs of the Korean Government.</t>
  </si>
  <si>
    <t>10.1007/s10872-013-0207-3</t>
  </si>
  <si>
    <t>WOS:000330352300001</t>
  </si>
  <si>
    <t>Cheon, WG; Park, YG; Toggweiler, JR; Lee, SK</t>
  </si>
  <si>
    <t>Cheon, Woo Geun; Park, Young-Gyu; Toggweiler, J. R.; Lee, Sang-Ki</t>
  </si>
  <si>
    <t>The Relationship of Weddell Polynya and Open-Ocean Deep Convection to the Southern Hemisphere Westerlies</t>
  </si>
  <si>
    <t>Circulation/ Dynamics; Ocean dynamics; Atmosphere-ocean interaction; Ocean circulation</t>
  </si>
  <si>
    <t>ANTARCTIC CIRCUMPOLAR CURRENT; DRAKE PASSAGE; CIRCULATION; MODEL; WATER; TRANSPORT; THERMOHALINE; VARIABILITY; STRATIFICATION; WINDS</t>
  </si>
  <si>
    <t>The Weddell Polynya of the mid-1970s is simulated in an energy balance model (EBM) sea ice-ocean coupled general circulation model (GCM) with an abrupt 20% increase in the intensity of Southern Hemisphere (SH) westerlies. This small upshift of applied wind stress is viewed as a stand in for the stronger zonal winds that developed in the mid-1970s following a long interval of relatively weak zonal winds between 1954 and 1972. Following the strengthening of the westerlies in this model, the cyclonic Weddell gyre intensifies, raising relatively warm Weddell Sea Deep Water to the surface. The raised warm water then melts sea ice or prevents it from forming to produce the Weddell Polynya. Within the polynya, large heat loss to the air causes surface water to become cold and sink to the bottom via open-ocean deep convection. Thus, the underlying layers cool down, the warm water supply to the surface eventually stops, and the polynya cannot be maintained anymore. During the 100-yr-long model simulation, two Weddell Polynya events are observed. The second one occurs a few years after the first one disappears; it is much weaker and persists for less time than the first one because the underlying layer is cooler. Based on these model simulations, the authors hypothesize that the Weddell Polynya and open-ocean deep convection were responses to the stronger SH westerlies that followed a prolonged weak phase of the southern annular mode.</t>
  </si>
  <si>
    <t>[Cheon, Woo Geun] Agcy Def Dev, R&amp;D Inst 1 6, Jinhae, South Korea; [Park, Young-Gyu] Korea Inst Ocean Sci &amp; Technol, Ocean Circulat &amp; Climate Res Div, Ansan, South Korea; [Toggweiler, J. R.] NOAA, Geophys Fluid Dynam Lab, Princeton, NJ USA; [Lee, Sang-Ki] Univ Miami, Cooperat Inst Marine &amp; Atmospher Studies, Miami, FL USA; [Lee, Sang-Ki] NOAA, Atlantic Oceanog &amp; Meteorol Lab, Miami, FL 33149 USA</t>
  </si>
  <si>
    <t>Agency of Defense Development (ADD), Republic of Korea; Korea Institute of Ocean Science &amp; Technology (KIOST); National Oceanic Atmospheric Admin (NOAA) - USA; University of Miami; National Oceanic Atmospheric Admin (NOAA) - USA; Atlantic Oceanographic &amp; Meteorological Laboratory (AOML)</t>
  </si>
  <si>
    <t>Park, YG (corresponding author), Korea Inst Ocean Sci &amp; Technol, Ocean Circulat &amp; Climate Res Div, 787 Hean Ro St, Ansan, South Korea.</t>
  </si>
  <si>
    <t>ypark@kordi.re.kr</t>
  </si>
  <si>
    <t>Lee, Sang-Ki/A-5703-2011; Toggweiler, J. R./O-5883-2019</t>
  </si>
  <si>
    <t>Lee, Sang-Ki/0000-0002-4047-3545; Toggweiler, J. R./0000-0001-6345-5756</t>
  </si>
  <si>
    <t>National Research Foundation of Korea; Korean Government (MEST) KIOST Project [NRF-2009-C1AAA001-2009-0093042, PE 98991]; [311776-912221201]</t>
  </si>
  <si>
    <t>National Research Foundation of Korea(National Research Foundation of Korea); Korean Government (MEST) KIOST Project(Ministry of Education, Science &amp; Technology (MEST), Republic of Korea);</t>
  </si>
  <si>
    <t>The authors thank the editor and two anonymous reviewers for their critical and constructive comments and suggestions that helped us greatly. This research has been sponsored by the Project 311776-912221201 administrated by the Korean Agency for Defense Development and by the National Research Foundation of Korea Grant funded by the Korean Government (MEST) (NRF-2009-C1AAA001-2009-0093042) KIOST Project PE 98991.</t>
  </si>
  <si>
    <t>10.1175/JPO-D-13-0112.1</t>
  </si>
  <si>
    <t>WOS:000331024500017</t>
  </si>
  <si>
    <t>Holland, PR; Hewitt, RE; Scase, MM</t>
  </si>
  <si>
    <t>Holland, Paul R.; Hewitt, Richard E.; Scase, Matthew M.</t>
  </si>
  <si>
    <t>Wave Breaking in Dense Plumes</t>
  </si>
  <si>
    <t>Tides; Density currents; Bottom currents/bottom water; Atm/Ocean Structure/ Phenomena; Wave breaking; Bottom currents; Density currents</t>
  </si>
  <si>
    <t>BOTTOM; WATER</t>
  </si>
  <si>
    <t>Sinking dense plumes are important in many oceanographic settings, notably the polar formation of deep and bottom waters. The dense water sources feeding such plumes are commonly affected by tidal modulation, leading to plume variability on short time scales. In a simple unsteady theory of one-dimensional plumes (based on conservation equations for volume, momentum, and buoyancy), this plume variability is manifested as waves that travel down the resulting current. Using numerical techniques applied to the hyperbolic conservation equations, this study investigates the novel concept that these waves may break as they travel down the plumes, triggering intense local mixing between the dense fluid and surrounding ocean. The results demonstrate that the waves break at geophysically relevant distances from the plume source. The location of wave breaking is very sensitive to plume drag from the seabed, the properties of the dense source, and the amplitude and period of the source modulation. To the extent that the simple model represents the real world, these results suggest that wave breaking originating from the tidal modulation of dense plumes could lead to a strong and previously unexplored source of local deep-ocean mixing.</t>
  </si>
  <si>
    <t>[Holland, Paul R.] British Antarctic Survey, Cambridge CB3 0ET, England; [Hewitt, Richard E.] Univ Manchester, Sch Math, Manchester, Lancs, England; [Scase, Matthew M.] Univ Nottingham, Sch Math Sci, Nottingham NG7 2RD, England</t>
  </si>
  <si>
    <t>UK Research &amp; Innovation (UKRI); Natural Environment Research Council (NERC); NERC British Antarctic Survey; University of Manchester; University of Nottingham</t>
  </si>
  <si>
    <t>Holland, PR (corresponding author), British Antarctic Survey, Madingley Rd, Cambridge CB3 0ET, England.</t>
  </si>
  <si>
    <t>p.holland@bas.ac.uk</t>
  </si>
  <si>
    <t>Holland, Paul R/G-2796-2012; Hewitt, Richard E./V-9809-2017</t>
  </si>
  <si>
    <t>Hewitt, Richard E./0000-0003-3056-1346</t>
  </si>
  <si>
    <t>Natural Environment Research Council [bas0100028] Funding Source: researchfish; NERC [bas0100028] Funding Source: UKRI</t>
  </si>
  <si>
    <t>10.1175/JPO-D-13-0110.1</t>
  </si>
  <si>
    <t>WOS:000331024500023</t>
  </si>
  <si>
    <t>Wang, YB; Liu, FM; Liang, Q; He, BJ; Miao, JL</t>
  </si>
  <si>
    <t>Wang Yi-bin; Liu Fang-ming; Liang Qiang; He Bi-juan; Miao Jin-lai</t>
  </si>
  <si>
    <t>Low-temperature Degradation Mechanism Analysis of Petroleum Hydrocarbon-degrading Antarctic Psychrophilic Strains</t>
  </si>
  <si>
    <t>JOURNAL OF PURE AND APPLIED MICROBIOLOGY</t>
  </si>
  <si>
    <t>Laser tweezers Raman spectroscopy (LTRS) can help with observing and studying individual cells or organelles in a natural state for a relatively long period. In this study, LTRS and GC-MS were used to report physiological metabolism of active psychrophilic petroleum hydrocarbon-degrading strains isolated from the Antarctic Ocean. Based on GC-MS analysis and analysis of the Raman spectrum of degradation productions, the results showed Planococcus sp.NJ41 and Shewanella sp.NJ49 degraded diesel, n-hexadecane, polycyclic aromatic hydrocarbons, and other petroleum hydrocarbons with high efficiency at low temperature (0 degrees C -10 degrees C). GC-MS showed the long straight-chain hydrocarbons were decomposed into short straight-chain hydrocarbons. The Raman spectrum showed there were more proteins and carbohydrate than lipids were produced during the Planococcus sp.NJ41 and Shewanella sp.NJ49 growth and degradation. Finally, the Raman intensity at 1512 cm(-1) to 1514cm(-1) represented beta-carotene that was involved in the regulation of membrane fluidity in Antarctic bacteria, allowing it to adapt to the extreme low-temperature environment of the Antarctic.</t>
  </si>
  <si>
    <t>Miao, JL (corresponding author), SOA, Inst Oceanog 1, Qingdao, Peoples R China.</t>
  </si>
  <si>
    <t>miaojinlai@fio.org.cn</t>
  </si>
  <si>
    <t>xin, liang/JFS-5770-2023</t>
  </si>
  <si>
    <t>DR M N KHAN</t>
  </si>
  <si>
    <t>BHOPAL</t>
  </si>
  <si>
    <t>24, NEW MAULANA AZAD COLONY, NEAR ST JOSEPH GIRLS CONVENT SCH, IGDAH HILLS, BHOPAL, MADHYA PRADESH 462 001, INDIA</t>
  </si>
  <si>
    <t>0973-7510</t>
  </si>
  <si>
    <t>2581-690X</t>
  </si>
  <si>
    <t>J PURE APPL MICROBIO</t>
  </si>
  <si>
    <t>J. Pure Appl. Microbiol.</t>
  </si>
  <si>
    <t>AI4XI</t>
  </si>
  <si>
    <t>WOS:000336869500006</t>
  </si>
  <si>
    <t>Brown, G; Raymond, CM</t>
  </si>
  <si>
    <t>Brown, Greg; Raymond, Christopher M.</t>
  </si>
  <si>
    <t>Methods for identifying land use conflict potential using participatory mapping</t>
  </si>
  <si>
    <t>LANDSCAPE AND URBAN PLANNING</t>
  </si>
  <si>
    <t>Conflict mapping; Land use planning; Public participation GIS; Landscape values; Development; PPGIS</t>
  </si>
  <si>
    <t>GEOGRAPHIC INFORMATION-SYSTEMS; PLACE ATTACHMENT; VALUES; GIS; CONSERVATION; RECREATION; FRAMEWORK; POLICIES; ENERGY; NIMBY</t>
  </si>
  <si>
    <t>The number of public participation GIS (PPGIS) applications to inform local and regional land, use planning has increased significantly over the last decade. An important rationale for undertaking, participatory mapping is to anticipate and identify areas of potential land use conflict. To date, there, has not been a systematic evaluation of methods for identifying land use conflict potential with PPGIS data. This study uses data from a regional planning study in Australia to describe and evaluate alternative methods for identifying land use conflict potential. A simple, two dimensional model of land use conflict is presented and operationalized with spatial data to provide a heuristic device for regional land-use planning practitioners. Land use conflict is posited to derive from differences in landscape values and land use preferences that can be formulated into different conflict indices and presented in maps. We demonstrate application of the conflict mapping model using residential and industrial development in the region as examples. The spatial distribution of landscape values, values compatibility scoring, land use preference differences, and a combined values and preferences scoring index are all viable methods for identifying and mapping the potential for land use conflict. The preferred method for assessing the potential for land use conflict is one that integrates two dimensions: land use preference directionality (supporting or opposing) and the importance or intensity of landscape values. We discuss the strengths and limitations of each conflict mapping method. (C) 2013 Elsevier B.V. All rights reserved.</t>
  </si>
  <si>
    <t>[Brown, Greg] Univ Queensland, Sch Geog Planning &amp; Environm Management, Brisbane, Qld 4072, Australia; [Brown, Greg; Raymond, Christopher M.] Univ S Australia, Adelaide, SA 5001, Australia; [Raymond, Christopher M.] Enviroconnect, Sydney, NSW, Australia</t>
  </si>
  <si>
    <t>University of Queensland; University of South Australia</t>
  </si>
  <si>
    <t>Brown, G (corresponding author), Univ Queensland, Sch Geog Planning &amp; Environm Management, Brisbane, Qld 4072, Australia.</t>
  </si>
  <si>
    <t>greg.brown@uq.edu.au; chris.raymond@enviroconnect.com.au</t>
  </si>
  <si>
    <t>Brown, Greg/AAA-6138-2019; Raymond, Christopher M./ABP-6324-2022</t>
  </si>
  <si>
    <t>Brown, Greg/0000-0003-3283-4619; Raymond, Christopher M./0000-0002-7165-885X</t>
  </si>
  <si>
    <t>Australian Government</t>
  </si>
  <si>
    <t>Australian Government(Australian Government)</t>
  </si>
  <si>
    <t>This research is an output from the Landscapes and Policy Research Hub. The hub is supported through funding from the Australian Government's National Environmental Research Program and involves researchers from the University of Tasmania (UTAS), The Australian National University (ANU), Murdoch University, the Antarctic Climate and Ecosystems Cooperative Research Centre (ACE CRC), Griffith University and Charles Sturt University (CSU). We would like to thank Dr Mat Wolnicki (Department of the Environment), Prof Allan Curtis (CSU), Royce Sample (CSU) and Simon McDonald (CSU) for their valuable support during the preparation of this manuscript.</t>
  </si>
  <si>
    <t>0169-2046</t>
  </si>
  <si>
    <t>1872-6062</t>
  </si>
  <si>
    <t>LANDSCAPE URBAN PLAN</t>
  </si>
  <si>
    <t>Landsc. Urban Plan.</t>
  </si>
  <si>
    <t>10.1016/j.landurbplan.2013.11.007</t>
  </si>
  <si>
    <t>Ecology; Environmental Studies; Geography; Geography, Physical; Regional &amp; Urban Planning; Urban Studies</t>
  </si>
  <si>
    <t>Environmental Sciences &amp; Ecology; Geography; Physical Geography; Public Administration; Urban Studies</t>
  </si>
  <si>
    <t>AA3VN</t>
  </si>
  <si>
    <t>WOS:000331023100018</t>
  </si>
  <si>
    <t>Gales, JA; Leat, PT; Larter, RD; Kuhn, G; Hillenbrand, CD; Graham, AGC; Mitchell, NC; Tate, AJ; Buys, GB; Jokat, W</t>
  </si>
  <si>
    <t>Gales, J. A.; Leat, P. T.; Larter, R. D.; Kuhn, G.; Hillenbrand, C-D; Graham, A. G. C.; Mitchell, N. C.; Tate, A. J.; Buys, G. B.; Jokat, W.</t>
  </si>
  <si>
    <t>Large-scale submarine landslides, channel and gully systems on the southern Weddell Sea margin, Antarctica</t>
  </si>
  <si>
    <t>slope processes; Antarctica; continental slope; slide; mass wasting; trough mouth fan</t>
  </si>
  <si>
    <t>TROUGH-MOUTH FAN; CONTINENTAL-SLOPE; ICE-SHEET; SEDIMENTARY PROCESSES; GLACIOMARINE SEDIMENTS; WEST ANTARCTICA; PACIFIC MARGIN; BOTTOM WATER; SLIDE; FAILURE</t>
  </si>
  <si>
    <t>New multibeam bathymetric data from the southeastern Weddell Sea show significant differences in surface morphology of the outer continental shelf and slope between two adjacent cross-shelf troughs. These are the Filchner Trough and a smaller trough to the east which we refer to as the 'Halley Trough'. Multibeam bathymetric data, acoustic sub-bottom profiler and seismic data show major differences in the incidence and morphologies of submarine gullies, channel systems, submarine slides and iceberg scours, and in sediment deposition. These large-scale differences suggest significant variation in slope and sedimentary processes and in the environmental setting between the two troughs, leading to much greater deposition at the mouth of the Filchner Trough. Bedforms, including a terminal moraine and scalloped embayments on the outer shelf of the Halley Trough, provide insight into the relative timing and extent of past ice-sheet grounding and point to grounded ice near to the shelf edge during the Late Quaternary. The new data reveal two large-scale submarine slides on the upper slope of the eastern Crary Fan, a trough mouth fan offshore from the Filchner Trough. Both slides head at the shelf edge (similar to 500 m water depth), with the largest slide measuring 20 km wide and with an incision depth of 60 m. Multibeam and seismic data show elongate slabs on the seafloor surface of the mid-slope. The lack of a discernible sedimentary cover suggests that they were generated after the Last Glacial Maximum (LGM). This is unusual because post-LGM submarine slides are very rare on the Antarctic continental margin, and to our knowledge, no other post-LGM slides have been documented on an Antarctic trough mouth fan. Because the slides occur on a part of the continental slope where the deposition of glacial debris was greatest, we speculate that weaker, unconsolidated sedimentary layers within the subsurface are important for slide initiation here. (C) 2013 Elsevier B.V. All rights reserved.</t>
  </si>
  <si>
    <t>[Gales, J. A.] British Geol Survey, Edinburgh EH9 3LA, Midlothian, Scotland; [Leat, P. T.; Larter, R. D.; Hillenbrand, C-D; Graham, A. G. C.; Tate, A. J.; Buys, G. B.] British Antarctic Survey, Cambridge CB3 0ET, England; [Leat, P. T.] Univ Leicester, Dept Geol, Leicester LE1 7RH, Leics, England; [Kuhn, G.; Jokat, W.] Alfred Wegener Inst Polar &amp; Marine Res, D-27568 Bremerhaven, Germany; [Mitchell, N. C.] Univ Manchester, Manchester M13 9PL, Lancs, England</t>
  </si>
  <si>
    <t>UK Research &amp; Innovation (UKRI); Natural Environment Research Council (NERC); NERC British Geological Survey; UK Research &amp; Innovation (UKRI); Natural Environment Research Council (NERC); NERC British Antarctic Survey; University of Leicester; Helmholtz Association; Alfred Wegener Institute, Helmholtz Centre for Polar &amp; Marine Research; University of Manchester</t>
  </si>
  <si>
    <t>Gales, JA (corresponding author), British Geol Survey, Murchison House,West Mains Rd, Edinburgh EH9 3LA, Midlothian, Scotland.</t>
  </si>
  <si>
    <t>jgales@bgs.ac.uk</t>
  </si>
  <si>
    <t>Mitchell, Neil/B-9807-2008</t>
  </si>
  <si>
    <t>Gales, Jenny/0000-0003-4402-5800; Jokat, Wilfried/0000-0002-7793-5854; Mitchell, Neil/0000-0002-6483-2450; Graham, Alastair/0000-0002-2880-2908; Kuhn, Gerhard/0000-0001-6069-7485</t>
  </si>
  <si>
    <t>Natural Environmental Research Council (NERC); British Antarctic Survey under the NERC Antarctic Funding Initiative [CGS-64]; NERC studentship [NE/G523539/1]; NERC [bas0100027, bas010011, bgs05015] Funding Source: UKRI; Natural Environment Research Council [bgs05015, bas0100027, bas010011] Funding Source: researchfish</t>
  </si>
  <si>
    <t>Natural Environmental Research Council (NERC)(UK Research &amp; Innovation (UKRI)Natural Environment Research Council (NERC)); British Antarctic Survey under the NERC Antarctic Funding Initiative; NERC studentship(UK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</si>
  <si>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Programme. It was funded by the Natural Environmental Research Council (NERC) with logistical funding provided by the American Association of Petroleum Geologist Grant-in-Aid award and by the British Antarctic Survey under the NERC Antarctic Funding Initiative (CGS-64). The first author was funded by NERC studentship NE/G523539/1.</t>
  </si>
  <si>
    <t>10.1016/j.margeo.2013.12.002</t>
  </si>
  <si>
    <t>Green Submitted, Green Accepted</t>
  </si>
  <si>
    <t>WOS:000331681400008</t>
  </si>
  <si>
    <t>Romoli, R; Papaleo, MC; De Pascale, D; Tutino, ML; Michaud, L; LoGiudice, A; Fani, R; Bartolucci, G</t>
  </si>
  <si>
    <t>Romoli, R.; Papaleo, M. C.; De Pascale, D.; Tutino, M. L.; Michaud, L.; LoGiudice, A.; Fani, R.; Bartolucci, G.</t>
  </si>
  <si>
    <t>GC-MS volatolomic approach to study the antimicrobial activity of the antarctic bacterium Pseudoalteromonas sp TB41</t>
  </si>
  <si>
    <t>METABOLOMICS</t>
  </si>
  <si>
    <t>Chemical communication; Sample preparation; Statistical analysis; Microbiological techniques; Genetic disease; Cystic fibrosis</t>
  </si>
  <si>
    <t>BURKHOLDERIA-CEPACIA COMPLEX; SOLID-PHASE MICROEXTRACTION; CANCER CLASSIFICATION; VOLATILE METABOLITES; GENE SELECTION; IDENTIFICATION; EXTRACTION; PROFILE</t>
  </si>
  <si>
    <t>Many bacteria produce a wide range of volatile info-chemicals compounds (mVOCs) that constitute an important regulatory factor in the interrelationships among different organisms in microbial ecosystems. It has been shown that Antarctic bacteria isolated from three different sponge species, by producing mVOCs, are able to inhibit specifically the growth of Burkholderia cepacia complex (Bcc) strains (i.e. opportunistic pathogens of cystic fibrosis patients) as demonstrated by cross-streaking inhibition assays. This study reports a metabolomics approach to investigate the volatile profile of both the Antarctic sponge-associated Pseudoalteromonas sp. TB41 (P-sp-TB41) and Burkholderia cenocepacia strain LMG16654 (Bc-LMG16654) under aerobic conditions. Solid phase micro extraction (SPME) in head space of biological samples allowed an in vivo sampling of mVOCs with minimal specimen disturbance. The SPME fiber was termically desorbed in the injection port of gas chromatography-mass spectrometer (GC-MS) system setted in EI scan mode. The raw data were processed using both an automated mass spectra deconvolution and identification system and a metabolomic approach, which allowed a selection of 30 compounds presumably responsible for the inhibition of Bc-LMG16654 growth. The results obtained from samples prepared under cross-streaking conditions also suggest that the presence of Bc-LMG16654 cells neither interferes with the production of mVOCs nor induces the synthesis of different mVOCs. The employing of mass spectrometry played a key role in tuning the experimental system and in the evaluation of results. The use of this approach to study the interaction, in aerobic condition, among other Antarctic bacteria and Bcc and the possibility to extend this approach to other pathogen-antagonist relationship, is currently in progress.</t>
  </si>
  <si>
    <t>[Romoli, R.] Univ Florence, Mass Spectrometry Ctr CISM, I-50139 Florence, Italy; [Papaleo, M. C.; Fani, R.] Univ Florence, Dept Evolutionary Biol, Lab Microbial &amp; Mol Evolut, I-50125 Florence, Italy; [De Pascale, D.] CNR, Inst Prot Biochem, Naples, Italy; [Tutino, M. L.] Univ Naples Federico II, Dept Chem Sci, Naples, Italy; [Michaud, L.; LoGiudice, A.] Univ Messina, Dept Biol &amp; Environm Sci, Messina, Italy; [Bartolucci, G.] Univ Florence, Dept Neurosci Psychol Drug Res &amp; Child Hlth, Sect Pharmaceut &amp; Nutraceut Sci, I-50019 Sesto Fiorentino, Italy</t>
  </si>
  <si>
    <t>University of Florence; University of Florence; Consiglio Nazionale delle Ricerche (CNR); Istituto di Biochimica delle Proteine (IBP-CNR); University of Naples Federico II; University of Messina; University of Florence</t>
  </si>
  <si>
    <t>Romoli, R (corresponding author), Univ Florence, Mass Spectrometry Ctr CISM, Viale G Pieraccini 6, I-50139 Florence, Italy.</t>
  </si>
  <si>
    <t>riccardo.romoli@unifi.it</t>
  </si>
  <si>
    <t>Bartolucci, Gianluca/J-4545-2019; TUTINO, MARIA LUISA/L-1834-2013</t>
  </si>
  <si>
    <t>Bartolucci, Gianluca/0000-0002-5631-8769; Tutino, Maria Luisa/0000-0002-4978-6839</t>
  </si>
  <si>
    <t>Ente Cassa di Risparmio di Firenze [2008.1103]; Italian Cystic Fibrosis Research Foundation [12/2011]</t>
  </si>
  <si>
    <t>Ente Cassa di Risparmio di Firenze(Fondazione Cassa Risparmio Firenze); Italian Cystic Fibrosis Research Foundation(Ministry of Health, ItalyItalian Cystic Fibrosis Research Foundation)</t>
  </si>
  <si>
    <t>This work was supported by Ente Cassa di Risparmio di Firenze (Grant # 2008.1103) and Italian Cystic Fibrosis Research Foundation (Grant #12/2011). A very special thanks to Prof. Luca Calamai for his support.</t>
  </si>
  <si>
    <t>1573-3882</t>
  </si>
  <si>
    <t>1573-3890</t>
  </si>
  <si>
    <t>Metabolomics</t>
  </si>
  <si>
    <t>10.1007/s11306-013-0549-2</t>
  </si>
  <si>
    <t>Endocrinology &amp; Metabolism</t>
  </si>
  <si>
    <t>302RK</t>
  </si>
  <si>
    <t>WOS:000330622400006</t>
  </si>
  <si>
    <t>Favier, L; Durand, G; Cornford, SL; Gudmundsson, GH; Gagliardini, O; Gillet-Chaulet, F; Zwinger, T; Payne, AJ; Le Brocq, AM</t>
  </si>
  <si>
    <t>Favier, L.; Durand, G.; Cornford, S. L.; Gudmundsson, G. H.; Gagliardini, O.; Gillet-Chaulet, F.; Zwinger, T.; Payne, A. J.; Le Brocq, A. M.</t>
  </si>
  <si>
    <t>Retreat of Pine Island Glacier controlled by marine ice-sheet instability</t>
  </si>
  <si>
    <t>WEST ANTARCTICA; FLOW; BENEATH; MODEL</t>
  </si>
  <si>
    <t>Over the past 40 years Pine Island Glacier in West Antarctica has thinned at an accelerating rate(1-3), so that at present it is the largest single contributor to sea-level rise in Antarctica(4). In recent years, the grounding line, which separates the grounded ice sheet from the floating ice shelf, has retreated by tens of kilometres(5). At present, the grounding line is crossing a retrograde bedrock slope that lies well below sea level, raising the possibility that the glacier is susceptible to the marine ice-sheet instability mechanism(6-8). Here, using three state-of-the-art ice-flow models(9-11), we show that Pine Island Glacier's grounding line is probably engaged in an unstable 40 km retreat. The associated mass loss increases substantially over the course of our simulations from the average value of 20 Gt yr(-1) observed for the 1992-2011 period(4), up to and above 100 Gt yr(-1), equivalent to 3.5-10mm eustatic sea-level rise over the following 20 years. Mass loss remains elevated from then on, ranging from 60 to 120 Gt yr(-1).</t>
  </si>
  <si>
    <t>[Favier, L.; Durand, G.; Gagliardini, O.; Gillet-Chaulet, F.] CNRS, LGGE, F-38041 Grenoble, France; [Favier, L.; Durand, G.; Gagliardini, O.; Gillet-Chaulet, F.] Univ Grenoble Alpes, LGGE, F-38041 Grenoble, France; [Cornford, S. L.; Payne, A. J.] Univ Bristol, Sch Geog Sci, Bristol BS8 1SS, Avon, England; [Gudmundsson, G. H.] British Antarctic Survey, NERC, Cambridge CB3 0ET, England; [Gudmundsson, G. H.] Chinese Acad Sci, CAREERI, Lanzhou 730000, Peoples R China; [Gagliardini, O.] Inst Univ France, F-75005 Paris, France; [Zwinger, T.] CSC IT Ctr Sci Ltd, FIN-02101 Espoo, Finland; [Le Brocq, A. M.] Univ Exeter, Coll Life &amp; Environm Sci, Exeter EX4 4RJ, Devon, England</t>
  </si>
  <si>
    <t>Communaute Universite Grenoble Alpes; Universite Grenoble Alpes (UGA); Centre National de la Recherche Scientifique (CNRS); Communaute Universite Grenoble Alpes; Universite Grenoble Alpes (UGA); University of Bristol; UK Research &amp; Innovation (UKRI); Natural Environment Research Council (NERC); NERC British Antarctic Survey; Chinese Academy of Sciences; Cold &amp; Arid Regions Environmental &amp; Engineering Research Institute, CAS; Institut Universitaire de France; Finnish IT center for science; University of Exeter</t>
  </si>
  <si>
    <t>Favier, L (corresponding author), CNRS, LGGE, F-38041 Grenoble, France.</t>
  </si>
  <si>
    <t>durand@lgge.obs.ujf-grenoble.fr</t>
  </si>
  <si>
    <t>Gagliardini, Olivier/GQQ-1222-2022; Gudmundsson, Gudmundur Hilmar/AAU-5987-2020; Gudmundsson, Gudmundur Hilmar/F-6499-2012; payne, antony/A-8916-2008; Zwinger, Thomas/H-5163-2018</t>
  </si>
  <si>
    <t>Gagliardini, Olivier/0000-0001-9162-3518; Gudmundsson, Gudmundur Hilmar/0000-0003-4236-5369; Gudmundsson, Gudmundur Hilmar/0000-0003-4236-5369; payne, antony/0000-0001-8825-8425; Cornford, Stephen/0000-0002-2461-1645; Durand, Gael/0000-0001-8979-2355; Zwinger, Thomas/0000-0003-3360-4401; favier, lionel/0000-0002-5392-3031; Cornford, Stephen/0000-0003-1844-274X</t>
  </si>
  <si>
    <t>GENCI-CINES [2012016066]; US Department of Energy; UK Natural Environment Research Council; ice2sea program, European Union [226375]; NERC [NE/H02333X/1]; NERC [NE/E006256/1, NE/H02333X/1, bas0100027] Funding Source: UKRI; Natural Environment Research Council [NE/E006256/1, bas0100027, NE/H02333X/1] Funding Source: researchfish</t>
  </si>
  <si>
    <t>GENCI-CINES; US Department of Energy(United States Department of Energy (DOE)); UK Natural Environment Research Council(UK Research &amp; Innovation (UKRI)Natural Environment Research Council (NERC)); ice2sea program, European Union(European Union (EU)); NERC(UK Research &amp; Innovation (UKRI)Natural Environment Research Council (NERC)); NERC(UK Research &amp; Innovation (UKRI)Natural Environment Research Council (NERC)); Natural Environment Research Council(UK Research &amp; Innovation (UKRI)Natural Environment Research Council (NERC))</t>
  </si>
  <si>
    <t>We are grateful to T. Flament for observations of surface elevation change, A. Shepherd and N. Gourmelen for recent location of the grounding line and P. Dutrieux for discussions on sub-ice-shelf melting. Elmer/Ice computations were carried out using HPC resources from GENCI-CINES (grant/2012016066/) and from the Service Commun de Calcul Intensif de l'Observatoire de Grenoble (SCCI). BISICLES calculations were carried out on the University of Bristol's Blue Crystal Phase 2 supercomputer and the code is jointly developed with D. F. Martin at Lawrence Berkeley National Laboratory, California, USA, with financial support provided by the US Department of Energy and the UK Natural Environment Research Council. This work was supported by financial support from the ice2sea program from the European Union 7th Framework Programme, grant number 226375, ice2sea contribution number 157 and by NERC grant number NE/H02333X/1.</t>
  </si>
  <si>
    <t>10.1038/NCLIMATE2094</t>
  </si>
  <si>
    <t>AE0PD</t>
  </si>
  <si>
    <t>WOS:000333667300015</t>
  </si>
  <si>
    <t>McCave, IN; Crowhurst, SJ; Kuhn, G; Hillenbrand, CD; Meredith, MP</t>
  </si>
  <si>
    <t>McCave, I. N.; Crowhurst, S. J.; Kuhn, G.; Hillenbrand, C-D.; Meredith, M. P.</t>
  </si>
  <si>
    <t>Minimal change in Antarctic Circumpolar Current flow speed between the last glacial and Holocene</t>
  </si>
  <si>
    <t>SOUTHERN-OCEAN; OVERTURNING CIRCULATION; ATMOSPHERIC CO2; SIZE</t>
  </si>
  <si>
    <t>The Antarctic Circumpolar Current is key to the mixing and ventilation of the world's oceans(1-5). This current flows from west to east between about 45 degrees and 70 degrees S (refs 1-3) connecting the Atlantic, Pacific and Indian oceans, and is driven by westerly winds and buoyancy forcing. High levels of productivity in the current regulate atmospheric CO2 concentrations(6). Reconstructions of the current during the last glacial period suggest that flow speeds were faster(7) or similar(8) to present, and it is uncertain whether the strength and position of the westerly winds changed(9-11). Here we reconstruct Antarctic Circumpolar Current bottom speeds through the constricting Drake Passage and Scotia Sea during the Last Glacial Maximum and Holocene based on the mean grain size of sortable silt from a suite of sediment cores. We find essentially no change in bottom flow speeds through the region, and, given that the momentum imparted by winds, and modulated by sea-ice cover, is balanced by the interaction of these flows with the seabed, this argues against substantial changes in wind stress. However, glacial flow speeds in the sea-ice zone(12) south of 56 degrees S were significantly slower than present, whereas flow in the north was faster, but not significantly so. We suggest that slower flow over the rough topography south of 56 degrees S may have reduced diapycnal mixing in this region during the last glacial period, possibly reducing the diapycnal contribution to the Southern Ocean overturning circulation.</t>
  </si>
  <si>
    <t>[McCave, I. N.; Crowhurst, S. J.] Univ Cambridge, Dept Earth Sci, Godwin Lab Palaeoclimate Res, Cambridge CB2 3EQ, England; [Kuhn, G.] Helmholtz Zentrum Polar &amp; Meeresforsch, Alfred Wegener Inst, D-27568 Bremerhaven, Germany; [Hillenbrand, C-D.; Meredith, M. P.] British Antarctic Survey, Cambridge CB3 0ET, England; [Meredith, M. P.] Scottish Assoc Marine Sci, Oban PA37 1QA, Argyll, Scotland</t>
  </si>
  <si>
    <t>University of Cambridge; Helmholtz Association; Alfred Wegener Institute, Helmholtz Centre for Polar &amp; Marine Research; UK Research &amp; Innovation (UKRI); Natural Environment Research Council (NERC); NERC British Antarctic Survey; UHI Millennium Institute</t>
  </si>
  <si>
    <t>McCave, IN (corresponding author), Univ Cambridge, Dept Earth Sci, Godwin Lab Palaeoclimate Res, Downing St, Cambridge CB2 3EQ, England.</t>
  </si>
  <si>
    <t>mccave@esc.cam.ac.uk</t>
  </si>
  <si>
    <t>McCave, I. Nick/O-3992-2018; McCave, Nick N/G-7323-2016</t>
  </si>
  <si>
    <t>McCave, I. Nick/0000-0002-4702-5489; McCave, Nick N/0000-0002-4702-5489; Kuhn, Gerhard/0000-0001-6069-7485; Meredith, Michael/0000-0002-7342-7756</t>
  </si>
  <si>
    <t>Leverhulme Foundation; NERC [bas0100027, bas0100028] Funding Source: UKRI; Natural Environment Research Council [bas0100028, bas0100027] Funding Source: researchfish</t>
  </si>
  <si>
    <t>Leverhulme Foundation(Leverhulme Trust); NERC(UK Research &amp; Innovation (UKRI)Natural Environment Research Council (NERC)); Natural Environment Research Council(UK Research &amp; Innovation (UKRI)Natural Environment Research Council (NERC))</t>
  </si>
  <si>
    <t>This work was financially supported by the award of an Emeritus Fellowship to I.N.M. by the Leverhulme Foundation. We are grateful to R. Pugh for his Coulter counter measurements on core PC287 and C. Pudsey for providing some of the magnetic susceptibility data on the BAS cores. We are grateful for discussions with A. Watson, H. Bryden, A. de Boer and A. Naveira-Garabato.</t>
  </si>
  <si>
    <t>10.1038/NGEO2037</t>
  </si>
  <si>
    <t>AA5LP</t>
  </si>
  <si>
    <t>WOS:000331140800015</t>
  </si>
  <si>
    <t>Aartsen, MG; Abbasi, R; Abdou, Y; Ackermann, M; Adams, J; Aguilar, JA; Ahlers, M; Altmann, D; Auffenberg, J; Bai, X; Baker, M; Barwick, SW; Baum, V; Bay, R; Beatty, JJ; Bechet, S; Tjus, JB; Becker, KH; Benabderrahmane, ML; BenZvi, S; Berghaus, P; Berley, D; Bernardini, E; Bernhard, A; Besson, DZ; Binder, G; Bindig, D; Bissok, M; Blaufuss, E; Blumenthal, J; Boersma, DJ; Bohaichuk, S; Bohm, C; Bose, D; Böser, S; Botner, O; Brayeur, L; Bretz, HP; Brown, AM; Bruijn, R; Brunner, J; Carson, M; Casey, J; Casier, M; Chirkin, D; Christov, A; Christy, B; Clark, K; Clevermann, F; Coenders, S; Cohen, S; Cowen, DF; Silva, AHC; Danninger, M; Daughhetee, J; Davis, JC; Day, M; De Clercq, C; De Ridder, S; Desiati, P; de Vries, KD; de With, M; DeYoung, T; Díaz-Vélez, JC; Dunkman, M; Eagan, R; Eberhardt, B; Eisch, J; Euler, S; Evenson, PA; Fadiran, O; Fazely, AR; Fedynitch, A; Feintzeig, J; Feusels, T; Filimonov, K; Finley, C; Fischer-Wasels, T; Flis, S; Franckowiak, A; Frantzen, K; Fuchs, T; Gaisser, TK; Gallagher, J; Gerhardt, L; Gladstone, L; Glüsenkamp, T; Goldschmidt, A; Golup, G; Gonzalez, JG; Goodman, JA; Góra, D; Grandmont, DT; Grant, D; Gross, A; Ha, C; Ismail, AH; Hallen, P; Hallgren, A; Halzen, F; Hanson, K; Heereman, D; Heinen, D; Helbing, K; Hellauer, R; Hickford, S; Hill, GC; Hoffman, KD; Hoffmann, R; Homeier, A; Hoshina, K; Huelsnitz, W; Hulth, PO; Hultqvist, K; Hussain, S; Ishihara, A; Jacobi, E; Jacobsen, J; Jagielski, K; Japaridze, GS; Jero, K; Jlelati, O; Kaminsky, B; Kappes, A; Karg, T; Karle, A; Kelley, JL; Kiryluk, J; Kläs, J; Klein, SR; Köhne, JH; Kohnen, G; Kolanoski, H; Köpke, L; Kopper, C; Kopper, S; Koskinen, DJ; Kowalski, M; Krasberg, M; Krings, K; Kroll, G; Kunnen, J; Kurahashi, N; Kuwabara, T; Labare, M; Landsman, H; Larson, MJ; Lesiak-Bzdak, M; Leuermann, M; Leute, J; Lünemann, J; Macías, O; Madsen, J; Maggi, G; Maruyama, R; Mase, K; Matis, HS; McNally, F; Meagher, K; Merck, M; Meures, T; Miarecki, S; Middell, E; Milke, N; Miller, J; Mohrmann, L; Montaruli, T; Morse, R; Nahnhauer, R; Naumann, U; Niederhausen, H; Nowicki, SC; Nygren, DR; Obertacke, A; Odrowski, S; Olivas, A; Omairat, A; O'Murchadha, A; Paul, L; Pepper, JA; de los Heros, CP; Pfendner, C; Pieloth, D; Pinat, E; Posselt, J; Price, PB; Przybylski, GT; Rädel, L; Rameez, M; Rawlins, K; Redl, P; Reimann, R; Resconi, E; Rhode, W; Ribordy, M; Richman, M; Riedel, B; Rodrigues, JP; Rott, C; Ruhe, T; Ruzybayev, B; Ryckbosch, D; Saba, SM; Salameh, T; Sander, HG; Santander, M; Sarkar, S; Schatto, K; Scheriau, F; Schmidt, T; Schmitz, M; Schoenen, S; Schöneberg, S; Schönwald, A; Schukraft, A; Schulte, L; Schulz, O; Seckel, D; Sestayo, Y; Seunarine, S; Shanidze, R; Sheremata, C; Smith, MWE; Soldin, D; Spiczak, GM; Spiering, C; Stamatikos, M; Stanev, T; Stasik, A; Stezelberger, T; Stokstad, RG; Stössl, A; Strahler, EA; Ström, R; Sullivan, GW; Taavola, H; Taboada, I; Tamburro, A; Tepe, A; Ter-Antonyan, S; Tesic, G; Tilav, S; Toale, PA; Toscano, S; Unger, E; Usner, M; Vallecorsa, S; van Eijndhoven, N; Van Overloop, A; van Santen, J; Vehring, M; Voge, M; Vraeghe, M; Walck, C; Waldenmaier, T; Wallraff, M; Weaver, C; Wellons, M; Wendt, C; Westerhoff, S; Whitehorn, N; Wiebe, K; Wiebusch, CH; Williams, DR; Wissing, H; Wolf, M; Wood, TR; Woschnagg, K; Xu, DL; Xu, XW; Yanez, JP; Yodh, G; Yoshida, S; Zarzhitsky, P; Ziemann, J; Zierke, S; Zoll, M; Recht, B; Ré, C</t>
  </si>
  <si>
    <t>Aartsen, M. G.; Abbasi, R.; Abdou, Y.; Ackermann, M.; Adams, J.; Aguilar, J. A.; Ahlers, M.; Altmann, D.; Auffenberg, J.; Bai, X.; Baker, M.; Barwick, S. W.; Baum, V.; Bay, R.; Beatty, J. J.; Bechet, S.; Tjus, J. Becker; Becker, K. -H.; Benabderrahmane, M. L.; BenZvi, S.; Berghaus, P.; Berley, D.; Bernardini, E.; Bernhard, A.; Besson, D. Z.; Binder, G.; Bindig, D.; Bissok, M.; Blaufuss, E.; Blumenthal, J.; Boersma, D. J.; Bohaichuk, S.; Bohm, C.; Bose, D.; Boeser, S.; Botner, O.; Brayeur, L.; Bretz, H. -P.; Brown, A. M.; Bruijn, R.; Brunner, J.; Carson, M.; Casey, J.; Casier, M.; Chirkin, D.; Christov, A.; Christy, B.; Clark, K.; Clevermann, F.; Coenders, S.; Cohen, S.; Cowen, D. F.; Silva, A. H. Cruz; Danninger, M.; Daughhetee, J.; Davis, J. C.; Day, M.; De Clercq, C.; De Ridder, S.; Desiati, P.; de Vries, K. D.; de With, M.; DeYoung, T.; Diaz-Velez, J. C.; Dunkman, M.; Eagan, R.; Eberhardt, B.; Eisch, J.; Euler, S.; Evenson, P. A.; Fadiran, O.; Fazely, A. R.; Fedynitch, A.; Feintzeig, J.; Feusels, T.; Filimonov, K.; Finley, C.; Fischer-Wasels, T.; Flis, S.; Franckowiak, A.; Frantzen, K.; Fuchs, T.; Gaisser, T. K.; Gallagher, J.; Gerhardt, L.; Gladstone, L.; Gluesenkamp, T.; Goldschmidt, A.; Golup, G.; Gonzalez, J. G.; Goodman, J. A.; Gora, D.; Grandmont, D. T.; Grant, D.; Gross, A.; Ha, C.; Ismail, A. Haj; Hallen, P.; Hallgren, A.; Halzen, F.; Hanson, K.; Heereman, D.; Heinen, D.; Helbing, K.; Hellauer, R.; Hickford, S.; Hill, G. C.; Hoffman, K. D.; Hoffmann, R.; Homeier, A.; Hoshina, K.; Huelsnitz, W.; Hulth, P. O.; Hultqvist, K.; Hussain, S.; Ishihara, A.; Jacobi, E.; Jacobsen, J.; Jagielski, K.; Japaridze, G. S.; Jero, K.; Jlelati, O.; Kaminsky, B.; Kappes, A.; Karg, T.; Karle, A.; Kelley, J. L.; Kiryluk, J.; Klaes, J.; Klein, S. R.; Koehne, J. -H.; Kohnen, G.; Kolanoski, H.; Koepke, L.; Kopper, C.; Kopper, S.; Koskinen, D. J.; Kowalski, M.; Krasberg, M.; Krings, K.; Kroll, G.; Kunnen, J.; Kurahashi, N.; Kuwabara, T.; Labare, M.; Landsman, H.; Larson, M. J.; Lesiak-Bzdak, M.; Leuermann, M.; Leute, J.; Luenemann, J.; Macias, O.; Madsen, J.; Maggi, G.; Maruyama, R.; Mase, K.; Matis, H. S.; McNally, F.; Meagher, K.; Merck, M.; Meures, T.; Miarecki, S.; Middell, E.; Milke, N.; Miller, J.; Mohrmann, L.; Montaruli, T.; Morse, R.; Nahnhauer, R.; Naumann, U.; Niederhausen, H.; Nowicki, S. C.; Nygren, D. R.; Obertacke, A.; Odrowski, S.; Olivas, A.; Omairat, A.; O'Murchadha, A.; Paul, L.; Pepper, J. A.; de los Heros, C. Perez; Pfendner, C.; Pieloth, D.; Pinat, E.; Posselt, J.; Price, P. B.; Przybylski, G. T.; Raedel, L.; Rameez, M.; Rawlins, K.; Redl, P.; Reimann, R.; Resconi, E.; Rhode, W.; Ribordy, M.; Richman, M.; Riedel, B.; Rodrigues, J. P.; Rott, C.; Ruhe, T.; Ruzybayev, B.; Ryckbosch, D.; Saba, S. M.; Salameh, T.; Sander, H. -G.; Santander, M.; Sarkar, S.; Schatto, K.; Scheriau, F.; Schmidt, T.; Schmitz, M.; Schoenen, S.; Schoeneberg, S.; Schoenwald, A.; Schukraft, A.; Schulte, L.; Schulz, O.; Seckel, D.; Sestayo, Y.; Seunarine, S.; Shanidze, R.; Sheremata, C.; Smith, M. W. E.; Soldin, D.; Spiczak, G. M.; Spiering, C.; Stamatikos, M.; Stanev, T.; Stasik, A.; Stezelberger, T.; Stokstad, R. G.; Stoessl, A.; Strahler, E. A.; Strom, R.; Sullivan, G. W.; Taavola, H.; Taboada, I.; Tamburro, A.; Tepe, A.; Ter-Antonyan, S.; Tesic, G.; Tilav, S.; Toale, P. A.; Toscano, S.; Unger, E.; Usner, M.; Vallecorsa, S.; van Eijndhoven, N.; Van Overloop, A.; van Santen, J.; Vehring, M.; Voge, M.; Vraeghe, M.; Walck, C.; Waldenmaier, T.; Wallraff, M.; Weaver, Ch.; Wellons, M.; Wendt, C.; Westerhoff, S.; Whitehorn, N.; Wiebe, K.; Wiebusch, C. H.; Williams, D. R.; Wissing, H.; Wolf, M.; Wood, T. R.; Woschnagg, K.; Xu, D. L.; Xu, X. W.; Yanez, J. P.; Yodh, G.; Yoshida, S.; Zarzhitsky, P.; Ziemann, J.; Zierke, S.; Zoll, M.; Recht, B.; Re, C.</t>
  </si>
  <si>
    <t>Improvement in fast particle track reconstruction with robust statistics</t>
  </si>
  <si>
    <t>NUCLEAR INSTRUMENTS &amp; METHODS IN PHYSICS RESEARCH SECTION A-ACCELERATORS SPECTROMETERS DETECTORS AND ASSOCIATED EQUIPMENT</t>
  </si>
  <si>
    <t>Ice Cube; Track reconstruction; Neutrino telescope; Neutrino astrophysics; Robust statistics</t>
  </si>
  <si>
    <t>The IceCube project has transformed 1 km(3) of deep natural Antarctic ice into a Cherenkov detector Muon neutrinos are detected and their direction is inferred by mapping the light produced by the secondary muon track inside the volume instrumented with photomultipliers. Reconstructing the muon track from the observed light is challenging due to noise, light scattering in the ice medium, and the possibility of simultaneously having multiple muons inside the detector, resulting from the large flux of cosmic ray muons. This paper describes work on two problems: (1) the truck reconstruction problem, in which, given a set of observations, the goal is to recover the track of a muon; and (2) the coincident event problem, which is to determine how many muons are active in the detector during a time window. Rather than solving these problems by developing more complex physical models that are applied at later stages of the analysis, our approach is to augment the detector's early reconstruction with data filters and robust statistical techniques. These can be implemented at the level of on-line reconstruction and, therefore, improve all subsequent reconstructions. Using the metric of median angular resolution, a standard metric for track reconstruction, we improve the accuracy in the initial reconstruction direction by 13%. We also present improvements in measuring the number of muons in coincident events: we can accurately determine the number of muons 98% of the time. (C) 2013 Elsevier RV. All rights reserved.</t>
  </si>
  <si>
    <t>[Bissok, M.; Blumenthal, J.; Coenders, S.; Euler, S.; Hallen, P.; Heinen, D.; Jagielski, K.; Krings, K.; Leuermann, M.; Paul, L.; Raedel, L.; Reimann, R.; Schoenen, S.; Schukraft, A.; Vehring, M.; Wallraff, M.; Wiebusch, C. H.; Zierke, S.] Rhein Westfal TH Aachen, Inst Phys 3, D-52056 Aachen, Germany; [Aartsen, M. G.; Hill, G. C.] Univ Adelaide, Sch Chem &amp; Phys, Adelaide, SA 5005, Australia; [Rawlins, K.] Univ Alaska Anchorage, Dept Phys &amp; Astron, Anchorage, AK 99508 USA; [Japaridze, G. S.] Clark Atlanta Univ, CTSPS, Atlanta, GA 30314 USA; [Casey, J.; Daughhetee, J.; Taboada, I.] Georgia Inst Technol, Sch Phys, Atlanta, GA 30332 USA; [Casey, J.; Daughhetee, J.; Taboada, I.] Georgia Inst Technol, Ctr Relativist Astrophys, Atlanta, GA 30332 USA; [Fazely, A. R.; Ter-Antonyan, S.; Xu, X. W.] Southern Univ, Dept Phys, Baton Rouge, LA 70813 USA; [Bay, R.; Binder, G.; Filimonov, K.; Gerhardt, L.; Ha, C.; Klein, S. R.; Miarecki, S.; Price, P. B.; Woschnagg, K.] Univ Calif Berkeley, Dept Phys, Berkeley, CA 94720 USA; [Binder, G.; Gerhardt, L.; Goldschmidt, A.; Ha, C.; Klein, S. R.; Matis, H. S.; Miarecki, S.; Nygren, D. R.; Przybylski, G. T.; Stezelberger, T.; Stokstad, R. G.] Univ Calif Berkeley, Lawrence Berkeley Natl Lab, Berkeley, CA 94720 USA; [Altmann, D.; de With, M.; Kappes, A.; Kolanoski, H.; Waldenmaier, T.] Humboldt Univ, Inst Phys, D-12489 Berlin, Germany; [Tjus, J. Becker; Fedynitch, A.; Saba, S. M.; Schoeneberg, S.; Unger, E.] Ruhr Univ Bochum, Fak Phys &amp; Astron, D-44780 Bochum, Germany; [Boeser, S.; Franckowiak, A.; Homeier, A.; Kowalski, M.; Schulte, L.; Stasik, A.; Usner, M.; Voge, M.] Univ Bonn, Inst Phys, D-53115 Bonn, Germany; [Bai, X.; Bechet, S.; Hanson, K.; Heereman, D.; Meures, T.; O'Murchadha, A.; Pinat, E.] Univ Libre Bruxelles, Fac Sci, B-1050 Brussels, Belgium; [Bose, D.; Brayeur, L.; Casier, M.; De Clercq, C.; de Vries, K. D.; Golup, G.; Kunnen, J.; Maggi, G.; Miller, J.; Strahler, E. A.; van Eijndhoven, N.] Vrije Univ Brussel, Dienst ELEM, B-1050 Brussels, Belgium; [Ishihara, A.; Mase, K.; Yoshida, S.] Chiba Univ, Dept Phys, Chiba 2638522, Japan; [Adams, J.; Brown, A. M.; Hickford, S.; Macias, O.] Univ Canterbury, Dept Phys &amp; Astron, Christchurch 1, New Zealand; [Berley, D.; Blaufuss, E.; Christy, B.; Goodman, J. A.; Hellauer, R.; Hoffman, K. D.; Huelsnitz, W.; Meagher, K.; Olivas, A.; Redl, P.; Richman, M.; Schmidt, T.; Sullivan, G. W.; Wissing, H.] Univ Maryland, Dept Phys, College Pk, MD 20742 USA; [Beatty, J. J.; Davis, J. C.; Pfendner, C.; Stamatikos, M.] Ohio State Univ, Dept Phys, Columbus, OH 43210 USA; [Beatty, J. J.; Davis, J. C.; Pfendner, C.; Stamatikos, M.] Ohio State Univ, Ctr Cosmol &amp; Astroparticle Phys, Columbus, OH 43210 USA; [Beatty, J. J.] Ohio State Univ, Dept Astron, Columbus, OH 43210 USA; [Clevermann, F.; Frantzen, K.; Fuchs, T.; Koehne, J. -H.; Milke, N.; Pieloth, D.; Rhode, W.; Ruhe, T.; Scheriau, F.; Schmitz, M.; Ziemann, J.] TU Dortmund Univ, Dept Phys, D-44221 Dortmund, Germany; [Bohaichuk, S.; Grandmont, D. T.; Grant, D.; Nowicki, S. C.; Odrowski, S.; Sheremata, C.; Wood, T. R.] Univ Alberta, Dept Phys, Edmonton, AB T6G 2E1, Canada; [Aguilar, J. A.; Christov, A.; Montaruli, T.; Rameez, M.; Vallecorsa, S.] Univ Geneva, Dept Phys Nucl &amp; Corpusculaire, CH-1211 Geneva, Switzerland; [Abdou, Y.; Carson, M.; De Ridder, S.; Feusels, T.; Ismail, A. Haj; Jlelati, O.; Labare, M.; Ryckbosch, D.; Van Overloop, A.; Vraeghe, M.] Univ Ghent, Dept Phys &amp; Astron, B-9000 Ghent, Belgium; [Barwick, S. W.; Yodh, G.] Univ Calif Irvine, Dept Phys &amp; Astron, Irvine, CA 92697 USA; [Bruijn, R.; Cohen, S.; Ribordy, M.] Ecole Polytech Fed Lausanne, High Energy Phys Lab, CH-1015 Lausanne, Switzerland; [Besson, D. Z.] Univ Kansas, Dept Phys &amp; Astron, Lawrence, KS 66045 USA; [Gallagher, J.] Univ Wisconsin, Dept Astron, Madison, WI 53706 USA; [Abbasi, R.; Ahlers, M.; Auffenberg, J.; Baker, M.; BenZvi, S.; Chirkin, D.; Day, M.; Desiati, P.; Diaz-Velez, J. C.; Eisch, J.; Fadiran, O.; Feintzeig, J.; Gladstone, L.; Halzen, F.; Hoshina, K.; Jacobsen, J.; Jero, K.; Karle, A.; Kelley, J. L.; Kopper, C.; Krasberg, M.; Kurahashi, N.; Landsman, H.; Maruyama, R.; McNally, F.; Merck, M.; Morse, R.; Riedel, B.; Rodrigues, J. P.; Santander, M.; Toscano, S.; van Santen, J.; Weaver, Ch.; Wellons, M.; Wendt, C.; Westerhoff, S.; Whitehorn, N.] Univ Wisconsin, Dept Phys, Madison, WI 53706 USA; [Abbasi, R.; Ahlers, M.; Auffenberg, J.; Baker, M.; BenZvi, S.; Chirkin, D.; Day, M.; Desiati, P.; Diaz-Velez, J. C.; Eisch, J.; Fadiran, O.; Feintzeig, J.; Gladstone, L.; Halzen, F.; Hoshina, K.; Jacobsen, J.; Jero, K.; Karle, A.; Kelley, J. L.; Kopper, C.; Krasberg, M.; Kurahashi, N.; Landsman, H.; Maruyama, R.; McNally, F.; Merck, M.; Morse, R.; Riedel, B.; Rodrigues, J. P.; Santander, M.; Toscano, S.; van Santen, J.; Weaver, Ch.; Wellons, M.; Wendt, C.; Westerhoff, S.; Whitehorn, N.] Univ Wisconsin, Wisconsin IceCube Particle Astrophys Ctr, Madison, WI 53706 USA; [Baum, V.; Eberhardt, B.; Koepke, L.; Kroll, G.; Luenemann, J.; Sander, H. -G.; Schatto, K.; Wiebe, K.] Johannes Gutenberg Univ Mainz, Inst Phys, D-55099 Mainz, Germany; [Kohnen, G.] Univ Mons, B-7000 Mons, Belgium; [Bernhard, A.; Gross, A.; Leute, J.; Resconi, E.; Schulz, O.; Sestayo, Y.] Tech Univ Munich, D-85748 Garching, Germany; [Bai, X.; Evenson, P. A.; Gaisser, T. K.; Gonzalez, J. G.; Hussain, S.; Kuwabara, T.; Ruzybayev, B.; Seckel, D.; Stanev, T.; Tamburro, A.; Tilav, S.] Univ Delaware, Bartol Res Inst, Newark, DE 19716 USA; [Bai, X.; Evenson, P. A.; Gaisser, T. K.; Gonzalez, J. G.; Hussain, S.; Kuwabara, T.; Ruzybayev, B.; Seckel, D.; Stanev, T.; Tamburro, A.; Tilav, S.] Univ Delaware, Dept Phys &amp; Astron, Newark, DE 19716 USA; [Sarkar, S.] Univ Oxford, Dept Phys, Oxford OX1 3NP, England; [Madsen, J.; Seunarine, S.; Spiczak, G. M.] Univ Wisconsin, Dept Phys, River Falls, WI 54022 USA; [Bohm, C.; Danninger, M.; Finley, C.; Flis, S.; Hulth, P. O.; Hultqvist, K.; Walck, C.; Wolf, M.; Zoll, M.] Stockholm Univ, Oskar Klein Ctr, SE-10691 Stockholm, Sweden; [Bohm, C.; Danninger, M.; Finley, C.; Flis, S.; Hulth, P. O.; Hultqvist, K.; Walck, C.; Wolf, M.; Zoll, M.] Stockholm Univ, Dept Phys, SE-10691 Stockholm, Sweden; [Kiryluk, J.; Lesiak-Bzdak, M.; Niederhausen, H.] SUNY Stony Brook, Dept Phys &amp; Astron, Stony Brook, NY 11794 USA; [Rott, C.] Sungkyunkwan Univ, Dept Phys, Suwon 440746, South Korea; [Larson, M. J.; Pepper, J. A.; Toale, P. A.; Williams, D. R.; Xu, D. L.; Zarzhitsky, P.] Univ Alabama, Dept Phys &amp; Astron, Tuscaloosa, AL 35487 USA; [Cowen, D. F.] Penn State Univ, Dept Astron &amp; Astrophys, University Pk, PA 16802 USA; [Clark, K.; Cowen, D. F.; DeYoung, T.; Dunkman, M.; Eagan, R.; Koskinen, D. J.; Salameh, T.; Smith, M. W. E.; Tesic, G.] Penn State Univ, Dept Phys, University Pk, PA 16802 USA; [Boersma, D. J.; Botner, O.; Hallgren, A.; de los Heros, C. Perez; Strom, R.; Taavola, H.] Uppsala Univ, Dept Phys &amp; Astron, S-75120 Uppsala, Sweden; [Becker, K. -H.; Bindig, D.; Fischer-Wasels, T.; Helbing, K.; Hoffmann, R.; Klaes, J.; Kopper, S.; Naumann, U.; Obertacke, A.; Omairat, A.; Posselt, J.; Soldin, D.; Tepe, A.] Univ Wuppertal, Dept Phys, D-42119 Wuppertal, Germany; [Ackermann, M.; Benabderrahmane, M. L.; Berghaus, P.; Bernardini, E.; Bretz, H. -P.; Brunner, J.; Silva, A. H. Cruz; Gluesenkamp, T.; Gora, D.; Jacobi, E.; Kaminsky, B.; Karg, T.; Middell, E.; Mohrmann, L.; Nahnhauer, R.; Schoenwald, A.; Shanidze, R.; Spiering, C.; Stoessl, A.; Yanez, J. P.] DESY, D-15735 Zeuthen, Germany; [Recht, B.] Univ Calif Berkeley, Dept Comp Sci, Berkeley, CA 94704 USA; [Re, C.] Stanford Univ, Dept Comp Sci, Stanford, CA 94305 USA</t>
  </si>
  <si>
    <t>RWTH Aachen University; University of Adelaide; University of Alaska System; University of Alaska Anchorage; Clark Atlanta University; University System of Georgia; Georgia Institute of Technology; University System of Georgia; Georgia Institute of Technology; Southern University System; Southern University &amp; A&amp;M College; University of California System; University of California Berkeley; University of California System; University of California Berkeley; United States Department of Energy (DOE); Lawrence Berkeley National Laboratory; Humboldt University of Berlin; University of Wurzburg; Ruhr University Bochum; University of Bonn; Universite Libre de Bruxelles; Vrije Universiteit Brussel; Chiba University; University of Canterbury; University System of Maryland; University of Maryland College Park; University System of Ohio; Ohio State University; University System of Ohio; Ohio State University; University System of Ohio; Ohio State University; Dortmund University of Technology; University of Alberta; University of Geneva; Ghent University; University of California System; University of California Irvine; Swiss Federal Institutes of Technology Domain; Ecole Polytechnique Federale de Lausanne; University of Kansas; University of Wisconsin System; University of Wisconsin Madison; University of Wisconsin System; University of Wisconsin Madison; University of Wisconsin System; University of Wisconsin Madison; Johannes Gutenberg University of Mainz; University of Mons; Technical University of Munich; University of Delaware; University of Delaware; University of Oxford; University of Wisconsin System; Oskar Klein Centre; Stockholm University; Stockholm University; State University of New York (SUNY) System; State University of New York (SUNY) Stony Brook; Sungkyunkwan University (SKKU); University of Alabama System; University of Alabama Tuscaloosa;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University of Wuppertal; Helmholtz Association; Deutsches Elektronen-Synchrotron (DESY); University of California System; University of California Berkeley; Stanford University</t>
  </si>
  <si>
    <t>Wellons, M (corresponding author), Wisconsin Inst Discovery, 330 N Orchard St, Madison, WI 53715 USA.</t>
  </si>
  <si>
    <t>wellons@icecube.wisc.edu</t>
  </si>
  <si>
    <t>Reimann, René/AAS-8239-2020; Brunner, Juergen/G-3540-2015; Díaz Vélez, Juan Carlos/AAD-5211-2022; Miller, Jonathan/HOC-2272-2023; Tjus, Julia/G-8145-2012; Resconi, Elisa/I-3874-2016; Díaz Vélez, Juan Carlos/T-2788-2018; Benabderrahmane, Mohamed Lotfi/JFB-3165-2023; Matis, Howard S/HMV-9747-2023; Ha, Chang Hyon/AAR-8120-2021; Kopper, Claudio/N-5824-2019; Sarkar, Subir/G-5978-2011; Fedynitch, Anatoli/AAQ-9927-2021; Christov, Asen/S-4508-2018; DeYoung, Tyce/O-6895-2019; Whitehorn, Nathan/HDM-8864-2022; Taavola, Henric/B-4497-2011; Abdou, Yasser/JJE-5519-2023; Matis, Howard/AAO-2082-2021; Beatty, James/D-9310-2011; Wiebusch, Christopher H.V./G-6490-2012; Macias, Oscar/AAA-1123-2022; Rott, Carsten/ABB-1304-2021; Williams, David/HKN-3732-2023; Hallen, Patrick/ABD-7121-2020; Bernardini, Elisa/AAA-4810-2020; HAJ ISMAIL, ABD AL KARIM/AAD-9991-2019; Bose, Debanjan/IQT-3805-2023; Auffenberg, Jan/D-3954-2014; Maruyama, Reina H/A-1064-2013; Heinen, Dirk/ABF-7280-2020; sanchez, juan/GSD-8167-2022; Sarkar, Subir/GPT-4902-2022; Gonzalez, Javier G/G-2520-2017; Ha, C/GZL-9046-2022; Kowalski, Marek/G-5546-2012; Ahlers, Markus/V-8757-2017; Goodman, Jordan/J-4188-2018; Rameez, Mohamed/N-1671-2016; Gora, Dariusz/M-8695-2018; Miller, Jonathan/R-8518-2017; Koskinen, David/G-3236-2014; Aguilar Sanchez, Juan Antonio/H-4467-2015; Paul, Stephan/F-7596-2015</t>
  </si>
  <si>
    <t>Reimann, René/0000-0002-1983-8271; Brunner, Juergen/0000-0002-5052-7236; Díaz Vélez, Juan Carlos/0000-0002-0087-0693; Tjus, Julia/0000-0002-1748-7367; Resconi, Elisa/0000-0003-0705-2770; Díaz Vélez, Juan Carlos/0000-0002-0087-0693; Benabderrahmane, Mohamed Lotfi/0000-0003-4410-5886; Matis, Howard S/0000-0003-0764-4389; Sarkar, Subir/0000-0002-3542-858X; Fedynitch, Anatoli/0000-0003-2837-3477; Christov, Asen/0000-0001-8121-5860; DeYoung, Tyce/0000-0003-4873-3783; Whitehorn, Nathan/0000-0002-3157-0407; Taavola, Henric/0000-0002-2604-2810; Abdou, Yasser/0000-0001-7098-0487; Beatty, James/0000-0003-0481-4952; Wiebusch, Christopher H.V./0000-0002-6418-3008; Macias, Oscar/0000-0001-8867-2693; Rott, Carsten/0000-0002-6958-6033; Bernardini, Elisa/0000-0003-3108-1141; HAJ ISMAIL, ABD AL KARIM/0000-0003-4941-5154; Auffenberg, Jan/0000-0002-1185-9094; Maruyama, Reina H/0000-0003-2794-512X; Heinen, Dirk/0000-0002-4502-7288; Gonzalez, Javier G/0000-0001-8746-2846; Kolanoski, Hermann/0000-0003-0435-2524; Daughhetee, Jacob/0000-0001-5220-7159; Perez de los Heros, Carlos/0000-0002-2084-5866; Meagher, Kevin/0000-0003-3967-1533; Taboada, Ignacio/0000-0003-3509-3457; Kowalski, Marek/0000-0001-8594-8666; Ahlers, Markus/0000-0003-0709-5631; Toscano, Simona/0000-0002-1860-2240; Hill, Gary/0000-0001-8881-6802; Goodman, Jordan/0000-0002-9790-1299; Bose, Debanjan/0000-0003-1071-5854; Klein, Spencer/0000-0003-2841-6553; Yoshida, Shigeru/0000-0003-2480-5105; Strom, Rickard/0000-0002-4496-1626; Desiati, Paolo/0000-0001-9768-1858; Stasik, Alexander/0000-0003-1646-2472; Kappes, Alexander/0000-0003-1315-3711; De Clercq, Catherine/0000-0001-5266-7059; Helbing, Klaus/0000-0003-2072-4172; Danninger, Matthias/0000-0002-7807-7484; Ha, Chang Hyon/0000-0002-9598-8589; Rameez, Mohamed/0000-0001-5023-5631; van Eijndhoven, Nick/0000-0001-5558-3328; Gora, Dariusz/0000-0002-4853-5974; Santander, Juan Marcos/0000-0001-7297-8217; Miller, Jonathan/0000-0002-7992-8033; BenZvi, Segev/0000-0001-5537-4710; Mohrmann, Lars/0000-0002-9667-8654; Franckowiak, Anna/0000-0002-5605-2219; Carson, Michael/0000-0003-0400-7819; Schukraft, Anne/0000-0002-9112-5479; Ruhe, Tim/0000-0002-4080-9563; Brown, Anthony/0000-0003-0259-3148; Spiczak, Glenn/0000-0002-0030-0519; Vallecorsa, Sofia/0000-0002-7003-5765; Karg, Timo/0000-0003-3251-2126; Ter-Antonyan, Samvel/0000-0002-5788-1369; Montaruli, Teresa/0000-0001-5014-2152; Rhode, Wolfgang/0000-0003-2636-5000; de Vries, Krijn/0000-0002-9842-4068; Koskinen, David/0000-0002-0514-5917; Ackermann, Markus/0000-0001-8952-588X; Aguilar Sanchez, Juan Antonio/0000-0003-2252-9514; Paul, Stephan/0000-0002-8813-0437; Seunarine, Suruj/0000-0003-3272-6896; Pollmann, Anna/0000-0002-2492-043X</t>
  </si>
  <si>
    <t>STFC [ST/L000474/1, ST/J000507/1] Funding Source: UKRI; Science and Technology Facilities Council [ST/L000474/1, ST/J000507/1] Funding Source: researchfish; Direct For Mathematical &amp; Physical Scien [1307472] Funding Source: National Science Foundation; Direct For Mathematical &amp; Physical Scien; Division Of Physics [1205796] Funding Source: National Science Foundation; Division Of Physics [1307472] Funding Source: National Science Foundation; Division Of Physics; Direct For Mathematical &amp; Physical Scien [1205403] Funding Source: National Science Foundation</t>
  </si>
  <si>
    <t>STFC(UK Research &amp; Innovation (UKRI)Science &amp; Technology Facilities Council (STFC)); Science and Technology Facilities Council(UK Research &amp; Innovation (UKRI)Science &amp; Technology Facilities Council (STFC)); Direct For Mathematical &amp; Physical Scien(National Science Foundation (NSF)NSF - Directorate for Mathematical &amp; Physical Sciences (MPS)); Direct For Mathematical &amp; Physical Scien; Division Of Physics(National Science Foundation (NSF)NSF - Directorate for Mathematical &amp; Physical Sciences (MPS)); Division Of Physics(National Science Foundation (NSF)NSF - Directorate for Mathematical &amp; Physical Sciences (MPS)); Division Of Physics; Direct For Mathematical &amp; Physical Scien(National Science Foundation (NSF)NSF - Directorate for Mathematical &amp; Physical Sciences (MPS))</t>
  </si>
  <si>
    <t>0168-9002</t>
  </si>
  <si>
    <t>1872-9576</t>
  </si>
  <si>
    <t>NUCL INSTRUM METH A</t>
  </si>
  <si>
    <t>Nucl. Instrum. Methods Phys. Res. Sect. A-Accel. Spectrom. Dect. Assoc. Equip.</t>
  </si>
  <si>
    <t>10.1016/j.nima.2013.10.074</t>
  </si>
  <si>
    <t>Instruments &amp; Instrumentation; Nuclear Science &amp; Technology; Physics, Nuclear; Physics, Particles &amp; Fields</t>
  </si>
  <si>
    <t>Instruments &amp; Instrumentation; Nuclear Science &amp; Technology; Physics</t>
  </si>
  <si>
    <t>285OS</t>
  </si>
  <si>
    <t>WOS:000329404000019</t>
  </si>
  <si>
    <t>Rae, JGL; Hewitt, HT; Keen, AB; Ridley, JK; Edwards, JM; Harris, CM</t>
  </si>
  <si>
    <t>Rae, J. G. L.; Hewitt, H. T.; Keen, A. B.; Ridley, J. K.; Edwards, J. M.; Harris, C. M.</t>
  </si>
  <si>
    <t>A sensitivity study of the sea ice simulation in the global coupled climate model, HadGEM3</t>
  </si>
  <si>
    <t>Sea ice; Modelling; Sensitivity; Coupling; Arctic; Antarctic</t>
  </si>
  <si>
    <t>THERMODYNAMIC MODEL; SALINITY PROFILE; HEAT-FLUX; THICKNESS; OCEAN; GROWTH; SCHEME; IMPACT</t>
  </si>
  <si>
    <t>We present the results of a wide-ranging sea ice sensitivity study, performed with a fully-coupled global atmosphere-ice-ocean climate model. We investigate sensitivity to a selection of sea ice parameters, varied within the range of observational uncertainty, and additionally study the effect on the sea ice of increased resolution in the atmosphere and ocean-ice models, as well as dynamics and physics changes in the atmosphere. In the Arctic, we find that the sea ice thickness is most sensitive to the albedo of the overlying snow layer (because of its influence on surface melt) and the thermal conductivities of ice and snow (because of their role in regulating heat flux from the ocean to the atmosphere through the ice). We find the winter Arctic ice extent to be sensitive to the resolution of the ocean-ice model, through increased sea surface temperatures in the Labrador Sea at higher resolution. The Arctic ice extent is reduced under increased atmospheric resolution, because of increased poleward heat transport. In the Antarctic, the sensitivity to sea ice parameters is weaker, and atmosphere and ocean forcing dominate; in particular, increased resolution of the atmosphere and ocean-ice models leads to the enhancement of a warm bias in the Southern Ocean, which has a large impact on sea ice thickness and extent. Inclusion of a selection of these parameters in combination, together with changes to the atmosphere and ocean models, leads to significant improvements in representation of Arctic sea ice extent, thickness and volume in a new global coupled model configuration. Crown Copyright (C) 2014 Published by Elsevier Ltd. All rights reserved.</t>
  </si>
  <si>
    <t>[Rae, J. G. L.; Hewitt, H. T.; Keen, A. B.; Ridley, J. K.; Edwards, J. M.; Harris, C. M.] Met Off Hadley Ctr, Exeter EX1 3PB, Devon, England</t>
  </si>
  <si>
    <t>Rae, JGL (corresponding author), Met Off Hadley Ctr, FitzRoy Rd, Exeter EX1 3PB, Devon, England.</t>
  </si>
  <si>
    <t>jamie.rae@metoffice.gov.uk</t>
  </si>
  <si>
    <t>Hewitt, Helene/0000-0001-7432-6001</t>
  </si>
  <si>
    <t>Joint DECC/Defra Met Office Hadley Centre Climate Programme [GA01101]</t>
  </si>
  <si>
    <t>Joint DECC/Defra Met Office Hadley Centre Climate Programme</t>
  </si>
  <si>
    <t>We are grateful to Adrian Lock and Nigel Wood for useful discussions about the impacts of the atmospheric physics and dynamics changes, and to Tim Graham and Malcolm Roberts for useful discussions about the increased temperature bias in the Southern Ocean at ORCA025. We thank the three anonymous reviewers, whose comments have led to substantial improvements. This work was supported by the Joint DECC/Defra Met Office Hadley Centre Climate Programme (GA01101).</t>
  </si>
  <si>
    <t>10.1016/j.ocemod.2013.12.003</t>
  </si>
  <si>
    <t>WOS:000330576400005</t>
  </si>
  <si>
    <t>Hein, AS; Fogwill, CJ; Sugden, DE; Xu, S</t>
  </si>
  <si>
    <t>Hein, Andrew S.; Fogwill, Christopher J.; Sugden, David E.; Xu, Sheng</t>
  </si>
  <si>
    <t>Geological scatter of cosmogenic-nuclide exposure ages in the Shackleton Range, Antarctica: Implications for glacial history</t>
  </si>
  <si>
    <t>QUATERNARY GEOCHRONOLOGY</t>
  </si>
  <si>
    <t>Antarctic Ice Sheet; Cosmogenic nuclide surface exposure age dating; Geological scatter; Pleistocene; Quaternary; Beryllium; Aluminium; Last Glacial Maximum; Miocene</t>
  </si>
  <si>
    <t>WEDDELL SEA EMBAYMENT; MARIE-BYRD-LAND; IN-SITU C-14; ICE-SHEET; PRODUCTION-RATES; EAST ANTARCTICA; DRY VALLEYS; EROSION; BE-10; MOUNTAINS</t>
  </si>
  <si>
    <t>We use cosmogenic Al-26/Be-10 ratios in rocks from the Shackleton Range, Antarctica to investigate geological scatter, a challenge that faces exposure-age studies in Antarctica. Examining the scatter helps reveal the long-term lowering of Slessor Glacier, an outlet glacier of the East Antarctic Ice Sheet (EAIS) which flows into the Weddell Sea embayment. 144 Al-26 and Be-10 exposure ages from 72 samples are related to bedrock or clast sample characteristics and geomorphological measures of weathering, slope and stability. We explore this noisy dataset by using Principal Components Analysis (PCA) to identify patterns in the data. Despite noise, there exist correlations between age and degree of weathering and age and elevation above the adjacent ice surface. Clasts with young exposure ages have more complex exposure histories than those with old exposure ages. In terms of glacial history we show that (a) warm-based ice covered the upper slopes of the Shackleton Range millions of years ago and that the uplands have been mainly free of ice for more than 800 ka, (b) that Slessor Glacier's surface elevation was c. 150 m above present at c. 270 ka and c. 700 ka. (C) 2013 Published by Elsevier B.V.</t>
  </si>
  <si>
    <t>[Hein, Andrew S.; Sugden, David E.] Univ Edinburgh, Sch GeoSci, Edinburgh EH8 9XP, Midlothian, Scotland; [Fogwill, Christopher J.] Univ New S Wales, Climate Change Res Ctr, Sydney, NSW 2052, Australia; [Fogwill, Christopher J.] Univ New S Wales, Sch Biol Earth &amp; Environm Sci, Sydney, NSW 2052, Australia; [Xu, Sheng] Scottish Univ, Environm Res Ctr, E Kilbride G75 0QF, Lanark, Scotland</t>
  </si>
  <si>
    <t>University of Edinburgh; University of New South Wales Sydney; University of New South Wales Sydney; Scottish Universities Research &amp; Reactor Center</t>
  </si>
  <si>
    <t>Hein, AS (corresponding author), Univ Edinburgh, Sch GeoSci, Drummond St, Edinburgh EH8 9XP, Midlothian, Scotland.</t>
  </si>
  <si>
    <t>andy.hein@ed.ac.uk</t>
  </si>
  <si>
    <t>Fogwill, Chris/AAW-3502-2021; Fogwill, Christopher/HPF-1150-2023; Hein, Andrew/JWO-3756-2024</t>
  </si>
  <si>
    <t>Natural Environment Research Council [NE/I025840/1, NE/E018254/1] Funding Source: researchfish; NERC [NE/E018254/1, NE/I025840/1] Funding Source: UKRI</t>
  </si>
  <si>
    <t>1871-1014</t>
  </si>
  <si>
    <t>1878-0350</t>
  </si>
  <si>
    <t>QUAT GEOCHRONOL</t>
  </si>
  <si>
    <t>Quat. Geochronol.</t>
  </si>
  <si>
    <t>10.1016/j.quageo.2013.03.008</t>
  </si>
  <si>
    <t>275FP</t>
  </si>
  <si>
    <t>WOS:000328662000006</t>
  </si>
  <si>
    <t>Witus, AE; Branecky, CM; Anderson, JB; Szczucinski, W; Schroeder, DM; Blankenship, DD; Jakobsson, M</t>
  </si>
  <si>
    <t>Witus, Alexandra E.; Branecky, Carolyn M.; Anderson, John B.; Szczucinski, Witold; Schroeder, Dustin M.; Blankenship, Donald D.; Jakobsson, Martin</t>
  </si>
  <si>
    <t>Meltwater intensive glacial retreat in polar environments and investigation of associated sediments: example from Pine Island Bay, West Antarctica</t>
  </si>
  <si>
    <t>Subglacial meltwater; Pine Island Bay; Subglacial drainage; Glacial sedimentology; Plumite</t>
  </si>
  <si>
    <t>GROUNDING-LINE RETREAT; LAURENTIDE-ICE-SHEET; CONTINENTAL-SHELF; MARGUERITE BAY; ACCUMULATION RATES; OCEAN CIRCULATION; SURGE MECHANISM; WATER-SYSTEM; ROSS SEA; BENEATH</t>
  </si>
  <si>
    <t>Modern Pine Island and Thwaites Glaciers, which both drain into Pine Island Bay, are among the fastest changing portions of the cryosphere and the least stable ice streams in Antarctica. Here we show that the uppermost sediment unit in Pine Island Bay was deposited from a meltwater plume, a plumite, during the late stages of ice sheet retreat similar to 7-8.6 k cal yr BP and argue that this deposit records episodes of meltwater intensive sedimentation. The plumite is a hydraulically sorted, glacially sourced, draping deposit that overlies proximal glaci-marine sediments and thickens towards the modern grounding line. The uppermost sediment unit is interpreted as a product of non-steady-state processes in which low background sedimentation in large bedrock-carved basins alternates with episodic purging of sediment-laden water from these basins. The inner part of Pine Island Bay contains several basins that are linked by channels with a storage capacity on the order of 70 km(3) of stagnant water and significant sediment storage capacity. Purging of these basins is caused by changes in hydraulic potential and glacial reorganization. The sediment mobilized by these processes is found here to total 120 km3. This study demonstrates that episodes of meltwater-intensive sedimentation in Pine Island Bay occurred at least three times in the Holocene. The most recent episode coincides with rapid retreat of the grounding line in historical time and has an order of magnitude greater flux relative to the entire unit. We note that the final phase of ice stream retreat in Marguerite Bay was marked by a similar sedimentary event and suggest that the modern Thwaites Glacier is poised for an analogous meltwater-intensive phase of retreat. (C) 2013 Elsevier Ltd. All rights reserved.</t>
  </si>
  <si>
    <t>[Witus, Alexandra E.; Branecky, Carolyn M.; Anderson, John B.] Rice Univ, Dept Earth Sci, Houston, TX 77005 USA; [Szczucinski, Witold] Adam Mickiewicz Univ, Inst Geol, PL-61606 Poznan, Poland; [Schroeder, Dustin M.; Blankenship, Donald D.] Univ Texas Austin, Inst Geophys, Austin, TX USA; [Jakobsson, Martin] Stockholm Univ, Dept Geol Sci, S-10691 Stockholm, Sweden</t>
  </si>
  <si>
    <t>Rice University; Adam Mickiewicz University; University of Texas System; University of Texas Austin; Stockholm University</t>
  </si>
  <si>
    <t>Witus, AE (corresponding author), Rice Univ, Dept Earth Sci, 6100 Main St, Houston, TX 77005 USA.</t>
  </si>
  <si>
    <t>kirshner@rice.edu</t>
  </si>
  <si>
    <t>Jakobsson, Martin/F-6214-2010; Szczuciński, Witold/A-3612-2008; Blankenship, Donald D./G-5935-2010; Jakobsson, Martin/JAN-6828-2023</t>
  </si>
  <si>
    <t>Szczuciński, Witold/0000-0003-2466-2263; Schroeder, Dustin/0000-0003-1916-3929; Jakobsson, Martin/0000-0002-9033-3559; Begeman, Carolyn/0000-0001-9828-1741</t>
  </si>
  <si>
    <t>National Science Foundation Office of Polar Programs [NSF/ARRA ANT-0837925]; Directorate For Geosciences; Office of Polar Programs (OPP) [1246353] Funding Source: National Science Foundation</t>
  </si>
  <si>
    <t>National Science Foundation Office of Polar Programs(National Science Foundation (NSF)NSF - Directorate for Geosciences (GEO)); Directorate For Geosciences; Office of Polar Programs (OPP)(National Science Foundation (NSF)NSF - Directorate for Geosciences (GEO))</t>
  </si>
  <si>
    <t>Funding for this research was provided by the National Science Foundation Office of Polar Programs grant NSF/ARRA ANT-0837925 to J.B. Anderson. We acknowledge F. Nitsche for providing the bathymetric data and KIT Geoservices for the XRD analysis. We thank the captain and crew of the Icebreaker Oden, the entire on-board scientific party, and the Antarctic Marine Research Facility at Florida State University for assistance in sample collection and preparation. Expedition 0500910 was carried out as a collaboration between the US National Science Foundation (NSF), the Swedish Polar Research Secretariat, and the Swedish Research Council. The comments from two anonymous reviewers greatly improved this manuscript.</t>
  </si>
  <si>
    <t>10.1016/j.quascirev.2013.11.021</t>
  </si>
  <si>
    <t>AA9KK</t>
  </si>
  <si>
    <t>WOS:000331412200007</t>
  </si>
  <si>
    <t>Treasure, AM; Chown, SL</t>
  </si>
  <si>
    <t>Treasure, Anne M.; Chown, Steven L.</t>
  </si>
  <si>
    <t>Antagonistic effects of biological invasion and temperature change on body size of island ectotherms</t>
  </si>
  <si>
    <t>DIVERSITY AND DISTRIBUTIONS</t>
  </si>
  <si>
    <t>Environmental change; insects; predator-prey; resource use; sub-Antarctic</t>
  </si>
  <si>
    <t>SUB-ANTARCTIC MARION; FERAL HOUSE MICE; CLIMATE-CHANGE; ECOGEOGRAPHICAL RULES; WEEVILS COLEOPTERA; BERGMANNS RULE; CURCULIONIDAE; RESPONSES; ECOLOGY; IMPACT</t>
  </si>
  <si>
    <t>AimDespite their potentially profound consequences, little is known about the impacts of interactions among environmental change drivers on indigenous species. For biological invasions, much theoretical prominence has been given to additive or synergistic interactions with temperature change. However, empirical investigations are sparse. Here, we investigate the outcomes of interactions between temperature change and biological invasions on ectotherm body size in a temperate system. LocationThe sub-Antarctic Prince Edward Island group (46 degrees 54S, 37 degrees 45E). MethodsWe use long-term (24years) body size data on weevil species from Marion and Prince Edward Islands. Invasive house mice, which prey on four of the five weevil species, are present on Marion Island, while the neighbouring Prince Edward Island is mouse free. Theory predicts that with higher temperatures, body size should decline across all species, and previous work suggests that size-selective predation by mice should enhance this effect on the invaded island. Generalized linear models were used to determine the relative effects of sex, island, altitude and mean annual temperature on body size for each of the species. ResultsTemperature change and biological invasions interact to affect body size in an antagonistic fashion. In weevil species not preyed on by invasive house mice, body size and declining size with increasing temperature are consistent across adjacent invaded and non-invaded islands. By contrast, species preyed on by mice are smaller on the invaded island and show opposite size-temperature relationships on the invaded and mouse-free islands. Main conclusionsSize declines on the non-invaded island are in keeping with theoretical expectations of declining size with increasing temperatures. By contrast, this expectation is not met on the island invaded by mice, largely owing to what appears to be increased energetic demand of predators in colder years. These results emphasize that interactions among change drivers will take a range of forms, and that humans may have substantial influences on fundamental ecological patterns.</t>
  </si>
  <si>
    <t>[Treasure, Anne M.; Chown, Steven L.] Univ Stellenbosch, Ctr Invas Biol, Dept Bot &amp; Zool, ZA-7602 Matieland, South Africa; [Treasure, Anne M.] Univ Cape Town, Dept Oceanog, ZA-7701 Rondebosch, South Africa; [Chown, Steven L.] Monash Univ, Sch Biol Sci, Clayton, Vic 3800, Australia</t>
  </si>
  <si>
    <t>Stellenbosch University; University of Cape Town; Monash University</t>
  </si>
  <si>
    <t>Treasure, AM (corresponding author), Univ Cape Town, Dept Oceanog, ZA-7701 Rondebosch, South Africa.</t>
  </si>
  <si>
    <t>anne.m.treasure@gmail.com</t>
  </si>
  <si>
    <t>Chown, Steven/ABD-7646-2021; Chown, Steven/H-3347-2011</t>
  </si>
  <si>
    <t>Chown, Steven/0000-0001-6069-5105; Treasure, Anne/0000-0002-8345-4811</t>
  </si>
  <si>
    <t>South African National Research Foundation [SNA2007042400003]</t>
  </si>
  <si>
    <t>South African National Research Foundation(National Research Foundation - South Africa)</t>
  </si>
  <si>
    <t>We thank Mike Angilletta, Ian Hogg, Aleks Terauds, Melodie McGeoch, Greg McClelland, Bernard Coetzee and three anonymous reviewers for helpful comments on previous versions of this work. Martin Slabber, Justine Shaw and Mashudu Mashau are thanked for assistance. Lindie Janse van Rensburg and Gert Grobler collected weevils in the early 2000s and Richard Mercer assisted with this fieldwork. Riaan Stals is thanked for curating early weevil collections. We acknowledge funding from South African National Research Foundation Grant SNA2007042400003.</t>
  </si>
  <si>
    <t>1366-9516</t>
  </si>
  <si>
    <t>1472-4642</t>
  </si>
  <si>
    <t>DIVERS DISTRIB</t>
  </si>
  <si>
    <t>Divers. Distrib.</t>
  </si>
  <si>
    <t>10.1111/ddi.12153</t>
  </si>
  <si>
    <t>287AH</t>
  </si>
  <si>
    <t>WOS:000329509900008</t>
  </si>
  <si>
    <t>Damerau, M; Matschiner, M; Salzburger, W; Hanel, R</t>
  </si>
  <si>
    <t>Damerau, M.; Matschiner, M.; Salzburger, W.; Hanel, R.</t>
  </si>
  <si>
    <t>Population divergences despite long pelagic larval stages: lessons from crocodile icefishes (Channichthyidae)</t>
  </si>
  <si>
    <t>MOLECULAR ECOLOGY</t>
  </si>
  <si>
    <t>adaptive radiation; generation time; larval dispersal; notothenioids; population genetics</t>
  </si>
  <si>
    <t>ANTARCTIC NOTOTHENIOID FISH; LAST GLACIAL MAXIMUM; CHAENOCEPHALUS-ACERATUS; GENE FLOW; MACKEREL ICEFISH; MICROSATELLITE LOCI; DISPERSAL DISTANCE; SOUTHERN-OCEAN; SEA-ICE; HISTORY</t>
  </si>
  <si>
    <t>Dispersal via pelagic larval stages plays a key role in population connectivity of many marine species. The degree of connectivity is often correlated with the time that larvae spend in the water column. The Antarctic notothenioid fishes develop through an unusually long pelagic larval phase often exceeding 1year. Notothenioids thus represent a prime model system for studying the influence of prolonged larval phases on population structure in otherwise demersal species. Here, we compare the population genetic structure and demographic history of two sub-Antarctic crocodile icefish species (Chaenocephalus aceratus and Champsocephalus gunnari) from the Scotia Arc and Bouvet Island in the Atlantic sector of the Southern Ocean to delineate the relative importance of species-specific, oceanographic and paleoclimatic factors to gene flow. Based on 7 (C.aceratus) and 8 (C.gunnari) microsatellites, as well as two mitochondrial DNA markers (cytochrome b, D-loop), we detect pronounced population genetic structure in both species (amova FSTs range from 0.04 to 0.53). High genetic similarities were found concordantly in the populations sampled at the Southern Scotia Arc between Elephant Island and South Orkney Islands, whereas the populations from Bouvet Island, which is located far to the east of the Scotia Arc, are substantially differentiated from those of the Scotia Arc region. Nonetheless, haplotype genealogies and Bayesian cluster analyses suggest occasional gene flow over thousands of kilometres. Higher divergences between populations of C.gunnari as compared to C.aceratus are probably caused by lower dispersal capabilities and demographic effects. Bayesian skyline plots reveal population size reductions during past glacial events in both species with an estimated onset of population expansions about 25000years ago.</t>
  </si>
  <si>
    <t>[Damerau, M.; Hanel, R.] Thunen Inst Fisheries Ecol, D-22767 Hamburg, Germany; [Matschiner, M.] Univ Canterbury, Allan Wilson Ctr Mol Ecol &amp; Evolut, Dept Math &amp; Stat, Christchurch 1, New Zealand; [Matschiner, M.; Salzburger, W.] Univ Basel, Inst Zool, CH-4051 Basel, Switzerland</t>
  </si>
  <si>
    <t>Johann Heinrich von Thunen Institute; University of Canterbury; University of Basel</t>
  </si>
  <si>
    <t>Damerau, M (corresponding author), Thunen Inst Fisheries Ecol, Palmaille 9, D-22767 Hamburg, Germany.</t>
  </si>
  <si>
    <t>malte.damerau@ti.bund.de</t>
  </si>
  <si>
    <t>Hanel, Reinhold/AAO-4887-2021; Salzburger, Walter/G-1598-2011</t>
  </si>
  <si>
    <t>Salzburger, Walter/0000-0002-9988-1674; Matschiner, Michael/0000-0003-4741-3884</t>
  </si>
  <si>
    <t>Deutsche Forschungsgemeinschaft (DFG-Priority Programme) [HA 4328/4, 1158]; VolkswagenStiftung PhD scholarship; Swiss National Science Foundation [PBBSP3-138680]; Swiss National Science Foundation (SNF) [PBBSP3-138680] Funding Source: Swiss National Science Foundation (SNF)</t>
  </si>
  <si>
    <t>Deutsche Forschungsgemeinschaft (DFG-Priority Programme)(German Research Foundation (DFG)); VolkswagenStiftung PhD scholarship; Swiss National Science Foundation(Swiss National Science Foundation (SNSF)); Swiss National Science Foundation (SNF)(Swiss National Science Foundation (SNSF))</t>
  </si>
  <si>
    <t>We are grateful to M. Busch, S. Klimpel, N. Koschnick, K. Mintenbeck and L. Rath for their help in collecting tissue samples during RV Polarstern expeditions ANT-XXIII/8 and ANT-XXVII/3 in 2006 and 2011. We further thank C. Jones and all helping hands aboard RV Yuzhmorgeologiya for sample collection during the United States Antarctic Marine Living Resources Program (US AMLR) finfish survey in 2009. We are also indebted to the crew members during the aforementioned cruises for making the sampling possible. We thank B. Aeschbach, S. Rutschmann and L. Stapp for their helping hands in the laboratory and S. Agrawal for fruitful discussions. Last but not least, the comments of three anonymous reviewers considerably improved the manuscript and are greatly appreciated. This study was funded by Grant HA 4328/4 from the Deutsche Forschungsgemeinschaft (DFG-Priority Programme 1158) to RH and WS, and by a VolkswagenStiftung PhD scholarship and Swiss National Science Foundation stipend (PBBSP3-138680) to MM.</t>
  </si>
  <si>
    <t>0962-1083</t>
  </si>
  <si>
    <t>1365-294X</t>
  </si>
  <si>
    <t>MOL ECOL</t>
  </si>
  <si>
    <t>Mol. Ecol.</t>
  </si>
  <si>
    <t>10.1111/mec.12612</t>
  </si>
  <si>
    <t>Biochemistry &amp; Molecular Biology; Ecology; Evolutionary Biology</t>
  </si>
  <si>
    <t>Biochemistry &amp; Molecular Biology; Environmental Sciences &amp; Ecology; Evolutionary Biology</t>
  </si>
  <si>
    <t>283OB</t>
  </si>
  <si>
    <t>WOS:000329254300005</t>
  </si>
  <si>
    <t>Dragon, AC; Houssais, MN; Herbaut, C; Charrassin, JB</t>
  </si>
  <si>
    <t>Dragon, Anne-Cecile; Houssais, Marie-Noelle; Herbaut, Christophe; Charrassin, Jean-Benoit</t>
  </si>
  <si>
    <t>A note on the intraseasonal variability in an Antarctic polynia: Prior to and after the Mertz Glacier calving</t>
  </si>
  <si>
    <t>JOURNAL OF MARINE SYSTEMS</t>
  </si>
  <si>
    <t>Long-term time series; Sea ice formation; AMSR-E; Empirical Orthogonal Function; Adelie/George V Land; Extreme event</t>
  </si>
  <si>
    <t>SEA-ICE CONCENTRATION; EAST ANTARCTICA; ADELIE LAND; ICEBERG; CIRCULATION; IMPACT; EVENTS; REGIME; OCEAN</t>
  </si>
  <si>
    <t>During winter, thin sea ice is formed in coastal polynias, areas of open-water within a sea ice pack and important sites of dense shelf water formation. In the Mertz Glacier polynia (138 degrees E-147 degrees E, East Antarctica), we examined the effects of an extreme calving event, the last Mertz glacier calving, on the regional sea ice distribution. The high-frequency variability of sea ice concentration was studied for years 1992 to 2011 from passive microwave satellite data with fine spatial (6.25 km and 12.5 km) and temporal (1 day) resolutions. Our results showed that the last calving of the Mertz glacier tongue in February 2010 greatly modified the size and shape of the polynia with a significant westward shift in the regional ice regimes. We also identified a post-calving transition state characterised by a 70%-decrease in polynia area from the pre-calving mean. In the eastern part of the study area, our findings are in agreement with other studies predicting an important decrease in polynia activity. In the western part, where the main polynia activity has shifted after the calving, the new sea ice distribution is expected to have a major impact on local sea ice production, dense shelf water sinking, and potentially the regional thermohaline circulation. With extreme climatic events predicted to occur more frequently, long-term monitoring of the regional icescape could be used to evaluate the vulnerability of Antarctic physical processes and related ecosystems. (C) 2013 Elsevier B.V. All rights reserved.</t>
  </si>
  <si>
    <t>[Dragon, Anne-Cecile; Houssais, Marie-Noelle; Herbaut, Christophe; Charrassin, Jean-Benoit] Univ Paris 06, CNRS UPMC IRD MNHN, LOCEAN IPSL, F-75252 Paris 05, France</t>
  </si>
  <si>
    <t>Institut de Recherche pour le Developpement (IRD); Museum National d'Histoire Naturelle (MNHN); Sorbonne Universite</t>
  </si>
  <si>
    <t>Dragon, AC (corresponding author), Univ Paris 06, CNRS UPMC IRD MNHN, LOCEAN IPSL, 4 Pl Jussieu, F-75252 Paris 05, France.</t>
  </si>
  <si>
    <t>anne-cecile.dragon@locean-ipsl.upmc.fr</t>
  </si>
  <si>
    <t>CNES, through the CNES-TOSCA programme</t>
  </si>
  <si>
    <t>The authors are very grateful to Maite Lacarra, Agathe Germe and Emmanuelle Sultan for helpful comments and discussions. We also want to thank two anonymous reviewers for their valuable and helpful suggestions. The project was supported by the CNES, through the CNES-TOSCA programme (Weddell seals ecology and bio-oceanography of Antarctic sea ice, P.I. Jean-Benoit Charrassin). We also thank the Bremen University for the AMSR-E data, and Ifremer/CERSAT for the SSM/I data.</t>
  </si>
  <si>
    <t>0924-7963</t>
  </si>
  <si>
    <t>1879-1573</t>
  </si>
  <si>
    <t>J MARINE SYST</t>
  </si>
  <si>
    <t>J. Mar. Syst.</t>
  </si>
  <si>
    <t>10.1016/j.jmarsys.2013.06.006</t>
  </si>
  <si>
    <t>Geosciences, Multidisciplinary; Marine &amp; Freshwater Biology; Oceanography</t>
  </si>
  <si>
    <t>Geology; Marine &amp; Freshwater Biology; Oceanography</t>
  </si>
  <si>
    <t>278FC</t>
  </si>
  <si>
    <t>WOS:000328873600005</t>
  </si>
  <si>
    <t>Boccaletti, C; Di Felice, P; Santini, E</t>
  </si>
  <si>
    <t>Boccaletti, Chiara; Di Felice, Pietro; Santini, Ezio</t>
  </si>
  <si>
    <t>Integration of renewable power systems in an Antarctic Research Station</t>
  </si>
  <si>
    <t>RENEWABLE ENERGY</t>
  </si>
  <si>
    <t>Photovoltaic power systems; Wind power systems; Antarctica</t>
  </si>
  <si>
    <t>The paper describes the design process of a photovoltaic (PV)-wind power system to be installed in the very challenging ambient conditions of the French-Italian Antarctic Base. Concordia Base has been built with the collaboration of Italian consortium PRNA, French Polar Institute IPEV and European Space Agency ESA. It is one of the three bases not located on the coast and is open all the year. The electrical load of the base, presently supplied by three diesel generators, has been previously characterised measuring the relevant quantities during a period of one year. During the same year an experimental campaign has been conducted to collect the necessary solar irradiance and wind data of the site. Models of the PV panels and of the wind turbine, previously set up and validated, have been used to simulate the plant behaviour and to estimate the possible contribution of renewable energies to the Concordia Antarctic Base supply in the different seasons. Finally, some economical aspects are discussed and the payback period is calculated. (C) 2013 Elsevier Ltd. All rights reserved.</t>
  </si>
  <si>
    <t>[Boccaletti, Chiara; Di Felice, Pietro; Santini, Ezio] Univ Roma La Sapienza, Dept Astronaut Elect &amp; Energet Engn, I-00184 Rome, Italy</t>
  </si>
  <si>
    <t>Sapienza University Rome</t>
  </si>
  <si>
    <t>Boccaletti, C (corresponding author), Univ Roma La Sapienza, Dept Astronaut Elect &amp; Energet Engn, Via Eudossiana 18, I-00184 Rome, Italy.</t>
  </si>
  <si>
    <t>chiara.boccaletti@uniroma1.it</t>
  </si>
  <si>
    <t>Boccaletti, Chiara/T-1127-2019</t>
  </si>
  <si>
    <t>Boccaletti, Chiara/0000-0003-3548-5741</t>
  </si>
  <si>
    <t>0960-1481</t>
  </si>
  <si>
    <t>RENEW ENERG</t>
  </si>
  <si>
    <t>Renew. Energy</t>
  </si>
  <si>
    <t>10.1016/j.renene.2013.08.021</t>
  </si>
  <si>
    <t>Green &amp; Sustainable Science &amp; Technology; Energy &amp; Fuels</t>
  </si>
  <si>
    <t>Science &amp; Technology - Other Topics; Energy &amp; Fuels</t>
  </si>
  <si>
    <t>267JX</t>
  </si>
  <si>
    <t>WOS:000328095000066</t>
  </si>
  <si>
    <t>Suparta, W; Fraser, GJ</t>
  </si>
  <si>
    <t>Suparta, Wayan; Fraser, Grahame J.</t>
  </si>
  <si>
    <t>A Case Study of Relationship between GPS PWV and Solar Variability during the Declining Phase of Solar Cycle 23</t>
  </si>
  <si>
    <t>ACTA GEOPHYSICA</t>
  </si>
  <si>
    <t>GPS PWV; solar activity; climate; relationship</t>
  </si>
  <si>
    <t>PRECIPITABLE WATER-VAPOR; CLIMATE; ATMOSPHERE</t>
  </si>
  <si>
    <t>Water vapor plays an important role in the global climate system. A clear relationship between water vapor and solar activity can explain some physical mechanisms of how solar activity influences terrestrial weather/climate changes. To gain insight of this possible relationship, the atmospheric precipitable water vapor (PWV) as the terrestrial climate response was observed by ground-based GPS receivers over the Antarctic stations. The PWV changes analyzed for the period from 2003 to 2008 coincided with the declining phase of solar cycle 23 exhibited following the solar variability trend. Their relationship showed moderate to strong correlation with 0.45 &lt; R (2) &lt; 0.93 (p &lt; 0.01), on a monthly basis. This possible relationship suggests that when the solar-coupled geomagnetic activity is stronger, the Earth's surface will be warmer, as indicated by electrical connection between ionosphere and troposphere.</t>
  </si>
  <si>
    <t>[Suparta, Wayan] Univ Kebangsaan Malaysia, Inst Space Sci ANGKASA, Bangi, Selangor Darul, Malaysia; [Fraser, Grahame J.] Univ Canterbury, Dept Phys &amp; Astron, Christchurch 1, New Zealand</t>
  </si>
  <si>
    <t>Universiti Kebangsaan Malaysia; University of Canterbury</t>
  </si>
  <si>
    <t>Suparta, W (corresponding author), Univ Kebangsaan Malaysia, Inst Space Sci ANGKASA, Bangi, Selangor Darul, Malaysia.</t>
  </si>
  <si>
    <t>wayan@ukm.my</t>
  </si>
  <si>
    <t>SUPARTA, WAYAN/K-3110-2013</t>
  </si>
  <si>
    <t>SUPARTA, WAYAN/0000-0002-6193-1867</t>
  </si>
  <si>
    <t>Ministry of Higher Education Malaysia (MOHE) [UKM-LL-07-FRGS0211-2010, PKT 1/2003]; managerial staff and science technicians of Antarctica New Zealand (ANZ)</t>
  </si>
  <si>
    <t>Ministry of Higher Education Malaysia (MOHE)(Ministry of Education, Malaysia); managerial staff and science technicians of Antarctica New Zealand (ANZ)</t>
  </si>
  <si>
    <t>This work was supported by the Ministry of Higher Education Malaysia (MOHE) under UKM-LL-07-FRGS0211-2010 and PKT 1/2003 grants. The authors would like to express gratitude to the managerial staff and science technicians of Antarctica New Zealand (ANZ) for their full support and kind hospitality at Scott Base and Andrew R. Harper at the National Institute of Water and Atmospheric Research Ltd., New Zealand (NIWA), for supporting the surface meteorological data. We would also like to thank the SIDC, the Royal Observatory of Belgium, for achieving the sunspot data, D. J. McComas at SWRI and CDAWeb for providing the ACE/SWEPAM Solar Wind Experiment Data, WDC for Solar Terrestrial Physics, Moscow, for maintaining the aa-index data, the SOPAC for the GPS data archived, the Australian Antarctic Data Center (AADC), and the British Antarctic Survey (BAS) for meteorological data archive.</t>
  </si>
  <si>
    <t>SPRINGER INTERNATIONAL PUBLISHING AG</t>
  </si>
  <si>
    <t>CHAM</t>
  </si>
  <si>
    <t>GEWERBESTRASSE 11, CHAM, CH-6330, SWITZERLAND</t>
  </si>
  <si>
    <t>1895-6572</t>
  </si>
  <si>
    <t>1895-7455</t>
  </si>
  <si>
    <t>ACTA GEOPHYS</t>
  </si>
  <si>
    <t>Acta Geophys.</t>
  </si>
  <si>
    <t>10.2478/s11600-013-0146-9</t>
  </si>
  <si>
    <t>257KV</t>
  </si>
  <si>
    <t>WOS:000327383700011</t>
  </si>
  <si>
    <t>Gardner, JPA; Garton, DW; Collen, JD; Zwartz, D</t>
  </si>
  <si>
    <t>Gardner, Jonathan P. A.; Garton, David W.; Collen, John D.; Zwartz, Daniel</t>
  </si>
  <si>
    <t>Distant Storms as Drivers of Environmental Change at Pacific Atolls</t>
  </si>
  <si>
    <t>CLIMATE EXTREMES; CLIPPERTON; CYCLONES; WEATHER; FUTURE; ISLAND</t>
  </si>
  <si>
    <t>The central Pacific Ocean with its many low lying islands and atolls is under threat from sea level rise and increased storm activity. Here, we illustrate how increasing frequency and severity of large scale storm events associated with global climate change may be particularly profound at the local scale for human populations that rely on lagoon systems for provision of a variety of goods and services. In August 2011 a storm originating in the Southern Ocean caused a large amplitude ocean swell to move northward through the Pacific Ocean. Its arrival at Palmyra Atoll coincided with transient elevated sea surface height and triggered turnover of the lagoon water column. This storm-induced change to the lagoon reflects long distance connectivity with propagated wave energy from the Southern Ocean and illustrates the increasing threats generated by climate change that are faced by human populations on most low-lying Pacific islands and atolls.</t>
  </si>
  <si>
    <t>[Gardner, Jonathan P. A.; Collen, John D.] Victoria Univ Wellington, Ctr Marine Environm &amp; Econ Res, Wellington, New Zealand; [Garton, David W.] Georgia Inst Technol, Sch Biol, Atlanta, GA 30332 USA; [Zwartz, Daniel] Victoria Univ Wellington, Antarctic Res Ctr, Wellington, New Zealand</t>
  </si>
  <si>
    <t>Victoria University Wellington; University System of Georgia; Georgia Institute of Technology; Victoria University Wellington</t>
  </si>
  <si>
    <t>Gardner, JPA (corresponding author), Victoria Univ Wellington, Ctr Marine Environm &amp; Econ Res, Wellington, New Zealand.</t>
  </si>
  <si>
    <t>jonathan.gardner@vuw.ac.nz</t>
  </si>
  <si>
    <t>Gardner, Jonathan/M-3224-2016</t>
  </si>
  <si>
    <t>Gardner, Jonathan/0000-0002-6943-2413</t>
  </si>
  <si>
    <t>Victoria University of Wellington (NZ); Georgia Institute of Technology (USA)</t>
  </si>
  <si>
    <t>This research was supported by funding from Victoria University of Wellington (NZ) to JPAG, JDC and DZ, and by Georgia Institute of Technology (USA) to DWG. The funders had no role in study design, data collection and analysis, decision to publish, or preparation of the manuscript.</t>
  </si>
  <si>
    <t>JAN 31</t>
  </si>
  <si>
    <t>e87971</t>
  </si>
  <si>
    <t>10.1371/journal.pone.0087971</t>
  </si>
  <si>
    <t>302RF</t>
  </si>
  <si>
    <t>WOS:000330621900200</t>
  </si>
  <si>
    <t>Velasco-Castrillón, A; Schultz, MB; Colombo, F; Gibson, JAE; Davies, KA; Austin, AD; Stevens, MI</t>
  </si>
  <si>
    <t>Velasco-Castrillon, Alejandro; Schultz, Mark B.; Colombo, Federica; Gibson, John A. E.; Davies, Kerrie A.; Austin, Andrew D.; Stevens, Mark I.</t>
  </si>
  <si>
    <t>Distribution and Diversity of Soil Microfauna from East Antarctica: Assessing the Link between Biotic and Abiotic Factors</t>
  </si>
  <si>
    <t>MCMURDO DRY VALLEYS; SOUTHERN VICTORIA-LAND; DRONNING-MAUD-LAND; ICE-FREE AREAS; ROSS ISLAND; TERRESTRIAL NEMATODES; COMMUNITY STRUCTURE; VESTFOLD-HILLS; TAYLOR VALLEY; BUNGER HILLS</t>
  </si>
  <si>
    <t>Terrestrial life in Antarctica has been described as some of the simplest on the planet, and mainly confined to soil microfaunal communities. Studies have suggested that the lack of diversity is due to extreme environmental conditions and thought to be driven by abiotic factors. In this study we investigated soil microfauna composition, abundance, and distribution in East Antarctica, and assessed correlations with soil geochemistry and environmental variables. We examined 109 soil samples from a wide range of ice-free habitats, spanning 2000 km from Framnes Mountains to Bailey Peninsula. Microfauna across all samples were patchily distributed, from complete absence of invertebrates to over 1600 specimens/gram of dry weight of soil (gdw), with highest microfauna abundance observed in samples with visible vegetation. Bdelloid rotifers were on average the most widespread found in 87% of sampled sites and the most abundant (44 specimens/gdw). Tardigrades occurred in 57% of the sampled sites with an abundance of 12 specimens/gdw. Nematodes occurred in 71% of samples with a total abundance of 3 specimens/gdw. Ciliates and mites were rarely found in soil samples, with an average abundance of 1.3 and 0.04 specimens/gdw, respectively. We found that microfaunal composition and abundance were mostly correlated with the soil geochemical parameters; phosphorus, NO3- and salinity, and likely to be the result of soil properties and historic landscape formation and alteration, rather than the geographic region they were sampled from. Studies focusing on Antarctic biodiversity must take into account soil geochemical and environmental factors that influence population and species heterogeneity.</t>
  </si>
  <si>
    <t>[Velasco-Castrillon, Alejandro; Austin, Andrew D.] Univ Adelaide, Sch Earth &amp; Environm Sci, Australian Ctr Evolutionary Biol &amp; Biodivers, Adelaide, SA, Australia; [Schultz, Mark B.] Univ Melbourne, Dept Genet, Inst Bio21, Parkville, Vic 3052, Australia; [Colombo, Federica] Univ Western Sydney, Hawkesbury Inst Environm, Richmond, NSW, Australia; [Gibson, John A. E.] Univ Tasmania, Inst Marine &amp; Antarctic Studies, Hobart, Tas, Australia; [Davies, Kerrie A.] Univ Adelaide, Sch Agr Food &amp; Wine, Australian Ctr Evolutionary Biol &amp; Biodivers, Adelaide, SA, Australia; [Stevens, Mark I.] S Australian Museum, Adelaide, SA 5000, Australia; [Stevens, Mark I.] Univ S Australia, Sch Pharm &amp; Med Sci, Adelaide, SA 5001, Australia</t>
  </si>
  <si>
    <t>University of Adelaide; University of Melbourne; Western Sydney University; University of Tasmania; University of Adelaide; University of South Australia</t>
  </si>
  <si>
    <t>Velasco-Castrillón, A (corresponding author), Univ Adelaide, Sch Earth &amp; Environm Sci, Australian Ctr Evolutionary Biol &amp; Biodivers, Adelaide, SA, Australia.</t>
  </si>
  <si>
    <t>Schultz, Mark B/R-1179-2019; Colombo, Federica/ABG-3365-2020</t>
  </si>
  <si>
    <t>Schultz, Mark B/0000-0002-7689-6531; Colombo, Federica/0000-0001-9497-0240</t>
  </si>
  <si>
    <t>This study was partially funded by an Australian Antarctic Division (http://www.antarctica.gov.au/) Project (ASAC 2355 to MIS). Additional funding was provided by The University of Adelaide (http://www.sciences.adelaide.edu.au/) through a doctoral scholarship to Alejandro Velasco-Castrillon and the South Australian Museum Mawson Trust for providing funding for the Sir Douglas Mawson Doctoral Scholarship (http://www.samuseum.sa.gov.au/). The funders had no role in study design, data collection and analysis, decision to publish, or preparation of the manuscript.</t>
  </si>
  <si>
    <t>e87529</t>
  </si>
  <si>
    <t>10.1371/journal.pone.0087529</t>
  </si>
  <si>
    <t>WOS:000330621900127</t>
  </si>
  <si>
    <t>Borda, E; Kudenov, JD</t>
  </si>
  <si>
    <t>Borda, E.; Kudenov, Jerry D.</t>
  </si>
  <si>
    <t>Euphrosinidae (Annelida: Amphinomida) collected from Antarctica (R/V Polarstern, 1984, 1986) with comments on the generic placement of Euphrosine magellanica Ehlers, 1900</t>
  </si>
  <si>
    <t>PROCEEDINGS OF THE BIOLOGICAL SOCIETY OF WASHINGTON</t>
  </si>
  <si>
    <t>Amphinomida; Antarctica; euphrosinid morphology; Euphrosinidae; R/V Polarstern</t>
  </si>
  <si>
    <t>SOUTHERN-OCEAN</t>
  </si>
  <si>
    <t>The Euphrosinidae (Polychaeta: Amphinomida) collected during cruises of the R/V Polarstern, and described by Hartmann-Schroder &amp; Rosenfeldt (1988, 1992) are re-examined. In all, four of five species are here assigned to two previously described taxa: Euphrosine monroi, and Euphrosinella cirratoformis and a fifth species, Euphrosine antarctica, is newly referred to the genus Euphrosinopsis, as a new combination. Euphrosinopsis antarctica n. comb., has priority as type species of the genus, rendering Euphrosinopsis antipoda as the junior synonym. We suggest that Euphrosine magellanica is a misidentified Euphrosinella cirratoformis. Previous Antarctic records of Euphrosine cirrata are also referred to the genus Euphrosinella Detinova, 1985, and are likely E. cirratoformis. Diagnoses or additional descriptive information and appropriate illustrations are provided for all taxa.</t>
  </si>
  <si>
    <t>[Borda, E.] Texas A&amp;M Univ, Galveston, TX 77553 USA; [Kudenov, Jerry D.] Univ Alaska Anchorage, Dept Biol Sci, Anchorage, AK 99508 USA</t>
  </si>
  <si>
    <t>Texas A&amp;M University System; University of Alaska System; University of Alaska Anchorage</t>
  </si>
  <si>
    <t>Kudenov, JD (corresponding author), Univ Alaska Anchorage, Dept Biol Sci, 3211 Providence Dr, Anchorage, AK 99508 USA.</t>
  </si>
  <si>
    <t>bordae@tamug.edu; jdkudenov@uaa.alaska.edu</t>
  </si>
  <si>
    <t>Borda, Elizabeth/0000-0003-1179-163X</t>
  </si>
  <si>
    <t>University of Alaska Anchorage; Mini-Peet (Society of Systematic Biologists); [DBI-0706856]</t>
  </si>
  <si>
    <t>University of Alaska Anchorage; Mini-Peet (Society of Systematic Biologists);</t>
  </si>
  <si>
    <t>JDK is indebted to Gesa Hartmann-Schroder, retired from the Zoologisches Institut und Zoologisches Museum der Universitat Hamburg, for generously lending the euphrosinids collected during cruises of the R/V Polarstern to Antarctica. We also thank Kristian Fauchald and Linda Ward (USNM) for making space available and their kind assistance during visits to examine the collections, and to Len Hirsch for his encouragement. We also extend our gratitude to Tank Meziane, curator of the polychaete section, Museum National d'Histoire Naturelle, Paris, France for his assistance, Sergio Salazar-Vallejo (ECOSUR) for generously examining Fauvel's Antarctic material (R/V Belgica) in the Paris museum during his sabbatical in France, and Leslie Harris, Natural History Museum of Los Angeles County, for assistance with literature. We also thank the anonymous reviewers for their scholarly critiques of the manuscript. This research was supported in part by a faculty travel grant through the University of Alaska Anchorage to JDK and Mini-Peet (Society of Systematic Biologists) and DBI-0706856 to EB.</t>
  </si>
  <si>
    <t>BIOL SOC WASHINGTON</t>
  </si>
  <si>
    <t>NAT MUSEUM NAT HIST SMITHSONIAN INST, WASHINGTON, DC 20560 USA</t>
  </si>
  <si>
    <t>0006-324X</t>
  </si>
  <si>
    <t>1943-6327</t>
  </si>
  <si>
    <t>P BIOL SOC WASH</t>
  </si>
  <si>
    <t>Proc. Biol. Soc. Wash.</t>
  </si>
  <si>
    <t>JAN 30</t>
  </si>
  <si>
    <t>10.2988/0006-324X-126.4.299</t>
  </si>
  <si>
    <t>302JA</t>
  </si>
  <si>
    <t>WOS:000330599600002</t>
  </si>
  <si>
    <t>Lescroël, A; Ballard, G; Grémillet, D; Authier, M; Ainley, DG</t>
  </si>
  <si>
    <t>Lescroel, Amelie; Ballard, Grant; Gremillet, David; Authier, Matthieu; Ainley, David G.</t>
  </si>
  <si>
    <t>Antarctic Climate Change: Extreme Events Disrupt Plastic Phenotypic Response in Adelie Penguins</t>
  </si>
  <si>
    <t>ROSS SEA; REACTION NORMS; ENVIRONMENTAL-CHANGE; PYGOSCELIS-ADELIAE; FORAGING BEHAVIOR; ICE-SHELF; SURVIVAL; VARIABILITY; ICEBERGS; ECOLOGY</t>
  </si>
  <si>
    <t>In the context of predicted alteration of sea ice cover and increased frequency of extreme events, it is especially timely to investigate plasticity within Antarctic species responding to a key environmental aspect of their ecology: sea ice variability. Using 13 years of longitudinal data, we investigated the effect of sea ice concentration (SIC) on the foraging efficiency of Adelie penguins (Pygoscelis adeliae) breeding in the Ross Sea. A 'natural experiment' brought by the exceptional presence of giant icebergs during 5 consecutive years provided unprecedented habitat variation for testing the effects of extreme events on the relationship between SIC and foraging efficiency in this sea-ice dependent species. Significant levels of phenotypic plasticity were evident in response to changes in SIC in normal environmental conditions. Maximum foraging efficiency occurred at relatively low SIC, peaking at 6.1% and decreasing with higher SIC. The 'natural experiment' uncoupled efficiency levels from SIC variations. Our study suggests that lower summer SIC than currently observed would benefit the foraging performance of Adelie penguins in their southernmost breeding area. Importantly, it also provides evidence that extreme climatic events can disrupt response plasticity in a wild seabird population. This questions the predictive power of relationships built on past observations, when not only the average climatic conditions are changing but the frequency of extreme climatic anomalies is also on the rise.</t>
  </si>
  <si>
    <t>[Lescroel, Amelie] Univ Rennes 1, URU 420, Rennes, France; [Lescroel, Amelie; Gremillet, David; Authier, Matthieu] CNRS, Ctr Ecol Fonct &amp; Evolut, UMR 5175, F-34033 Montpellier, France; [Ballard, Grant] Point Blue Conservat Sci, Petaluma, CA USA; [Gremillet, David] Univ Cape Town, Percy FitzPatrick Inst, ZA-7700 Rondebosch, South Africa; [Gremillet, David] Univ Cape Town, DST NRF Excellence Ctr, ZA-7700 Rondebosch, South Africa; [Ainley, David G.] HT Harvey &amp; Associates, Los Gatos, CA USA</t>
  </si>
  <si>
    <t>Universite de Rennes; Universite PSL; Ecole Pratique des Hautes Etudes (EPHE); Institut Agro; Montpellier SupAgro; CIRAD; Centre National de la Recherche Scientifique (CNRS); Institut de Recherche pour le Developpement (IRD); Universite Paul-Valery; Universite de Montpellier; CNRS - Institute of Ecology &amp; Environment (INEE); University of Cape Town; University of Cape Town</t>
  </si>
  <si>
    <t>Lescroël, A (corresponding author), Univ Rennes 1, URU 420, Rennes, France.</t>
  </si>
  <si>
    <t>amelie.lescroel@cefe.cnrs.fr</t>
  </si>
  <si>
    <t>; Gremillet, David/W-1946-2018</t>
  </si>
  <si>
    <t>Authier, Matthieu/0000-0001-7394-1993; Gremillet, David/0000-0002-7711-9398</t>
  </si>
  <si>
    <t>NSF [OPP 9526865, 9814882, 0125608, 0440643, 0944411]; CNRS; French Polar Institut (IPEV) within the ADACLIM program [388]; Directorate For Geosciences; Office of Polar Programs (OPP) [0125608, 0944141, 0944411] Funding Source: National Science Foundation; Office of Polar Programs (OPP); Directorate For Geosciences [9814882, 0440643] Funding Source: National Science Foundation</t>
  </si>
  <si>
    <t>NSF(National Science Foundation (NSF)); CNRS(Centre National de la Recherche Scientifique (CNRS)); French Polar Institut (IPEV) within the ADACLIM program; Directorate For Geosciences; Office of Polar Programs (OPP)(National Science Foundation (NSF)NSF - Directorate for Geosciences (GEO)); Office of Polar Programs (OPP); Directorate For Geosciences(National Science Foundation (NSF)NSF - Directorate for Geosciences (GEO))</t>
  </si>
  <si>
    <t>Financial support was provided by NSF grants OPP 9526865, 9814882, 0125608, 0440643 and 0944411. DG is funded by CNRS and the French Polar Institut (IPEV) within the ADACLIM program (grant 388). The funders had no role in study design, data collection and analysis, decision to publish, or preparation of the manuscript.</t>
  </si>
  <si>
    <t>JAN 29</t>
  </si>
  <si>
    <t>e85291</t>
  </si>
  <si>
    <t>10.1371/journal.pone.0085291</t>
  </si>
  <si>
    <t>301ZC</t>
  </si>
  <si>
    <t>WOS:000330570000009</t>
  </si>
  <si>
    <t>Meredith, NP; Horne, RB; Li, W; Thorne, RM; Sicard-Piet, A</t>
  </si>
  <si>
    <t>Meredith, Nigel P.; Horne, Richard B.; Li, Wen; Thorne, Richard M.; Sicard-Piet, Angelica</t>
  </si>
  <si>
    <t>Globalmodel of low- frequency chorus ( fLHR &lt; f &lt; 0.1 fce) from multiple satellite observations</t>
  </si>
  <si>
    <t>whistler mode chorus</t>
  </si>
  <si>
    <t>RADIATION BELT ELECTRONS; WAVES; DIFFUSION; FIELD; HISS</t>
  </si>
  <si>
    <t>Whistler mode chorus is an important magnetospheric emission, playing a dual role in the acceleration and loss of relativistic electrons in the Earth's outer radiation belt. Chorus is typically generated in the equatorial region in the frequency range 0.1-0.8 f(ce), where f(ce) is the local electron gyrofrequency. However, as the waves propagate to higher latitudes, significant wave power can occur at frequencies below 0.1f(ce). Since this wave power is largely omitted in current radiation belt models, we construct a global model of low-frequency chorus, f(LHR)&lt;0.1f(ce), using data from six satellites. We find that low-frequency chorus is strongest, with an average intensity of 200 pT(2), in the prenoon sector during active conditions at midlatitudes (20 degrees&lt;|(m)|&lt;50 degrees) from 4&lt;8. Such midlatitude, low-frequency chorus wave power will contribute to the acceleration and loss of relativistic electrons and should be taken into account in radiation belt models.</t>
  </si>
  <si>
    <t>[Meredith, Nigel P.; Horne, Richard B.] British Antarctic Survey, NERC, Cambridge, England; [Li, Wen; Thorne, Richard M.] Univ Calif Los Angeles, Dept Atmospher &amp; Ocean Sci, Los Angeles, CA USA; [Sicard-Piet, Angelica] Off Natl Etud &amp; Rech Aerosp, Toulouse, France</t>
  </si>
  <si>
    <t>UK Research &amp; Innovation (UKRI); Natural Environment Research Council (NERC); NERC British Antarctic Survey; University of California System; University of California Los Angeles; National Office for Aerospace Studies &amp; Research (ONERA)</t>
  </si>
  <si>
    <t>Meredith, NP (corresponding author), British Antarctic Survey, NERC, Cambridge, England.</t>
  </si>
  <si>
    <t>nmer@bas.ac.uk</t>
  </si>
  <si>
    <t>Horne, Richard B/U-3764-2019; Li, Wen/F-3722-2011; Meredith, Nigel P/C-5806-2018</t>
  </si>
  <si>
    <t>Horne, Richard B/0000-0002-0412-6407; Sicard, Angelica/0000-0001-7810-1432; Meredith, Nigel/0000-0001-5032-3463</t>
  </si>
  <si>
    <t>NSF [AGS0840178]; NASA [NNX11AR64G, NNX11AD75G]; European Union [262468]; Natural Environment Research Council; NASA [NNX11AD75G, 148139, NNX11AR64G, 137204] Funding Source: Federal RePORTER; NERC [bas0100023] Funding Source: UKRI</t>
  </si>
  <si>
    <t>NSF(National Science Foundation (NSF)); NASA(National Aeronautics &amp; Space Administration (NASA)); European Union(European Union (EU)); Natural Environment Research Council(UK Research &amp; Innovation (UKRI)Natural Environment Research Council (NERC)); NASA(National Aeronautics &amp; Space Administration (NASA)); NERC(UK Research &amp; Innovation (UKRI)Natural Environment Research Council (NERC))</t>
  </si>
  <si>
    <t>We thank K. H. Yearby and V. Angelopoulos for provision of data from Double Star TC-1 and THEMIS, respectively. We acknowledge the CDAWeb and Cluster Active Archive Web sites for provision of data from DE1 and Cluster, respectively. We also acknowledge NSF grant AGS0840178 and NASA grants NNX11AR64G and NNX11AD75G. The research leading to these results has received funding from the European Union Seventh Framework Programme (FP7/2007-2013) under grant agreement 262468 and the Natural Environment Research Council.</t>
  </si>
  <si>
    <t>JAN 28</t>
  </si>
  <si>
    <t>10.1002/2013GL059050</t>
  </si>
  <si>
    <t>AD1JT</t>
  </si>
  <si>
    <t>WOS:000332991000012</t>
  </si>
  <si>
    <t>Hartin, CA; Fine, RA; Kamenkovich, I; Sloyan, BM</t>
  </si>
  <si>
    <t>Hartin, Corinne A.; Fine, Rana A.; Kamenkovich, Igor; Sloyan, Bernadette M.</t>
  </si>
  <si>
    <t>Comparison of Subantarctic Mode Water and Antarctic Intermediate Water formation rates in the South Pacific between NCAR-CCSM4 and observations</t>
  </si>
  <si>
    <t>SAMW; AAIW; formation rates; CFC inventories</t>
  </si>
  <si>
    <t>ATLANTIC DEEP-WATER; LABRADOR SEA-WATER; OCEAN; CIRCULATION; VENTILATION; CLIMATE; INVENTORIES; SHALLOW</t>
  </si>
  <si>
    <t>Average formation rates for Subantarctic Mode Water (SAMW) and Antarctic Intermediate Water (AAIW) in the South Pacific are calculated from the National Center for Atmospheric Research Community Climate System Model version 4 (NCAR-CCSM4), using chlorofluorocarbon inventories (CFC-12). When compared to observations, CCSM4 accurately simulates the southeast Pacific as the main formation region for SAMW and AAIW. Formation rates for SAMW in CCSM4 are 3.4sverdrup (Sv), about half of the observational rate, due in part to shallow mixed layers, a thinner SAMW layer, and insufficient meridional transport. A formation rate of 8.1Sv for AAIW in CCSM4 is higher than observations due to higher inventories in the southwest and central Pacific and surface concentrations within CCSM4. Also, a lack of data in the southwest Pacific may bias the observational rate low. This model-observation comparison is useful for understanding the uptake and transport of other gases, e.g., CO2 by the model.</t>
  </si>
  <si>
    <t>[Hartin, Corinne A.; Fine, Rana A.; Kamenkovich, Igor] Univ Miami, Rosenstiel Sch Marine &amp; Atmospher Sci, Miami, FL 33149 USA; [Hartin, Corinne A.] Joint Global Change Res Inst, College Pk, MD USA; [Sloyan, Bernadette M.] CSIRO Marine &amp; Atmospher Res, Ctr Australian Weather &amp; Climate Res, Hobart, Tas, Australia; [Sloyan, Bernadette M.] CSIRO Wealth Oceans Natl Res Flagship, Hobart, Tas, Australia</t>
  </si>
  <si>
    <t>University of Miami; Commonwealth Scientific &amp; Industrial Research Organisation (CSIRO); Commonwealth Scientific &amp; Industrial Research Organisation (CSIRO)</t>
  </si>
  <si>
    <t>Hartin, CA (corresponding author), Univ Miami, Rosenstiel Sch Marine &amp; Atmospher Sci, 4600 Rickenbacker Causeway, Miami, FL 33149 USA.</t>
  </si>
  <si>
    <t>corinne.hartin@pnnl.gov</t>
  </si>
  <si>
    <t>Sloyan, Bernadette/N-8989-2014; Kamenkovich, Igor/AAG-3451-2019</t>
  </si>
  <si>
    <t>Sloyan, Bernadette/0000-0003-0250-0167; Kamenkovich, Igor/0000-0001-6228-5599; Hartin, Corinne/0000-0003-1834-6539</t>
  </si>
  <si>
    <t>National Science Foundation; NSF [OCE 0842834]; Australian Climate Change Science Program; Department of Climate Change and Energy Efficiency; CSIRO</t>
  </si>
  <si>
    <t>National Science Foundation(National Science Foundation (NSF)); NSF(National Science Foundation (NSF)); Australian Climate Change Science Program; Department of Climate Change and Energy Efficiency; CSIRO(Commonwealth Scientific &amp; Industrial Research Organisation (CSIRO))</t>
  </si>
  <si>
    <t>Rana A. Fine and Corinne A. Hartin are grateful to the National Science Foundation for support. I. Kamenkovich would like to acknowledge the NSF grant OCE 0842834. B. M. Sloyan was supported by the Australian Climate Change Science Program, funded jointly by the Department of Climate Change and Energy Efficiency and CSIRO.</t>
  </si>
  <si>
    <t>10.1002/2013GL058728</t>
  </si>
  <si>
    <t>WOS:000332991000046</t>
  </si>
  <si>
    <t>Yang, YK; Palm, SP; Marshak, A; Wu, DL; Yu, HB; Fu, Q</t>
  </si>
  <si>
    <t>Yang, Yuekui; Palm, Stephen P.; Marshak, Alexander; Wu, Dong L.; Yu, Hongbin; Fu, Qiang</t>
  </si>
  <si>
    <t>First satellite- detected perturbations of outgoing longwave radiation associated with blowing snow events over Antarctica</t>
  </si>
  <si>
    <t>longwave radiation; blowing snow; radiative effects; Antarctica; CALIPSO; CERES</t>
  </si>
  <si>
    <t>TEMPERATURE INVERSION; SURFACE; ATMOSPHERE; PLATEAU; CLOUDS</t>
  </si>
  <si>
    <t>We present the first satellite-detected perturbations of the outgoing longwave radiation (OLR) associated with blowing snow events over the Antarctic ice sheet using data from Cloud-Aerosol Lidar with Orthogonal Polarization and Clouds and the Earth's Radiant Energy System. Significant cloud-free OLR differences are observed between the clear and blowing snow sky, with the sign and magnitude depending on season and time of the day. During nighttime, OLRs are usually larger when blowing snow is present; the average difference in OLRs between without and with blowing snow over the East Antarctic Ice Sheet is about -5.2W/m(2) for the winter months of 2009. During daytime, in contrast, the OLR perturbation is usually smaller or even has the opposite sign. The observed seasonal variations and day-night differences in the OLR perturbation are consistent with theoretical calculations of the influence of blowing snow on OLR. Detailed atmospheric profiles are needed to quantify the radiative effect of blowing snow from the satellite observations.</t>
  </si>
  <si>
    <t>[Yang, Yuekui] Univ Space Res Assoc, Columbia, MD 21044 USA; [Yang, Yuekui; Palm, Stephen P.; Marshak, Alexander; Wu, Dong L.; Yu, Hongbin] NASA, Goddard Space Flight Ctr, Greenbelt, MD 20771 USA; [Palm, Stephen P.] Sci Syst &amp; Applicat Inc, Lanham, MD USA; [Yu, Hongbin] Univ Maryland, Earth Syst Sci Interdisciplinary Ctr, College Pk, MD 20742 USA; [Fu, Qiang] Univ Washington, Dept Atmospher Sci, Seattle, WA 98195 USA</t>
  </si>
  <si>
    <t>Universities Space Research Association (USRA); National Aeronautics &amp; Space Administration (NASA); NASA Goddard Space Flight Center; Science Systems and Applications Inc; University System of Maryland; University of Maryland College Park; University of Washington; University of Washington Seattle</t>
  </si>
  <si>
    <t>Yang, YK (corresponding author), Univ Space Res Assoc, Columbia, MD 21044 USA.</t>
  </si>
  <si>
    <t>Yuekui.Yang@nasa.gov</t>
  </si>
  <si>
    <t>Yang, Yuekui/B-4326-2015; Wu, Dong L/D-5375-2012; Fu, Qiang/W-5836-2019; Marshak, Alexander/D-5671-2012; Keyes, Dennis/AAZ-9285-2021; Yu, Hongbin/C-6485-2008</t>
  </si>
  <si>
    <t>Yang, Yuekui/0000-0002-1630-272X; Yu, Hongbin/0000-0003-4706-1575</t>
  </si>
  <si>
    <t>NASA</t>
  </si>
  <si>
    <t>We thank two anonymous reviewers for reviewing this manuscript and for their insightful comments. This work is supported by NASA's Cryosphere Research Program. Data used in this study are from the Level 1 and Atmosphere Archive and Distribution System (LAADS) at the NASA Goddard Space Flight Center and the Atmospheric Science Data Center (ASDC) at the NASA Langley Research Center.</t>
  </si>
  <si>
    <t>10.1002/2013GL058932</t>
  </si>
  <si>
    <t>WOS:000332991000076</t>
  </si>
  <si>
    <t>McMinn, A; Müller, MN; Martin, A; Ryan, KG</t>
  </si>
  <si>
    <t>McMinn, Andrew; Mueller, Marius N.; Martin, Andrew; Ryan, Ken G.</t>
  </si>
  <si>
    <t>The Response of Antarctic Sea Ice Algae to Changes in pH and CO2</t>
  </si>
  <si>
    <t>INORGANIC CARBON ACQUISITION; GLOBAL CLIMATE-CHANGE; OCEAN ACIDIFICATION; PHYTOPLANKTON; GROWTH; DIATOM; PHOTOSYNTHESIS; SENSITIVITY; PERFORMANCE; ORGANISMS</t>
  </si>
  <si>
    <t>Ocean acidification substantially alters ocean carbon chemistry and hence pH but the effects on sea ice formation and the CO2 concentration in the enclosed brine channels are unknown. Microbial communities inhabiting sea ice ecosystems currently contribute 10-50% of the annual primary production of polar seas, supporting overwintering zooplankton species, especially Antarctic krill, and seeding spring phytoplankton blooms. Ocean acidification is occurring in all surface waters but the strongest effects will be experienced in polar ecosystems with significant effects on all trophic levels. Brine algae collected from McMurdo Sound (Antarctica) sea ice was incubated in situ under various carbonate chemistry conditions. The carbon chemistry was manipulated with acid, bicarbonate and bases to produce a pCO(2) and pH range from 238 to 6066 mu atm and 7.19 to 8.66, respectively. Elevated pCO(2) positively affected the growth rate of the brine algal community, dominated by the unique ice dinoflagellate, Polarella glacialis. Growth rates were significantly reduced when pH dropped below 7.6. However, when the pH was held constant and the pCO(2) increased, growth rates of the brine algae increased by more than 20% and showed no decline at pCO(2) values more than five times current ambient levels. We suggest that projected increases in seawater pCO(2), associated with OA, will not adversely impact brine algal communities.</t>
  </si>
  <si>
    <t>[McMinn, Andrew; Mueller, Marius N.; Martin, Andrew] Univ Tasmania, Inst Marine &amp; Antarctic Studies, Hobart, Tas, Australia; [Martin, Andrew; Ryan, Ken G.] Victoria Univ Wellington, Sch Biol Sci, Wellington, New Zealand</t>
  </si>
  <si>
    <t>University of Tasmania; Victoria University Wellington</t>
  </si>
  <si>
    <t>McMinn, A (corresponding author), Univ Tasmania, Inst Marine &amp; Antarctic Studies, Hobart, Tas, Australia.</t>
  </si>
  <si>
    <t>Andrew.mcminn@utas.edu.au</t>
  </si>
  <si>
    <t>Martin, Andrew/F-5688-2013; McMinn, Andrew/A-9910-2008; Muller, Marius N./N-9338-2014</t>
  </si>
  <si>
    <t>Ryan, Ken/0000-0001-7075-0112; Muller, Marius N./0000-0003-4765-3933; Martin, Andrew/0000-0001-8260-5529</t>
  </si>
  <si>
    <t>Australian Antarctic Division [AAS 4008]; Australian Research Council (ARC) [DP1093801]; Australian Research Council [DP1093801] Funding Source: Australian Research Council</t>
  </si>
  <si>
    <t>Australian Antarctic Division; Australian Research Council (ARC)(Australian Research Council); Australian Research Council(Australian Research Council)</t>
  </si>
  <si>
    <t>Financial support for this project came from the Australian Antarctic Division (AAS 4008) and the Australian Research Council (ARC) Discovery Project DP1093801. The funders had no role in study design, data collection and analysis, decision to publish, or preparation of the manuscript.</t>
  </si>
  <si>
    <t>e86984</t>
  </si>
  <si>
    <t>10.1371/journal.pone.0086984</t>
  </si>
  <si>
    <t>301CJ</t>
  </si>
  <si>
    <t>WOS:000330510000097</t>
  </si>
  <si>
    <t>Campbell, P; Mills, M; Deshler, T</t>
  </si>
  <si>
    <t>Campbell, Patrick; Mills, Michael; Deshler, Terry</t>
  </si>
  <si>
    <t>The global extent of the mid stratospheric CN layer: A three-dimensional modeling study</t>
  </si>
  <si>
    <t>IN-SITU MEASUREMENTS; SULFURIC-ACID SYSTEM; CONDENSATION NUCLEI; PARTICLE FORMATION; ARCTIC OSCILLATION; BINARY NUCLEATION; AEROSOL; WATER; VAPOR; SIMULATIONS</t>
  </si>
  <si>
    <t>For the first time the global extent of a mid stratospheric new particle layer is addressed, using the National Center for Atmospheric Research Community Earth System Model, version 1 (CESM1), with the high-top atmosphere component, the Whole Atmosphere Community Climate Model (WACCM). The CESM1(WACCM) version has been configured for pure sulfate formation in the stratosphere, including the formation of late winter to spring condensation nuclei (CN), or small particle, layers of enhanced concentration in the polar regions. CESM1(WACCM) adequately reproduces, with some differences, a layer of observed (r &gt; 3-10 nm) particles originating in the polar stratosphere as measured in both the Antarctic and northern mid latitude regions. The austral CN layer in August has nearly a symmetrical maximum in concentration within the 60-65 degrees S latitude band and extends to 15 degrees S. In comparison in February, the Northern Hemisphere CN layer has less symmetry and extends to only 30 degrees N. CN concentrations in the mid stratosphere are variable due to the polar formation of the CN layer in each hemisphere, and the CN layer accounts for &gt; 50-90% of the r &gt; 3 nm particles in the stratospheric column poleward of 30 degrees S and 35 degrees N during winter and spring. The increase in CN concentration during the formation of the austral layer is not necessarily smooth. There may be fluctuations related to changes in temperature, partitioning of sulfuric acid, and the competition between nucleation, condensation, and coagulation. CESM1(WACCM) also predicts fall CN layers in both hemispheres. There are no observations to compare with this prediction.</t>
  </si>
  <si>
    <t>[Campbell, Patrick; Deshler, Terry] Univ Wyoming, Dept Atmospher Sci, Laramie, WY 82071 USA; [Mills, Michael] Natl Ctr Atmospher Res, NCAR Earth Syst Lab, Boulder, CO 80307 USA</t>
  </si>
  <si>
    <t>University of Wyoming; National Center Atmospheric Research (NCAR) - USA</t>
  </si>
  <si>
    <t>Campbell, P (corresponding author), Univ Wyoming, Dept Atmospher Sci, Laramie, WY 82071 USA.</t>
  </si>
  <si>
    <t>pcampbe2@uwyo.edu</t>
  </si>
  <si>
    <t>Campbell, Patrick/ABC-9864-2021; Mills, Michael/B-5068-2010</t>
  </si>
  <si>
    <t>Campbell, Patrick/0000-0003-0987-8402; Mills, Michael/0000-0002-8054-1346; Deshler, Terry/0000-0001-8552-0109</t>
  </si>
  <si>
    <t>National Science Foundation (NSF) [ATM-1011827]; NSF [OPP-0839124]; Directorate For Geosciences; Div Atmospheric &amp; Geospace Sciences [1011827] Funding Source: National Science Foundation</t>
  </si>
  <si>
    <t>National Science Foundation (NSF)(National Science Foundation (NSF)); NSF(National Science Foundation (NSF)); Directorate For Geosciences; Div Atmospheric &amp; Geospace Sciences(National Science Foundation (NSF)NSF - Directorate for Geosciences (GEO))</t>
  </si>
  <si>
    <t>The 2010 Laramie measurements and CESM1 (WACCM) modeling results provided in this paper were supported by the National Science Foundation (NSF) under grant ATM-1011827. The 2010 McMurdo measurements were supported by the NSF under grant OPP-0839124. The authors extend their gratitude to the three anonymous reviewers, for their valuable insight and assistance in evaluating this paper.</t>
  </si>
  <si>
    <t>JAN 27</t>
  </si>
  <si>
    <t>10.1002/2013JD020503</t>
  </si>
  <si>
    <t>AK3PV</t>
  </si>
  <si>
    <t>WOS:000338338100021</t>
  </si>
  <si>
    <t>Nguyen, C; Bahar, MH; Baker, G; Andrew, NR</t>
  </si>
  <si>
    <t>Chi Nguyen; Bahar, Md Habibullah; Baker, Greg; Andrew, Nigel R.</t>
  </si>
  <si>
    <t>Thermal Tolerance Limits of Diamondback Moth in Ramping and Plunging Assays</t>
  </si>
  <si>
    <t>PLUTELLA-XYLOSTELLA LEPIDOPTERA; SUB-ANTARCTIC CATERPILLAR; COLD-SHOCK INJURY; CLIMATE-CHANGE; TEMPERATURE TOLERANCE; PRINGLEOPHAGA-MARIONI; RESPONSES; INSECTS; VARIABILITY; DEPEND</t>
  </si>
  <si>
    <t>Thermal sensitivity is a crucial determinant of insect abundance and distribution. The way it is measured can have a critical influence on the conclusions made. Diamondback moth (DBM), Plutella xylostella (L.) (Lepidoptera: Plutellidae) is an important insect pest of cruciferous crops around the world and the thermal responses of polyphagous species are critical to understand the influences of a rapidly changing climate on their distribution and abundance. Experiments were carried out to the lethal temperature limits (ULT0 and LLT0: temperatures where there is no survival) as well as Upper and Lower Lethal Temperature (ULT25 and LLT25) (temperature where 25% DBM survived) of lab-reared adult DBM population to extreme temperatures attained by either two-way ramping (ramping temperatures from baseline to LT25 and ramping back again) or sudden plunging method. In this study the ULT0 for DBM was recorded as 42.6 degrees C and LLT0 was recorded as -16.5 degrees C. DBM had an ULT25 of 41.8 degrees C and LLT25 of -15.2 degrees C. The duration of exposure to extreme temperatures had significant impacts on survival of DBM, with extreme temperatures and/or longer durations contributing to higher lethality. Comparing the two-way ramping temperature treatment to that of direct plunging temperature treatment, our study clearly demonstrated that DBM was more tolerant to temperature in the two-way ramping assay than that of the plunging assay for cold temperatures, but at warmer temperatures survival exhibited no differences between ramping and plunging. These results suggest that DBM will not be put under physiological stress from a rapidly changing climate, rather access to host plants in marginal habitats has enabled them to expand their distribution. Two-way temperature ramping enhances survival of DBM at cold temperatures, and this needs to be examined across a range of taxa and life stages to determine if enhanced survival is widespread incorporating a ramping recovery method.</t>
  </si>
  <si>
    <t>[Chi Nguyen; Bahar, Md Habibullah; Andrew, Nigel R.] Univ New England, Ctr Behav &amp; Physiol Ecol, Armidale, NSW, Australia; [Bahar, Md Habibullah] Agr &amp; Agri Food Canada, Saskatoon Res Ctr, Saskatoon, SK, Canada; [Baker, Greg] South Australian Res &amp; Dev Inst, SARDI Entomol Unit, Adelaide, SA, Australia</t>
  </si>
  <si>
    <t>University of New England; Agriculture &amp; Agri Food Canada; South Australian Research &amp; Development Institute (SARDI)</t>
  </si>
  <si>
    <t>Andrew, NR (corresponding author), Univ New England, Ctr Behav &amp; Physiol Ecol, Armidale, NSW, Australia.</t>
  </si>
  <si>
    <t>nigel.andrew@une.edu.au</t>
  </si>
  <si>
    <t>Andrew, Nigel/B-7162-2008</t>
  </si>
  <si>
    <t>Andrew, Nigel/0000-0002-2850-2307</t>
  </si>
  <si>
    <t>Grains Research Development Corporation (GRDC) project [UNE00013]; Vietnam Government Scholarship</t>
  </si>
  <si>
    <t>Grains Research Development Corporation (GRDC) project(Grains R&amp;D Corp); Vietnam Government Scholarship</t>
  </si>
  <si>
    <t>The work was funded by a Grains Research Development Corporation (GRDC) project (UNE00013) to NRA. Chi Nguyen was supported by a Vietnam Government Scholarship. The funders had no role in study design, data collection and analysis, decision to publish, or preparation of the manuscript.</t>
  </si>
  <si>
    <t>e87535</t>
  </si>
  <si>
    <t>10.1371/journal.pone.0087535</t>
  </si>
  <si>
    <t>301BI</t>
  </si>
  <si>
    <t>WOS:000330507300197</t>
  </si>
  <si>
    <t>Eagles, G; Jokat, W</t>
  </si>
  <si>
    <t>Eagles, Graeme; Jokat, Wilfried</t>
  </si>
  <si>
    <t>Tectonic reconstructions for paleobathymetry in Drake Passage</t>
  </si>
  <si>
    <t>TECTONOPHYSICS</t>
  </si>
  <si>
    <t>Ocean gateways; Antarctic circumpolar current; Plate motions; Paleobathymetry; Southern Ocean; Global change</t>
  </si>
  <si>
    <t>ANTARCTICA PLATE BOUNDARY; NORTH-SCOTIA-RIDGE; HEAT-FLOW; SOUTH-ATLANTIC; MANTLE FLOW; BASIN DEVELOPMENT; TRENCH COLLISION; POWELL BASIN; WEDDELL SEA; JANE BASIN</t>
  </si>
  <si>
    <t>A minimum-complexity tectonic reconstruction, based on published and new basin opening models, depicts how the Scotia Sea grew by Cenozoic plate divergence, dismembering a Jurassic sheared margin of Gondwana. Part of the Jurassic-early Cretaceous ocean that accreted to this margin forms the core of the Central Scotia Plate, the arc plate above a trench at the eastern end of the Scotia Sea, which migrated east away from the Antarctic and South American plates. A sequence of extensional basins opened on the western edge of the Central Scotia Plate at 5030 Ma, decoupled from the South American Plate to the northwest by slow motion on a long transform fault. Succeeding the basins, seafloor spreading started around 30 Ma on the West Scotia Ridge, which propagated northwards in the 23-17 Ma period and ceased to operate at 6 Ma. The circuits of plate motions inside and outside the Scotia Arc are joined via rotations that describe Antarctic-Central Scotia plate motion in Powell Basin until 20 Ma, and along the South Scotia Ridge thereafter. The modelled relative motion at the northern edge of the Scotia Sea is thus constrained only by the plate circuit, but nonetheless resembles that known coarsely from the geological record of Tierra del Fuego. A paleobathymetric interpretation of nine time slices in the model shows Drake Passage developing as an intermediate-depth oceanographic gateway at 50-30 Ma, with deep flow possible afterwards. Initially, this deep flow would have been made tortuous by numerous intermediate and shallow barriers. A frontal pattern resembling that in the modern Scotia Sea would have awaited the clearance of significant barriers by continuing seafloor spreading in the Scotia Sea at similar to 18.5 Ma, at Shag Rocks Passage, and after 10 Ma southeast of South Georgia. (C) 2013 Elsevier B.V. All rights reserved.</t>
  </si>
  <si>
    <t>[Eagles, Graeme] Royal Holloway Univ London, Dept Earth Sci, Egham TW20 0EX, Surrey, England; [Jokat, Wilfried] Helmholtz Ctr Polar &amp; Marine Res, Alfred Wegener Inst, D-27568 Bremerhaven, Germany</t>
  </si>
  <si>
    <t>University of London; Royal Holloway University London; Helmholtz Association; Alfred Wegener Institute, Helmholtz Centre for Polar &amp; Marine Research</t>
  </si>
  <si>
    <t>Eagles, G (corresponding author), Helmholtz Ctr Polar &amp; Marine Res, Alfred Wegener Inst, Alten Hafen 26, D-27568 Bremerhaven, Germany.</t>
  </si>
  <si>
    <t>graeme.eagles@rhul.ac.uk</t>
  </si>
  <si>
    <t>Eagles, Graeme/0000-0001-5325-0810; Jokat, Wilfried/0000-0002-7793-5854</t>
  </si>
  <si>
    <t>FDRG at RHUL</t>
  </si>
  <si>
    <t>GE acknowledges the support of Ken McClay and FDRG at RHUL in the presentation of this work at the 2012 IGC in Brisbane. We thank Matthias Konig for acquiring and processing the central Scotia Sea magnetic anomaly data.</t>
  </si>
  <si>
    <t>0040-1951</t>
  </si>
  <si>
    <t>1879-3266</t>
  </si>
  <si>
    <t>Tectonophysics</t>
  </si>
  <si>
    <t>JAN 25</t>
  </si>
  <si>
    <t>10.1016/j.tecto.2013.11.021</t>
  </si>
  <si>
    <t>300WA</t>
  </si>
  <si>
    <t>WOS:000330493500002</t>
  </si>
  <si>
    <t>Walters, A; Lea, MA; van den Hoff, J; Field, IC; Virtue, P; Sokolov, S; Pinkerton, MH; Hindell, MA</t>
  </si>
  <si>
    <t>Walters, Andrea; Lea, Mary-Anne; van den Hoff, John; Field, Iain C.; Virtue, Patti; Sokolov, Sergei; Pinkerton, Matt H.; Hindell, Mark A.</t>
  </si>
  <si>
    <t>Spatially Explicit Estimates of Prey Consumption Reveal a New Krill Predator in the Southern Ocean</t>
  </si>
  <si>
    <t>SEALS MIROUNGA-LEONINA; STABLE-ISOTOPE RATIOS; PENGUINS APTENODYTES-PATAGONICUS; ELEPHANT SEALS; FORAGING STRATEGIES; JUVENILE SOUTHERN; DIVING BEHAVIOR; KING PENGUINS; FOOD-WEB; PLANKTON DELTA-C-13</t>
  </si>
  <si>
    <t>Development in foraging behaviour and dietary intake of many vertebrates are age-structured. Differences in feeding ecology may correlate with ontogenetic shifts in dispersal patterns, and therefore affect foraging habitat and resource utilization. Such life-history traits have important implications in interpreting tropho-dynamic linkages. Stable isotope ratios in the whiskers of sub-yearling southern elephant seals (Mirounga leonina; n = 12) were used, in conjunction with satellite telemetry and environmental data, to examine their foraging habitat and diet during their first foraging migration. The trophic position of seals from Macquarie Island (54 degrees 30'S, 158 degrees 57'E) was estimated using stable carbon (delta C-13) and nitrogen (delta N-15) ratios along the length of the whisker, which provided a temporal record of prey intake. Satellite-relayed data loggers provided details on seal movement patterns, which were related to isotopic concentrations along the whisker. Animals fed in waters south of the Polar Front (&gt;60 degrees S) or within Commission for the Conservation of Antarctic Marine Living Resources (CCAMLR) Statistical Subareas 88.1 and 88.2, as indicated by both their depleted delta C-13 (&lt; -20%) values, and tracking data. They predominantly exploited varying proportions of mesopelagic fish and squid, and crustaceans, such as euphausiids, which have not been reported as a prey item for this species. Comparison of isotopic data between sub-yearlings, and 1, 2 and 3 yr olds indicated that sub-yearlings, limited by their size, dive capabilities and prey capture skills to feeding higher in the water column, fed at a lower trophic level than older seals. This is consistent with the consumption of euphausiids and most probably, Antarctic krill (Euphausia superba), which constitute an abundant, easily accessible source of prey in water masses used by this age class of seals. Isotopic assessment and concurrent tracking of seals are successfully used here to identify ontogenetic shifts in broad-scale foraging habitat use and diet preferences in a highly migratory predator.</t>
  </si>
  <si>
    <t>[Walters, Andrea; Lea, Mary-Anne; Virtue, Patti; Hindell, Mark A.] Univ Tasmania, Inst Marine &amp; Antarctic Studies, Hobart, Tas, Australia; [Walters, Andrea; Virtue, Patti; Hindell, Mark A.] Antarctic Climate &amp; Ecosyst Cooperat Res Ctr, Hobart, Tas, Australia; [van den Hoff, John] Australian Antarctic Div, Kingston, Tas, Australia; [Field, Iain C.] Macquarie Univ, Dept Geog &amp; Environm, Marine Mammal Res Grp, Sydney, NSW 2109, Australia; [Sokolov, Sergei] Commonwealth Sci &amp; Ind Res Org Marine &amp; Atmospher, Hobart, Tas, Australia; [Pinkerton, Matt H.] Natl Inst Water &amp; Atmospher Res Ltd, Wellington, New Zealand</t>
  </si>
  <si>
    <t>University of Tasmania; Antarctic Climate &amp; Ecosystems Cooperative Research Centre (ACE CRC); Australian Antarctic Division; Macquarie University; Commonwealth Scientific &amp; Industrial Research Organisation (CSIRO); National Institute of Water &amp; Atmospheric Research (NIWA) - New Zealand</t>
  </si>
  <si>
    <t>Walters, A (corresponding author), Univ Tasmania, Inst Marine &amp; Antarctic Studies, Hobart, Tas, Australia.</t>
  </si>
  <si>
    <t>Andrea.Walters@utas.edu.au</t>
  </si>
  <si>
    <t>Hindell, Mark A/K-1131-2013; Field, Iain C/D-3934-2009; Lea, Mary-Anne/E-9054-2013</t>
  </si>
  <si>
    <t>Virtue, Patti/0000-0002-9870-1256; Walters, Andrea/0000-0002-7166-5689; Hindell, Mark/0000-0002-7823-7185; Lea, Mary-Anne/0000-0001-8318-9299</t>
  </si>
  <si>
    <t>Sea World Research and Rescue Foundation Inc [SWR/4/2009]; Department of the Environment, Water, Heritage and the Arts, Australian Marine Mammal Centre, Australian Antarctic Division [0809/5]; New Zealand, International Polar Year (IPY), Census of Antarctic Marine Life (CAML), (IPY-CAML); Ministry of Science and Innovation (MSI) [C01X1001]</t>
  </si>
  <si>
    <t>Sea World Research and Rescue Foundation Inc; Department of the Environment, Water, Heritage and the Arts, Australian Marine Mammal Centre, Australian Antarctic Division; New Zealand, International Polar Year (IPY), Census of Antarctic Marine Life (CAML), (IPY-CAML); Ministry of Science and Innovation (MSI)(Spanish Government)</t>
  </si>
  <si>
    <t>This study was financially supported by The Sea World Research and Rescue Foundation Inc (Project SWR/4/2009, P. Virtue) and the Department of the Environment, Water, Heritage and the Arts, Australian Marine Mammal Centre, Australian Antarctic Division (Project 0809/5, M. Hindell). The authors would also like to acknowledge part funding from the New Zealand, International Polar Year (IPY), Census of Antarctic Marine Life (CAML), (IPY-CAML) and Ministry of Science and Innovation (MSI) project C01X1001, and Sarah Bury and Julie Brown for providing stable isotope data from these projects. The funders had no role in study design, data collection and analysis, decision to publish, or preparation of the manuscript.</t>
  </si>
  <si>
    <t>JAN 24</t>
  </si>
  <si>
    <t>e86452</t>
  </si>
  <si>
    <t>10.1371/journal.pone.0086452</t>
  </si>
  <si>
    <t>298QQ</t>
  </si>
  <si>
    <t>WOS:000330339800047</t>
  </si>
  <si>
    <t>King, J</t>
  </si>
  <si>
    <t>King, John</t>
  </si>
  <si>
    <t>CLIMATE SCIENCE A resolution of the Antarctic paradox</t>
  </si>
  <si>
    <t>TRENDS; NORTH</t>
  </si>
  <si>
    <t>British Antarctic Survey, Cambridge CB3 0ET, England</t>
  </si>
  <si>
    <t>King, J (corresponding author), British Antarctic Survey, High Cross, Cambridge CB3 0ET, England.</t>
  </si>
  <si>
    <t>jcki@bas.ac.uk</t>
  </si>
  <si>
    <t>NERC [bas0100023] Funding Source: UKRI; Natural Environment Research Council [bas0100023] Funding Source: researchfish</t>
  </si>
  <si>
    <t>JAN 23</t>
  </si>
  <si>
    <t>10.1038/505491a</t>
  </si>
  <si>
    <t>293SW</t>
  </si>
  <si>
    <t>WOS:000329995000027</t>
  </si>
  <si>
    <t>Li, XC; Holland, DM; Gerber, EP; Yoo, C</t>
  </si>
  <si>
    <t>Li, Xichen; Holland, David M.; Gerber, Edwin P.; Yoo, Changhyun</t>
  </si>
  <si>
    <t>Impacts of the north and tropical Atlantic Ocean on the Antarctic Peninsula and sea ice</t>
  </si>
  <si>
    <t>SOUTHERN ANNULAR MODE; CLIMATE; CIRCULATION; OSCILLATION; TRENDS; VARIABILITY; DRIVEN; FLOW</t>
  </si>
  <si>
    <t>In recent decades, Antarctica has experienced pronounced climate changes. The Antarctic Peninsula exhibited the strongest warming(1,2) of any region on the planet, causing rapid changes in land ice(3,4). Additionally, in contrast to the sea-ice decline over the Arctic, Antarctic sea ice has not declined, but has instead undergone a perplexing redistribution(5,6). Antarctic climate is influenced by, among other factors, changes in radiative forcing(7) and remote Pacific climate variability(8,9), but none explains the observed Antarctic Peninsula warming or the sea-ice redistribution in austral winter. However, in the north and tropical Atlantic Ocean, the Atlantic Multidecadal Oscillation(10,11) (a leading mode of sea surface temperature variability) has been overlooked in this context. Here we show that sea surface warming related to the Atlantic Multidecadal Oscillation reduces the surface pressure in the Amundsen Sea and contributes to the observed dipole-like sea-ice redistribution between the Ross and Amundsen-Bellingshausen-Weddell seas and to the Antarctic Peninsula warming. Support for these findings comes from analysis of observational and reanalysis data, and independently from both comprehensive and idealized atmospheric model simulations. We suggest that the north and tropical Atlantic is important for projections of future climate change in Antarctica, and has the potential to affect the global thermohaline circulation(6) and sea-level change(3,12).</t>
  </si>
  <si>
    <t>[Li, Xichen; Holland, David M.; Gerber, Edwin P.; Yoo, Changhyun] NYU, Courant Inst Math Sci, New York, NY 10012 USA</t>
  </si>
  <si>
    <t>New York University</t>
  </si>
  <si>
    <t>Li, XC (corresponding author), NYU, Courant Inst Math Sci, 251 Mercer St, New York, NY 10012 USA.</t>
  </si>
  <si>
    <t>xichen@cims.nyu.edu</t>
  </si>
  <si>
    <t>Li, Xichen/ISB-4663-2023</t>
  </si>
  <si>
    <t>Gerber, Edwin/0000-0002-6010-6638</t>
  </si>
  <si>
    <t>NSF Office of Polar Programs [ANT-0732869]; NASA Polar Programs [NNX12AB69G]; New York University Abu Dhabi [G1204]; NSF Office of Atmospheric and Geospace Sciences [AGS-1264195]; National Science Foundation (NSF); Office of Science (BER) of the US Department of Energy (DOE); NASA [30944, NNX12AB69G] Funding Source: Federal RePORTER; Div Atmospheric &amp; Geospace Sciences; Directorate For Geosciences [1264195] Funding Source: National Science Foundation</t>
  </si>
  <si>
    <t>NSF Office of Polar Programs(National Science Foundation (NSF)); NASA Polar Programs; New York University Abu Dhabi; NSF Office of Atmospheric and Geospace Sciences; National Science Foundation (NSF)(National Science Foundation (NSF)); Office of Science (BER) of the US Department of Energy (DOE)(United States Department of Energy (DOE)); NASA(National Aeronautics &amp; Space Administration (NASA)); Div Atmospheric &amp; Geospace Sciences; Directorate For Geosciences(National Science Foundation (NSF)NSF - Directorate for Geosciences (GEO))</t>
  </si>
  <si>
    <t>X.L., D.M.H. and C.Y. were supported by the NSF Office of Polar Programs (grant number ANT-0732869), the NASA Polar Programs (grant number NNX12AB69G), and New York University Abu Dhabi (grant number G1204). E.P.G. was supported by the NSF Office of Atmospheric and Geospace Sciences (grant number AGS-1264195). The HadISST SST and SIC data was provided by the British Met Office, Hadley Centre. The Antarctic weather station data was made available by the British Antarctic Survey. The MERRA atmospheric reanalysis data was provided by the Global Modeling and Assimilation Office (GMAO) at NASA Goddard Space Flight Center (GSFC) through the NASA Goddard Earth Sciences (GES) Data and Information Services Center (DISC) online archive (http://disc.sci.gsfc.nasa.gov/mdisc/data-holdings/merra/merra_products_nonjs.shtml). The ERA-Interim atmospheric reanalysis was provided by the ECMWF. The comprehensive atmospheric model (CAM4) was made available by the National Center for Atmospheric Research (NCAR), supported by the National Science Foundation (NSF) and the Office of Science (BER) of the US Department of Energy (DOE). The idealized atmospheric model (the GFDL dry dynamical core) was developed by the National Oceanic and Atmospheric Administration (NOAA) at the GFDL. Computing resources were provided by the National Energy Research Scientific Computing Center (NERSC) and High Performance Computing (HPC) at New York University (NYU).</t>
  </si>
  <si>
    <t>10.1038/nature12945</t>
  </si>
  <si>
    <t>WOS:000329995000037</t>
  </si>
  <si>
    <t>Suzuki, D; Miyamoto, T; Kikawada, T; Watanabe, M; Suzuki, T</t>
  </si>
  <si>
    <t>Suzuki, Dai; Miyamoto, Tomoko; Kikawada, Takahiro; Watanabe, Manabu; Suzuki, Toru</t>
  </si>
  <si>
    <t>A Leech Capable of Surviving Exposure to Extremely Low Temperatures</t>
  </si>
  <si>
    <t>COLD-TOLERANCE; ANTARCTIC NEMATODE; FREEZE TOLERANCE; LIQUID-NITROGEN; VITRIFICATION; CRYOPRESERVATION; ANHYDROBIOSIS; ANIMALS; LIFE</t>
  </si>
  <si>
    <t>It is widely considered that most organisms cannot survive prolonged exposure to temperatures below 0 degrees C, primarily because of the damage caused by the water in cells as it freezes. However, some organisms are capable of surviving extreme variations in environmental conditions. In the case of temperature, the ability to survive subzero temperatures is referred to as cryobiosis. We show that the ozobranchid leech, Ozobranchus jantseanus, a parasite of freshwater turtles, has a surprisingly high tolerance to freezing and thawing. This finding is particularly interesting because the leach can survive these temperatures without any acclimation period or pretreatment. Specifically, the leech survived exposure to super-low temperatures by storage in liquid nitrogen (-196 degrees C) for 24 hours, as well as long-term storage at temperatures as low as -90 degrees C for up to 32 months. The leech was also capable of enduring repeated freeze-thaw cycles in the temperature range 20 degrees C to -100 degrees C and then back to 20 degrees C. The results demonstrated that the novel cryotolerance mechanisms employed by O. jantseanus enable the leech to withstand a wider range of temperatures than those reported previously for cryobiotic organisms. We anticipate that the mechanism for the observed tolerance to freezing and thawing in O. jantseanus will prove useful for future studies of cryopreservation.</t>
  </si>
  <si>
    <t>[Suzuki, Dai; Miyamoto, Tomoko; Watanabe, Manabu; Suzuki, Toru] Tokyo Univ Marine Sci &amp; Technol, Dept Food Sci &amp; Technol, Tokyo, Japan; [Suzuki, Dai] Kyoto Univ, Fac Sci, Dept Zool, Grad Sch Sci, Kyoto 606, Japan; [Kikawada, Takahiro] Natl Inst Agrobiol Sci, Anhydrobiosis Res Grp, Insect Mimet Res Unit, Tsukuba, Ibaraki, Japan</t>
  </si>
  <si>
    <t>Tokyo University of Marine Science &amp; Technology; Kyoto University; National Institute of Agrobiological Sciences - Japan</t>
  </si>
  <si>
    <t>Suzuki, T (corresponding author), Kyushu Univ, Grad Sch Social &amp; Cultural Studies, Fukuoka 812, Japan.</t>
  </si>
  <si>
    <t>toru@kaiyodai.ac.jp</t>
  </si>
  <si>
    <t>Kikawada, Takahiro/A-1289-2010; WATANABE, Manabu/O-1981-2014; SUZUKI, Toru/O-1972-2014</t>
  </si>
  <si>
    <t>Kikawada, Takahiro/0000-0002-2329-9282;</t>
  </si>
  <si>
    <t>Global COE program for Biodiversity and Evolutionary Research [A06]; Ministry of Education, Culture, Sports, Science and Technology, Japan</t>
  </si>
  <si>
    <t>Global COE program for Biodiversity and Evolutionary Research; Ministry of Education, Culture, Sports, Science and Technology, Japan(Ministry of Education, Culture, Sports, Science and Technology, Japan (MEXT))</t>
  </si>
  <si>
    <t>This study was partially supported by the Global COE program for Biodiversity and Evolutionary Research (A06) from the Ministry of Education, Culture, Sports, Science and Technology, Japan. The funder had no role in study design, data collection and analysis, decision to publish, or preparation of the manuscript. No additional external funding received for this study.</t>
  </si>
  <si>
    <t>JAN 22</t>
  </si>
  <si>
    <t>e86807</t>
  </si>
  <si>
    <t>10.1371/journal.pone.0086807</t>
  </si>
  <si>
    <t>297VL</t>
  </si>
  <si>
    <t>WOS:000330283100219</t>
  </si>
  <si>
    <t>Dulvy, NK; Fowler, SL; Musick, JA; Cavanagh, RD; Kyne, PM; Harrison, LR; Carlson, JK; Davidson, LNK; Fordham, SV; Francis, MP; Pollock, CM; Simpfendorfer, CA; Burgess, GH; Carpenter, KE; Compagno, LJV; Ebert, DA; Gibson, C; Heupel, MR; Livingstone, SR; Sanciangco, JC; Stevens, JD; Valenti, S; White, WT</t>
  </si>
  <si>
    <t>Dulvy, Nicholas K.; Fowler, Sarah L.; Musick, John A.; Cavanagh, Rachel D.; Kyne, Peter M.; Harrison, Lucy R.; Carlson, John K.; Davidson, Lindsay N. K.; Fordham, Sonja V.; Francis, Malcolm P.; Pollock, Caroline M.; Simpfendorfer, Colin A.; Burgess, George H.; Carpenter, Kent E.; Compagno, Leonard J. V.; Ebert, David A.; Gibson, Claudine; Heupel, Michelle R.; Livingstone, Suzanne R.; Sanciangco, Jonnell C.; Stevens, John D.; Valenti, Sarah; White, William T.</t>
  </si>
  <si>
    <t>Extinction risk and conservation of the world's sharks and rays</t>
  </si>
  <si>
    <t>ELIFE</t>
  </si>
  <si>
    <t>LIFE-HISTORY; PELAGIC SHARKS; CLIMATE-CHANGE; FISHES; RECOVERY; VULNERABILITY; POPULATIONS; ATLANTIC; CATCHES; TRENDS</t>
  </si>
  <si>
    <t>The rapid expansion of human activities threatens ocean-wide biodiversity. Numerous marine animal populations have declined, yet it remains unclear whether these trends are symptomatic of a chronic accumulation of global marine extinction risk. We present the first systematic analysis of threat for a globally distributed lineage of 1,041 chondrichthyan fishes-sharks, rays, and chimaeras. We estimate that one-quarter are threatened according to IUCN Red List criteria due to overfishing (targeted and incidental). Large-bodied, shallow-water species are at greatest risk and five out of the seven most threatened families are rays. Overall chondrichthyan extinction risk is substantially higher than for most other vertebrates, and only one-third of species are considered safe. Population depletion has occurred throughout the world's ice-free waters, but is particularly prevalent in the Indo-Pacific Biodiversity Triangle and Mediterranean Sea. Improved management of fisheries and trade is urgently needed to avoid extinctions and promote population recovery.</t>
  </si>
  <si>
    <t>[Dulvy, Nicholas K.; Harrison, Lucy R.; Davidson, Lindsay N. K.] Simon Fraser Univ, Dept Biol Sci, IUCN Species Survival Commiss Shark Specialist Gr, Burnaby, BC V5A 1S6, Canada; [Dulvy, Nicholas K.; Harrison, Lucy R.; Davidson, Lindsay N. K.] Simon Fraser Univ, Dept Biol Sci, Earth Ocean Res Grp, Burnaby, BC V5A 1S6, Canada; [Fowler, Sarah L.; Valenti, Sarah] NatureBureau Int, IUCN Species Survival Commiss Shark Specialist Gr, Newbury, Berks, England; [Musick, John A.] Virginia Inst Marine Sci, Coll William &amp; Mary, Gloucester Point, VA 23062 USA; [Cavanagh, Rachel D.] British Antarctic Survey, Nat Environm Res Council, Cambridge CB3 0ET, England; [Kyne, Peter M.] Charles Darwin Univ, Res Inst Environm &amp; Livelihoods, Darwin, NT 0909, Australia; [Carlson, John K.] NOAA, Southeast Fisheries Sci Ctr, Natl Marine Fisheries Serv, Panama City, FL USA; [Fordham, Sonja V.] Ocean Fdn, Shark Advocates Int, Washington, DC USA; [Francis, Malcolm P.] Natl Inst Water &amp; Atmospher Res, Wellington, New Zealand; [Pollock, Caroline M.] Int Union Conservat Nat, Global Species Programme, Cambridge, England; [Simpfendorfer, Colin A.] James Cook Univ, Ctr Sustainable Trop Fisheries &amp; Aquaculture, Townsville, Qld 4811, Australia; [Simpfendorfer, Colin A.] James Cook Univ, Sch Earth &amp; Environm Sci, Townsville, Qld 4811, Australia; [Burgess, George H.] Univ Florida, Florida Museum Nat Hist, Florida Program Shark Res, Gainesville, FL USA; [Carpenter, Kent E.; Sanciangco, Jonnell C.] Old Dominion Univ, IUCN Species Programme Species Survival Commiss, Norfolk, VA USA; [Carpenter, Kent E.; Sanciangco, Jonnell C.] Old Dominion Univ, Conservat Int Global Marine Species Assessment, Norfolk, VA USA; [Compagno, Leonard J. V.] S African Museum, Shark Res Ctr, ZA-8000 Cape Town, South Africa; [Ebert, David A.] Moss Landing Marine Labs, Pacific Shark Res Ctr, Moss Landing, CA 95039 USA; [Heupel, Michelle R.] Australian Inst Marine Sci, Sch Earth &amp; Environm Sci, Townsville, Qld 4810, Australia; [Livingstone, Suzanne R.] Conservat Int, IUCN Species Programme, Biodivers Assessment Unit, Arlington, VA USA; [Sanciangco, Jonnell C.; White, William T.] CSIRO, Hobart, Tas, Australia</t>
  </si>
  <si>
    <t>Simon Fraser University; Simon Fraser University; William &amp; Mary; Virginia Institute of Marine Science; UK Research &amp; Innovation (UKRI); Natural Environment Research Council (NERC); NERC British Antarctic Survey; Charles Darwin University; National Oceanic Atmospheric Admin (NOAA) - USA; National Institute of Water &amp; Atmospheric Research (NIWA) - New Zealand; James Cook University; James Cook University; State University System of Florida; University of Florida; Old Dominion University; Old Dominion University; Moss Landing Marine Laboratories; Australian Institute of Marine Science; Conservation International; Commonwealth Scientific &amp; Industrial Research Organisation (CSIRO)</t>
  </si>
  <si>
    <t>Dulvy, NK (corresponding author), Simon Fraser Univ, Dept Biol Sci, IUCN Species Survival Commiss Shark Specialist Gr, Burnaby, BC V5A 1S6, Canada.</t>
  </si>
  <si>
    <t>dulvy@sfu.ca</t>
  </si>
  <si>
    <t>Simpfendorfer, Colin A/G-9681-2011; Harrison, Lucy R/F-9494-2011; Dulvy, Nicholas/I-2895-2012; White, William/B-9748-2009</t>
  </si>
  <si>
    <t>Dulvy, Nicholas/0000-0002-4295-9725; White, William/0000-0001-9705-2453; Davidson, Lindsay NK/0000-0002-8899-5537; Kyne, Peter/0000-0003-4494-2625; Heupel, Michelle/0000-0002-8245-7332; Sanciangco, Jonnell Cueto/0000-0001-8268-3180</t>
  </si>
  <si>
    <t>Conservation International; Packard Foundation; Save Our Seas Foundation; UK Department of Environment and Rural Affairs; US State Department; Sarah L Fowler US Department of Commerce; Marine Conservation Biology Institute; Pew Marine Fellows Program; Mohamed bin Zayed Species Conservation Foundation; Zoological Society of London; Canada Research Chairs Program; Natural Environment Research Council, Canada; Tom Haas and the New Hampshire Charitable Foundation; Oak Foundation; Future of Marine Animal Populations, Census of Marine Life; IUCN Centre for Mediterranean Cooperatio; UK Joint Nature Conservation Committee; National Marine Aquarium, Plymouth UK; New England Aquarium Marine Conservation Fund; UK Sarah L Fowler Chester Zoo; Ocean Program Sarah L Fowler WildCRU; Wildlife Conservation Research Unit, University of Oxford; UK Sarah L Fowler Institute for Ocean Conservation Science, University of Miami Sarah L Fowler; Flying Sharks; NERC [bas0100025] Funding Source: UKRI; Natural Environment Research Council [bas0100025] Funding Source: researchfish</t>
  </si>
  <si>
    <t>Conservation International; Packard Foundation(The David &amp; Lucile Packard Foundation); Save Our Seas Foundation; UK Department of Environment and Rural Affairs; US State Department; Sarah L Fowler US Department of Commerce; Marine Conservation Biology Institute; Pew Marine Fellows Program; Mohamed bin Zayed Species Conservation Foundation; Zoological Society of London; Canada Research Chairs Program(Canada Research Chairs); Natural Environment Research Council, Canada; Tom Haas and the New Hampshire Charitable Foundation; Oak Foundation; Future of Marine Animal Populations, Census of Marine Life; IUCN Centre for Mediterranean Cooperatio; UK Joint Nature Conservation Committee; National Marine Aquarium, Plymouth UK; New England Aquarium Marine Conservation Fund; UK Sarah L Fowler Chester Zoo; Ocean Program Sarah L Fowler WildCRU; Wildlife Conservation Research Unit, University of Oxford; UK Sarah L Fowler Institute for Ocean Conservation Science, University of Miami Sarah L Fowler; Flying Sharks; NERC(UK Research &amp; Innovation (UKRI)Natural Environment Research Council (NERC)); Natural Environment Research Council(UK Research &amp; Innovation (UKRI)Natural Environment Research Council (NERC))</t>
  </si>
  <si>
    <t>Conservation International Sarah L Fowler; Packard Foundation Sarah L Fowler; Save Our Seas Foundation Nicholas K Dulvy; UK Department of Environment and Rural Affairs Sarah L Fowler; US State Department Nicholas K Dulvy,; Sarah L Fowler US Department of Commerce Nicholas K Dulvy; Marine Conservation Biology Institute Sarah L Fowler; Pew Marine Fellows Program Sarah L Fowler; Mohamed bin Zayed Species Conservation Foundation Nicholas K Dulvy; Zoological Society of London Nicholas K Dulvy; Canada Research Chairs Program Nicholas K Dulvy; Natural Environment Research Council, Canada Nicholas K Dulvy; Tom Haas and the New Hampshire Charitable Foundation Sarah L Fowler; Oak Foundation Sarah L Fowler; Future of Marine Animal Populations, Census of Marine Life Sarah L Fowler; IUCN Centre for Mediterranean Cooperation Sarah L Fowler; UK Joint Nature Conservation Committee Sarah L Fowler; National Marine Aquarium, Plymouth UK Sarah L Fowler; New England Aquarium Marine Conservation Fund Sarah L Fowler; The Deep, Hull, UK Sarah L Fowler Blue Planet Aquarium,; UK Sarah L Fowler Chester Zoo,; UK Nicholas K Dulvy, Sarah L Fowler Lenfest; Ocean Program Sarah L Fowler WildCRU,; Wildlife Conservation Research Unit, University of Oxford,; UK Sarah L Fowler Institute for Ocean Conservation Science, University of Miami Sarah L Fowler; Flying Sharks</t>
  </si>
  <si>
    <t>eLIFE SCIENCES PUBL LTD</t>
  </si>
  <si>
    <t>SHERATON HOUSE, CASTLE PARK, CAMBRIDGE, CB3 0AX, ENGLAND</t>
  </si>
  <si>
    <t>2050-084X</t>
  </si>
  <si>
    <t>eLife</t>
  </si>
  <si>
    <t>JAN 21</t>
  </si>
  <si>
    <t>e00590</t>
  </si>
  <si>
    <t>10.7554/eLife.00590</t>
  </si>
  <si>
    <t>296GG</t>
  </si>
  <si>
    <t>gold, Green Published, Green Submitted, Green Accepted</t>
  </si>
  <si>
    <t>WOS:000330172600001</t>
  </si>
  <si>
    <t>Ke, CQ; Zhang, R; Liu, X</t>
  </si>
  <si>
    <t>Ke, Chang-Qing; Zhang, Rui; Liu, Xun</t>
  </si>
  <si>
    <t>Sea ice albedo variability and trend in the Chukchi Sea based on Advanced Very High Resolution Radiometer, 1981 to 2012</t>
  </si>
  <si>
    <t>JOURNAL OF APPLIED REMOTE SENSING</t>
  </si>
  <si>
    <t>sea ice; albedo; Advanced Very High Resolution Radiometer; concentration; the Chukchi Sea</t>
  </si>
  <si>
    <t>SURFACE ALBEDO; IN-SITU; AVHRR; SNOW; TEMPERATURE; CLIMATE; REFLECTANCE; COVER; OCEAN; EVOLUTION</t>
  </si>
  <si>
    <t>We obtained sea ice albedo in Chukchi Sea from the Advanced Very High Resolution Radiometer (AVHRR) (level 1B) after calibration, sun zenith angle correction, narrow-to-broad-band reflectance conversion, anisotropy correction, and atmospheric correction. The results indicate a significant downward trend in the mean sea ice albedo in August from 1981 to 2012. The albedo was between 0.33 and 0.45 prior to 2006. Two historical lows appeared in 2007 and 2012. The sea ice albedo increases with increasing latitude, with the values of approximately 0.15 at latitudes below 70 degrees N and between 0.5 and 0.7 at latitudes above 75 degrees N, where the sea surface is covered with ice. In the area between 70 degrees N and 75 degrees N, the albedo decreases significantly (at 95% significance level) due to the melting of sea ice. As the sea ice extent of August reduced over the past 32 years, the sea ice concentration also decreased, which directly caused the decrease in albedo. Other factors, the increasing temperature, the enlarging fractions of melt ponds, the transition from multiyear ice to seasonal ice, the increasing solar heat input, and the accumulation of black carbon, also play an important role in the albedo decline. (C) 2014 Society of Photo-Optical Instrumentation Engineers (SPIE)</t>
  </si>
  <si>
    <t>[Ke, Chang-Qing; Zhang, Rui; Liu, Xun] Nanjing Univ, Jiangsu Prov Key Lab Geog Informat Sci &amp; Technol, Nanjing 210046, Jiangsu, Peoples R China</t>
  </si>
  <si>
    <t>Nanjing University</t>
  </si>
  <si>
    <t>Ke, CQ (corresponding author), Nanjing Univ, Jiangsu Prov Key Lab Geog Informat Sci &amp; Technol, 163 Xianlin Ave, Nanjing 210046, Jiangsu, Peoples R China.</t>
  </si>
  <si>
    <t>kecq@nju.edu.cn</t>
  </si>
  <si>
    <t>Program for Foreign Cooperation of Chinese Arctic and Antarctic Administration [IC201301]; Program for National Nature Science Foundation [41371391]; Program for the Specialized Research Fund for the Doctoral Program of Higher Education of China [20120091110017]; Program for Chinese National Antarctic and Arctic Research Expedition [CHINARE2012-02-02]; Priority Academic Program Development of Jiangsu Higher Education Institutions (PAPD)</t>
  </si>
  <si>
    <t>Program for Foreign Cooperation of Chinese Arctic and Antarctic Administration; Program for National Nature Science Foundation; Program for the Specialized Research Fund for the Doctoral Program of Higher Education of China; Program for Chinese National Antarctic and Arctic Research Expedition; Priority Academic Program Development of Jiangsu Higher Education Institutions (PAPD)</t>
  </si>
  <si>
    <t>This work is financially supported by Program for Foreign Cooperation of Chinese Arctic and Antarctic Administration (No. IC201301), Program for National Nature Science Foundation (No. 41371391), Program for the Specialized Research Fund for the Doctoral Program of Higher Education of China (No. 20120091110017), Program for Chinese National Antarctic and Arctic Research Expedition (CHINARE2012-02-02), and A Project Funded by the Priority Academic Program Development of Jiangsu Higher Education Institutions (PAPD). The AVHRR data used in this study are obtained from the National Snow and Ice Data Center (http://nsidc.org). We would thank the two anonymous reviewers and the editor for valuable comments and suggestions to greatly improve this paper.</t>
  </si>
  <si>
    <t>SPIE-SOC PHOTO-OPTICAL INSTRUMENTATION ENGINEERS</t>
  </si>
  <si>
    <t>BELLINGHAM</t>
  </si>
  <si>
    <t>1000 20TH ST, PO BOX 10, BELLINGHAM, WA 98225 USA</t>
  </si>
  <si>
    <t>1931-3195</t>
  </si>
  <si>
    <t>J APPL REMOTE SENS</t>
  </si>
  <si>
    <t>J. Appl. Remote Sens.</t>
  </si>
  <si>
    <t>10.1117/1.JRS.8.083688</t>
  </si>
  <si>
    <t>301XW</t>
  </si>
  <si>
    <t>WOS:000330566600001</t>
  </si>
  <si>
    <t>Jones, HJ; Swadling, KM; Butler, ECV; Macleod, CK</t>
  </si>
  <si>
    <t>Jones, H. J.; Swadling, K. M.; Butler, E. C. V.; Macleod, C. K.</t>
  </si>
  <si>
    <t>Complex patterns in fish - sediment mercury concentrations in a contaminated estuary: The influence of selenium co-contamination?</t>
  </si>
  <si>
    <t>ESTUARINE COASTAL AND SHELF SCIENCE</t>
  </si>
  <si>
    <t>Derwent Estuary; biotic sediment accumulation factors; Se:Hg ratios; methylmercury; Platycephalus bassensis</t>
  </si>
  <si>
    <t>SAN-FRANCISCO BAY; DERWENT ESTUARY; FOOD WEBS; METHYLMERCURY; BIOMAGNIFICATION; ORGANISMS; TISSUE; BIOACCUMULATION; BIOAVAILABILITY; ACCUMULATION</t>
  </si>
  <si>
    <t>Environmental mercury (Hg) loads do not always correspond to Hg concentrations in resident fish and selenium (Se) presence has been reported to play a pivotal role in mitigating Hg bioaccumulation. Total mercury (THg), methylmercury (MeHg) and Se concentrations were measured in sediments and a benthic fish species (Platycephalus bassensis) from a contaminated estuary (Derwent Estuary, Tasmania). Elevated sediment concentrations of Se did not result in increased Se concentrations in fish, but low concentrations of Se were associated with increased MeHg bioavailability (% MeHg) from sediments to fish. Where MeHg (approximate to 99% of total Hg) concentration in fish was high Se uptake also increased, indicating that maintaining positive Se:Hg ratios may reduce the toxicity of MeHg. MeHg was detectable in sediments throughout the estuary, and a molar excess of THg over Se suggested that there was insufficient Se to prevent methylation from the sediments. Se:Hg ratios of less than 1.0 in sediments, coupled with high %MeHg fraction and high biotic sediment accumulation factors for MeHg (BSAF(meHg)), indicated that the lower region of the Derwent Estuary could be a hotspot for Hg methylation, despite having significantly lower THg concentrations. In contrast, Hg bioavailability to fish from sediments close to the source may be reduced by both inorganic Hg species complexation and lower methylation rates. There was a strong association between THg and Se in estuarine sediments, suggesting that Se plays an important role in sediment Hg cycling and should be a key consideration in any future assessments of Hg methylation, bioavailability and bioaccumulation. (C) 2013 Elsevier Ltd. All rights reserved.</t>
  </si>
  <si>
    <t>[Jones, H. J.; Swadling, K. M.; Macleod, C. K.] Univ Tasmania, Inst Marine &amp; Antarctic Studies, Hobart, Tas 7001, Australia; [Butler, E. C. V.] Australian Inst Marine Sci, Casuarina, NT 0811, Australia</t>
  </si>
  <si>
    <t>University of Tasmania; Australian Institute of Marine Science</t>
  </si>
  <si>
    <t>Jones, HJ (corresponding author), Univ Tasmania, Inst Marine &amp; Antarctic Studies, Private Bag 49, Hobart, Tas 7001, Australia.</t>
  </si>
  <si>
    <t>hugh.jones@utas.edu.au</t>
  </si>
  <si>
    <t>Macleod, Catriona/0000-0002-0539-6361; Jones, Hugh/0000-0002-5851-2661; Butler, Edward/0000-0002-6660-3985; Swadling, Kerrie/0000-0002-7620-841X</t>
  </si>
  <si>
    <t>ACADEMIC PRESS LTD- ELSEVIER SCIENCE LTD</t>
  </si>
  <si>
    <t>24-28 OVAL RD, LONDON NW1 7DX, ENGLAND</t>
  </si>
  <si>
    <t>0272-7714</t>
  </si>
  <si>
    <t>1096-0015</t>
  </si>
  <si>
    <t>ESTUAR COAST SHELF S</t>
  </si>
  <si>
    <t>Estuar. Coast. Shelf Sci.</t>
  </si>
  <si>
    <t>JAN 20</t>
  </si>
  <si>
    <t>10.1016/j.ecss.2013.11.024</t>
  </si>
  <si>
    <t>AB0UG</t>
  </si>
  <si>
    <t>WOS:000331507000002</t>
  </si>
  <si>
    <t>Wu, XF; Gao, H; Ding, X; Zhang, B; Dai, ZG; Wei, JY</t>
  </si>
  <si>
    <t>Wu, Xue-Feng; Gao, He; Ding, Xuan; Zhang, Bing; Dai, Zi-Gao; Wei, Jian-Yan</t>
  </si>
  <si>
    <t>A DOUBLE NEUTRON STAR MERGER ORIGIN FOR THE COSMOLOGICAL RELATIVISTIC FADING SOURCE PTF11agg?</t>
  </si>
  <si>
    <t>ASTROPHYSICAL JOURNAL LETTERS</t>
  </si>
  <si>
    <t>gravitational waves; radiation mechanisms: non-thermal; stars: neutron</t>
  </si>
  <si>
    <t>GAMMA-RAY BURSTS; X-RAY; ENERGY INJECTION; BINARY MERGERS; AFTERGLOW; JET; PREDICTIONS; SIGNATURE; OUTBURST</t>
  </si>
  <si>
    <t>The Palomar Transient Factory (PTF) team recently reported the discovery of a rapidly fading optical transient source, PTF11agg. A long-lived scintillating radio counterpart was identified, but the search for a high-energy counterpart showed negative results. The PTF team speculated that PTF11agg may represent a new class of relativistic outbursts. Here we suggest that a neutron star (NS)-NS merger system with a supra-massive magnetar central engine could be a possible source to power such a transient, if our line of sight is not on the jet axis direction of the system. These systems are also top candidates for gravitational wave sources to be detected in the advanced LIGO/Virgo era. We find that the PTF11agg data could be explained well with such a model, suggesting that at least some gravitational wave bursts due to NS-NS mergers may be associated with such a bright electromagnetic counterpart without a gamma-ray trigger.</t>
  </si>
  <si>
    <t>[Wu, Xue-Feng; Gao, He; Ding, Xuan] Chinese Acad Sci, Purple Mt Observ, Nanjing 210008, Jiangsu, Peoples R China; [Wu, Xue-Feng] Chinese Acad Sci, Chinese Ctr Antarctic Astron, Nanjing 210008, Jiangsu, Peoples R China; [Gao, He; Zhang, Bing] Univ Nevada, Dept Phys &amp; Astron, Las Vegas, NV 89154 USA; [Zhang, Bing] Peking Univ, Dept Astron, Beijing 100871, Peoples R China; [Zhang, Bing] Peking Univ, Kavli Inst Astron &amp; Astrophys, Beijing 100871, Peoples R China; [Dai, Zi-Gao] Nanjing Univ, Sch Astron &amp; Space Sci, Nanjing 210093, Jiangsu, Peoples R China; [Wei, Jian-Yan] Chinese Acad Sci, Natl Astron Observ, Beijing 100012, Peoples R China</t>
  </si>
  <si>
    <t>Purple Mountain Observatory, CAS; Chinese Academy of Sciences; Nanjing Institute of Astronomical Optics &amp; Technology, NAOC, CAS; Chinese Academy of Sciences; Nevada System of Higher Education (NSHE); University of Nevada Las Vegas; Peking University; Peking University; Nanjing University; Chinese Academy of Sciences; National Astronomical Observatory, CAS</t>
  </si>
  <si>
    <t>Wu, XF (corresponding author), Chinese Acad Sci, Purple Mt Observ, Nanjing 210008, Jiangsu, Peoples R China.</t>
  </si>
  <si>
    <t>xfwu@pmo.ac.cn</t>
  </si>
  <si>
    <t>Zhang, Bing/AAG-2824-2019; Wu, Xuefeng/G-5316-2015</t>
  </si>
  <si>
    <t>Zhang, Bing/0000-0002-9725-2524; Wu, Xuefeng/0000-0002-6299-1263; gao, he/0000-0003-2516-6288</t>
  </si>
  <si>
    <t>National Basic Research Program (973 Program) of China [2014CB845800, 2013CB834900, 2009CB824800]; National Natural Science Foundation of China [11033002, 10921063]; One-Hundred-Talents Program; Youth Innovation Promotion Association of Chinese Academy of Sciences</t>
  </si>
  <si>
    <t>National Basic Research Program (973 Program) of China(National Basic Research Program of China); National Natural Science Foundation of China(National Natural Science Foundation of China (NSFC)); One-Hundred-Talents Program(Chinese Academy of Sciences); Youth Innovation Promotion Association of Chinese Academy of Sciences</t>
  </si>
  <si>
    <t>We acknowledge support from the National Basic Research Program (973 Program) of China under Grant Nos. 2014CB845800, 2013CB834900, and 2009CB824800. This work is also supported by the National Natural Science Foundation of China (grant Nos. 11033002 and 10921063). X. F. W. acknowledges support from the One-Hundred-Talents Program and the Youth Innovation Promotion Association of Chinese Academy of Sciences.</t>
  </si>
  <si>
    <t>2041-8205</t>
  </si>
  <si>
    <t>2041-8213</t>
  </si>
  <si>
    <t>ASTROPHYS J LETT</t>
  </si>
  <si>
    <t>Astrophys. J. Lett.</t>
  </si>
  <si>
    <t>L10</t>
  </si>
  <si>
    <t>10.1088/2041-8205/781/1/L10</t>
  </si>
  <si>
    <t>287ZY</t>
  </si>
  <si>
    <t>WOS:000329582400010</t>
  </si>
  <si>
    <t>Zhang, QH; Yang, GP</t>
  </si>
  <si>
    <t>Zhang, Qihua; Yang, Guipeng</t>
  </si>
  <si>
    <t>Selenium speciation in bay scallops by high performance liquid chromatography separation and inductively coupled plasma mass spectrometry detection after complete enzymatic extraction</t>
  </si>
  <si>
    <t>Selenium; Speciation; Bay scallop; Enzymatic extraction; HPLC-ICP-MS</t>
  </si>
  <si>
    <t>HPLC-ICP-MS; ATOMIC FLUORESCENCE SPECTROMETRY; GEL-ELECTROPHORESIS; CONTAINING PROTEINS; ANTARCTIC KRILL; HYDROLYSIS; YEAST; WATER; FISH; IDENTIFICATION</t>
  </si>
  <si>
    <t>Selenium (Se) species, Se-methyl-seleno-cysteine (MeSeCys), seleno-cystine (SeCys(2)), selenomethionine (SeMet), selenite (SeO32-) and selenate (SeO42-), in the three main anatomical tissues of bay scallops (Argopecten irradians), the adductor muscle, the mantle and the visceral mass, were completely released by enzymatic hydrolysis and detected by high performance liquid chromatography (HPLC) in combination with inductively coupled plasma mass spectrometry (ICP-MS). For the thorough hydrolysis of the proteins to free the Se species, bay scallop tissues were pre-treated (pre-hydrolyzed) with papain in a 1 mol L-1 sodium bicarbonate solution containing 5 mmol L-1 sodium thiosulfate at 30-40 degrees C for 24 h, then hydrolyzed by the combination of Flavourzyme (R) 500 L. carboxypeptidase Y and trypsin (3 + I + I) at 45 degrees C, at a constant pH of 8.00 for 6 h. Under the optimized conditions, the quantification limits of MeSeCys, SeCys(2) , SeMet, SeO32- and SeO42- were 0.69, 0.48, 0.93 0.53 and 1.22 mu g L-1, respectively (equivalent to 0.14, 0.097, 0.19, 0.11 and 0.24 gg-1 for real samples).The working curves in the concentration ranges of 2 to 500 pg L-1 were linear with all the RSD (n = 5) smaller than 15% and regression coefficients greater than 0.999. The recoveries of the species for spiked samples at 4 mu g g(-1) (equivalent to 20 mu g L-1 in the final hydrolyzates) levels all exceeded 90%. The developed method was validated by the determination of SeMet in SELM-1, a Se enriched yeast certified reference material (CRM). Selenate was the only absent species, whereas the other four species did exist in bay scallops. (C) 2013 Elsevier B.V. All rights reserved.</t>
  </si>
  <si>
    <t>[Zhang, Qihua; Yang, Guipeng] Ocean Univ China, Coll Chem &amp; Chem Engn, Minist Educ, Key Lab Marine Chem Theory &amp; Technol, Qingdao 266100, Peoples R China; [Zhang, Qihua] Yantai Entry Exit Inspect &amp; Quarantine Bur, Yantai 264000, Peoples R China</t>
  </si>
  <si>
    <t>Ocean University of China</t>
  </si>
  <si>
    <t>Yang, GP (corresponding author), Ocean Univ China, Coll Chem &amp; Chem Engn, Minist Educ, Key Lab Marine Chem Theory &amp; Technol, 238 Songling Rd, Qingdao 266100, Peoples R China.</t>
  </si>
  <si>
    <t>johnson1smith@126.com; gpyang@mail.ouc.edu.cn</t>
  </si>
  <si>
    <t>Yang, Gui-Peng/GZG-6468-2022</t>
  </si>
  <si>
    <t>Yang, Gui-Peng/0000-0002-0107-4568</t>
  </si>
  <si>
    <t>National Natural Science Foundation of China [41030858]; Changjiang Scholars Program, Ministry of Education of China; Taishan Scholars Program of Shandong Province</t>
  </si>
  <si>
    <t>National Natural Science Foundation of China(National Natural Science Foundation of China (NSFC)); Changjiang Scholars Program, Ministry of Education of China; Taishan Scholars Program of Shandong Province</t>
  </si>
  <si>
    <t>The work was funded by the National Natural Science Foundation of China (Grant No. 41030858), the Changjiang Scholars Program, Ministry of Education of China and the Taishan Scholars Program of Shandong Province. The authors were very grateful to the help of Mr Haitao Ren, who helped to carry out part of the determinations.</t>
  </si>
  <si>
    <t>JAN 17</t>
  </si>
  <si>
    <t>10.1016/j.chroma.2013.11.050</t>
  </si>
  <si>
    <t>297LF</t>
  </si>
  <si>
    <t>WOS:000330256200011</t>
  </si>
  <si>
    <t>Timi, JT; Paoletti, M; Cimmaruta, R; Lanfranchi, AL; Alarcos, AJ; Garbin, L; George-Nascimento, M; Rodríguez, DH; Giardino, GV; Mattiucci, S</t>
  </si>
  <si>
    <t>Timi, Juan T.; Paoletti, Michela; Cimmaruta, Roberta; Lanfranchi, Ana L.; Alarcos, Ana J.; Garbin, Lucas; George-Nascimento, Mario; Rodriguez, Diego H.; Giardino, Gisela V.; Mattiucci, Simonetta</t>
  </si>
  <si>
    <t>Molecular identification, morphological characterization and new insights into the ecology of larval Pseudoterranova cattani in fishes from the Argentine coast with its differentiation from the Antarctic species, P. decipiens sp E (Nematocia: Anisakidae)</t>
  </si>
  <si>
    <t>VETERINARY PARASITOLOGY</t>
  </si>
  <si>
    <t>Anisakidae; Pseudoterranova; Argentina; Chile; Antarctica; Molecular identification</t>
  </si>
  <si>
    <t>AMERICAN SEA LION; MITOCHONDRIAL COX2 SEQUENCES; PARASITE COMMUNITY STRUCTURE; COD GADUS-MORHUA; OTARIA-FLAVESCENS; GENETIC-RELATIONSHIPS; HIPPOGLOSSOIDES-PLATESSOIDES; INFRACOMMUNITY STRUCTURE; SEASONAL STABILITY; ODONTESTHES-SMITTI</t>
  </si>
  <si>
    <t>Larvae of the genus Pseudoterranova constitute a risk for human health when ingested through raw or undercooked fish. They can provoke pseudoterranovosis in humans, a fishborne zoonotic disease whose pathogenicity varies with the species involved, making their correct specific identification a necessary step in the knowledge of this zoonosis. Larvae of Pseudoterranova decipiens s.l. have been reported in several fish species from off the Argentine coasts; however, there are no studies dealing with their specific identification in this region. Here, a genetic identification and morphological characterization of larval Pseudoterranova spp. from three fish species sampled from Argentine waters and from Notothenia coriiceps from Antarctic waters was carried out. Larvae were sequenced for their genetic/molecular identification, including the mitochondrial cytochrome c oxidase subunit II (mtDNA cox2), the first (ITS-1) and the second (ITS-2) internal transcribed spacers of the nuclear ribosomal DNA, and compared with all species of the P. decipiens (sensu Iato) species complex (sequences available in GenBank). Further, adults of Pseudoterranova spp. from the definitive host, the southern sea lion, Otaria flavescens, from Argentine and Chilean coasts were sequenced at the same genes. The sequences obtained at the ITS-1 and ITS-2 genes from all the larvae examined from fish of Argentine waters, as well as the adult worms, matched 100% the sequences for the species P. cattani. The sequences obtained at mtDNA cox2 gene for Antarctic larvae matched 99% those available in GenBank for the sibling P. decipiens sp. E. Both MP and BI phylogenetic trees strongly supported P. cattani and P. decipiens sp. E as two distinct phylogenetic lineages and depicted the species P. decipiens sp. E as sister taxon to the remaining taxa of the P. decipiens complex. Larval morphometry was similar between specimens of P. cattani from Argentina, but significantly different from those of P. decipiens sp. E, indicating that larval forms can be distinguished based on their morphology. Pseudoterranova cattani is common and abundant in a variety of fish species from Chile, whereas few host species harbour these larvae in Argentina where they show low levels of parasitism. This pattern could arise from a combination of factors, including environmental conditions, density and dietary preferences of definitive hosts and life-cycle pathways of the parasite. Finally, this study revealed that the life-cycle of P. cattani involves mainly demersal and benthic organisms, with a marked preference by large-sized benthophagous fish. (C) 2013 Elsevier B.V. All rights reserved.</t>
  </si>
  <si>
    <t>[Timi, Juan T.; Lanfranchi, Ana L.; Alarcos, Ana J.] Univ Nacl Mar del Plata, Fac Ciencias Exactas &amp; Nat, CONICET, Inst Invest Marinas &amp; Costeras,Lab Parasitol, RA-7600 Mar Del Plata, Buenos Aires, Argentina; [Paoletti, Michela; Mattiucci, Simonetta] Univ Roma La Sapienza, Sect Parasitol, Dept Publ Hlth &amp; Infect Dis, I-00185 Rome, Italy; [Paoletti, Michela; Cimmaruta, Roberta] Univ Tuscia, Dept Ecol &amp; Biol Sci DEB, Viterbo, Italy; [Garbin, Lucas] Consejo Nacl Invest Cient &amp; Tecn, Ctr Estudios Parasitol &amp; Vectores CEPAVE, La Plata, Buenos Aires, Argentina; [George-Nascimento, Mario] Univ Catolica Santisima Concepcion, Fac Ciencias, Dept Ecol, Concepcion, Chile; [Rodriguez, Diego H.; Giardino, Gisela V.] Univ Nacl Mar del Plata, Fac Ciencias Exactas &amp; Nat, CONICET, Inst Invest Marinas &amp; Costeras,Grp Mamiferos Mari, RA-7600 Mar Del Plata, Buenos Aires, Argentina</t>
  </si>
  <si>
    <t>National University of Mar del Plata; Consejo Nacional de Investigaciones Cientificas y Tecnicas (CONICET); Sapienza University Rome; Tuscia University; Consejo Nacional de Investigaciones Cientificas y Tecnicas (CONICET); Universidad Catolica de la Santisima Concepcion; Consejo Nacional de Investigaciones Cientificas y Tecnicas (CONICET); National University of Mar del Plata</t>
  </si>
  <si>
    <t>Timi, JT (corresponding author), Univ Nacl Mar del Plata, Fac Ciencias Exactas &amp; Nat, CONICET, Inst Invest Marinas &amp; Costeras,Lab Parasitol, RA-7600 Mar Del Plata, Buenos Aires, Argentina.</t>
  </si>
  <si>
    <t>jtimi@mdp.edu.ar; simonetta.mattiucci@uniroma1.it</t>
  </si>
  <si>
    <t>Cimmaruta, Roberta/AAC-9151-2020; Timi, Juan/HJI-2016-2023; Rodríguez, Diego/L-3172-2013; Timi, Juan T./AEQ-0334-2022; Mattiucci, Simonetta/K-5285-2018</t>
  </si>
  <si>
    <t>Garbin, Lucas/0000-0001-9138-3577; Giardino, Gisela Vanina/0000-0002-4536-2908; Cimmaruta, Roberta/0000-0002-1421-5155; Paoletti, Michela/0000-0002-0950-0576</t>
  </si>
  <si>
    <t>CONICET [PIP 112-200801-00024]; Universidad Nacional de Mar del Plata [EXA 621/12, 15E564, 15E335]; Italian PRNA (Italian Ministry of Education and Research MIUR)</t>
  </si>
  <si>
    <t>CONICET(Consejo Nacional de Investigaciones Cientificas y Tecnicas (CONICET)); Universidad Nacional de Mar del Plata(National University of La Plata); Italian PRNA (Italian Ministry of Education and Research MIUR)</t>
  </si>
  <si>
    <t>Financial support was partially provided by grants from CONICET (PIP 112-200801-00024) and Universidad Nacional de Mar del Plata (EXA 621/12, 15E564 and 15E335). Part of this research was granted by the Italian PRNA 2009 (Italian Ministry of Education and Research MIUR) Spatial-temporal genetic diversity of endoparasites in polar regions: an approach to the study of the impact of global changes on the marine trophic webs.</t>
  </si>
  <si>
    <t>0304-4017</t>
  </si>
  <si>
    <t>1873-2550</t>
  </si>
  <si>
    <t>VET PARASITOL</t>
  </si>
  <si>
    <t>Vet. Parasitol.</t>
  </si>
  <si>
    <t>10.1016/j.vetpar.2013.09.033</t>
  </si>
  <si>
    <t>Parasitology; Veterinary Sciences</t>
  </si>
  <si>
    <t>294ZX</t>
  </si>
  <si>
    <t>WOS:000330087500008</t>
  </si>
  <si>
    <t>Campbell, P; Deshler, T</t>
  </si>
  <si>
    <t>Campbell, Patrick; Deshler, Terry</t>
  </si>
  <si>
    <t>Condensation nuclei measurements in the midlatitude (1982-2012) and Antarctic (1986-2010) stratosphere between 20 and 35 km</t>
  </si>
  <si>
    <t>balloon-borne; condensation nuclei; stratospheric aerosol</t>
  </si>
  <si>
    <t>SULFURIC-ACID VAPOR; IN-SITU MEASUREMENTS; BALLOON-BORNE MEASUREMENTS; AEROSOL-SIZE DISTRIBUTION; PARTICLE FORMATION; BINARY NUCLEATION; II MEASUREMENTS; WATER; CLOUD; SYSTEM</t>
  </si>
  <si>
    <t>Balloon-borne stratospheric condensation nuclei (CN) measurements have been made from McMurdo Station, Antarctica (78 degrees S), 1986-2010, and from Laramie, Wyoming (41 degrees N), 1982 to the present. In the Antarctic region, the measurements show the formation of a layer of enhanced concentrations of stratospheric CN, between 21 and 27km, around mid August, reaching its maximum extent between September and early October. CN concentrations increase from backgrounds of 10-20cm(-3) to over 100cm(-3) in the layer. In the northern midlatitudes, the measurements show a quasi-annual and smaller layer of enhanced CN concentrations between 25 and 31km in late winter and early spring. In the quasi-annual layers, CN concentrations increase from backgrounds of 1-10cm(-3) to over 20cm(-3). Volcanic eruptions appear to enhance the CN layers observed over Laramie and McMurdo. The Arctic Oscillation generally correlates with the magnitude of the Laramie CN layer, suggesting the importance of meridional transport. Volatility measurements and nucleation modeling support a sulfuric acid and water composition and binary homogeneous nucleation as the likely CN formation mechanism in both locations. Bimonthly measurements above Laramie support coagulation as the main reason for the dissipation of the CN layer. Air parcel trajectory modeling confirms that the CN layer forms locally to McMurdo and that it is related to solar exposure, while above Laramie trajectory analysis indicates that Arctic conditions and ambient temperature changes during northerly transport impact the magnitude of the CN layer above Laramie.</t>
  </si>
  <si>
    <t>[Campbell, Patrick; Deshler, Terry] Univ Wyoming, Dept Atmospher Sci, Laramie, WY 82071 USA</t>
  </si>
  <si>
    <t>Campbell, P (corresponding author), Univ Wyoming, Dept Atmospher Sci, 1000 East Univ Ave, Laramie, WY 82071 USA.</t>
  </si>
  <si>
    <t>Campbell, Patrick/ABC-9864-2021</t>
  </si>
  <si>
    <t>Campbell, Patrick/0000-0003-0987-8402; Deshler, Terry/0000-0001-8552-0109</t>
  </si>
  <si>
    <t>NSF [ATM-1011827, OPP-0839124]; Div Atmospheric &amp; Geospace Sciences; Directorate For Geosciences [1011827] Funding Source: National Science Foundation</t>
  </si>
  <si>
    <t>NSF(National Science Foundation (NSF)); Div Atmospheric &amp; Geospace Sciences; Directorate For Geosciences(National Science Foundation (NSF)NSF - Directorate for Geosciences (GEO))</t>
  </si>
  <si>
    <t>These measurements over the years have required the work of many individuals; notable among these are Jim Rosen, Dave Hofmann, Bryan Johnson, Stephen Woods, Bruno Nardi, Jennifer Mercer, and a large number of technicians and engineers both in Laramie and at McMurdo. Similarly, the measurements have required funding from several agencies under a number of grants but primarily from the National Science Foundation (NSF). Current measurements are supported by the NSF under grant ATM-1011827. The recent McMurdo measurements were supported by the NSF under grant OPP-0839124.</t>
  </si>
  <si>
    <t>JAN 16</t>
  </si>
  <si>
    <t>10.1002/2013JD019710</t>
  </si>
  <si>
    <t>AA2NF</t>
  </si>
  <si>
    <t>WOS:000330930600012</t>
  </si>
  <si>
    <t>Ward, SM; Deshler, T; Hertzog, A</t>
  </si>
  <si>
    <t>Ward, Shauna M.; Deshler, Terry; Hertzog, Albert</t>
  </si>
  <si>
    <t>Quasi-Lagrangian measurements of nitric acid trihydrate formation over Antarctica</t>
  </si>
  <si>
    <t>nitric acid trihydrate; polar stratospheric clouds; balloon-borne aerosol measurements; quasi-Lagrangian aerosol measurements</t>
  </si>
  <si>
    <t>POLAR STRATOSPHERIC CLOUDS; MICROPHYSICAL MODEL; ARCTIC STRATOSPHERE; LIDAR OBSERVATIONS; WINTER 2002/2003; SOLID PARTICLES; BALLOON FLIGHTS; LONG-DURATION; WATER-UPTAKE; FROST POINT</t>
  </si>
  <si>
    <t>In 2010, the joint French-United States Concordiasi project released 19 long-duration superpressure balloons from McMurdo Station, Antarctica. Four of these balloons carried a gondola with particle counters and temperature sensors to measure polar stratospheric clouds. One gondola spent 5days at stable temperatures between equilibrium temperatures for nitric acid trihydrate (NAT) and for supercooled ternary solution droplets. Sporadic particles with radii between 0.46 mu m and 4.5 mu m were measured in a small fraction of the measurements. At these times the corresponding size distributions and total particle volumes were consistent with NAT. Although the fraction of these observations was less than 3%, their frequency increased with time over the 5days. From this frequency the NAT nucleation rate at 3 degrees C below T-NAT was estimated to be 2x10(-4)m(-3)s(-1)60% for these late winter austral NAT observations at a potential temperature of 410-415K. Interspersed with these measurements of polar stratospheric cloud particles consistent with NAT were many more measurements of particles consistent with background stratospheric aerosol indicating that the polar stratospheric clouds sampled were highly discontinuous.</t>
  </si>
  <si>
    <t>[Ward, Shauna M.; Deshler, Terry] Univ Wyoming, Dept Atmospher Sci, Laramie, WY 82071 USA; [Hertzog, Albert] Ecole Polytech, Meteorol Dynam Lab, Palaiseau, France</t>
  </si>
  <si>
    <t>University of Wyoming; Institut Polytechnique de Paris; Sorbonne Universite</t>
  </si>
  <si>
    <t>Ward, SM (corresponding author), Univ Wyoming, Dept Atmospher Sci, Laramie, WY 82071 USA.</t>
  </si>
  <si>
    <t>sward7@uwyo.edu</t>
  </si>
  <si>
    <t>Deshler, Terry/0000-0001-8552-0109</t>
  </si>
  <si>
    <t>Meteo-France; CNES; CNRS/INSU; NSF; NCAR; University of Wyoming; Purdue University; University of Colorado; Alfred Wegener Institute; Met Office; ECMWF; NSF under OPP [0636946]; Institut Polaire Francais Paul Emile Victor (IPEV); Programma Nazionale di Ricerche in Antartide (PNRA); United States Antarctic Program (USAP); British Antarctic Survey (BAS); Div Atmospheric &amp; Geospace Sciences; Directorate For Geosciences [1011827] Funding Source: National Science Foundation</t>
  </si>
  <si>
    <t>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 NSF under OPP; Institut Polaire Francais Paul Emile Victor (IPEV); Programma Nazionale di Ricerche in Antartide (PNRA); United States Antarctic Program (USAP); British Antarctic Survey (BAS); Div Atmospheric &amp; Geospace Sciences; Directorate For Geosciences(National Science Foundation (NSF)NSF - Directorate for Geosciences (GEO))</t>
  </si>
  <si>
    <t>Concordiasi is an international project, supported by the following agencies: Meteo-France, CNES, CNRS/INSU, NSF, NCAR, University of Wyoming, Purdue University, University of Colorado, the Alfred Wegener Institute, the Met Office, and ECMWF. The measurements by the University of Wyoming within Concordiasi were supported by the NSF under OPP award 0636946. Concordiasi also benefits from logistic or financial support of the operational polar agencies Institut Polaire Francais Paul Emile Victor (IPEV), Programma Nazionale di Ricerche in Antartide (PNRA), United States Antarctic Program (USAP), and British Antarctic Survey (BAS), and from Baseline Surface Radiation Network (BSRN) measurements at Concordia. Concordiasi is part of the Observing System Research and Predictability Experiment-International Polar Year (THORPEX-IPY) cluster within the International Polar Year effort. The Concordia website can be found at www.cnrm.meteo.fr/concordiasi/. The authors gratefully acknowledge the NOAA Air Resources Laboratory (ARL) for the provision of the HYSPLIT transport and dispersion model available at http://ready.arl.noaa.gov and NASA's Jet Propulsion Laboratory for the measurements of water and nitric acid from the Earth Observing System Microwave Limb Sounder on the Aura satellite used in this publication.</t>
  </si>
  <si>
    <t>10.1002/2013JD020326</t>
  </si>
  <si>
    <t>WOS:000330930600020</t>
  </si>
  <si>
    <t>Gales, N</t>
  </si>
  <si>
    <t>Gales, Nick</t>
  </si>
  <si>
    <t>Polar rescue: science was not well served</t>
  </si>
  <si>
    <t>Australian Antarctic Div, Kingston, Tas, Australia</t>
  </si>
  <si>
    <t>Australian Antarctic Division</t>
  </si>
  <si>
    <t>Gales, N (corresponding author), Australian Antarctic Div, Kingston, Tas, Australia.</t>
  </si>
  <si>
    <t>nick.gales@aad.gov.au</t>
  </si>
  <si>
    <t>10.1038/505291a</t>
  </si>
  <si>
    <t>288OR</t>
  </si>
  <si>
    <t>WOS:000329621800017</t>
  </si>
  <si>
    <t>Brearley, JA; Sheen, KL; Naveira Garabato, AC; Smeed, DA; Speer, KG; Thurnherr, AM; Meredith, MP; Waterman, S</t>
  </si>
  <si>
    <t>Brearley, J. Alexander; Sheen, Katy L.; Naveira Garabato, Alberto C.; Smeed, David A.; Speer, Kevin G.; Thurnherr, Andreas M.; Meredith, Michael P.; Waterman, Stephanie</t>
  </si>
  <si>
    <t>Deep boundary current disintegration in Drake Passage</t>
  </si>
  <si>
    <t>boundary currents; eddies; overturning; Southern Ocean</t>
  </si>
  <si>
    <t>ANTARCTIC CIRCUMPOLAR CURRENT; OVERTURNING CIRCULATION; PACIFIC-OCEAN; FLOW</t>
  </si>
  <si>
    <t>The fate of a deep boundary current that originates in the Southeast Pacific and flows southward along the continental slope of South America is elucidated. The current transports poorly ventilated water of low salinity (a type of Pacific Deep Water, PDW), into Drake Passage. East of Drake Passage, the boundary current breaks into fresh anticyclonic eddies, nine examples of which were observed in mooring data from December 2009 to March 2012. The observed eddies appear to originate mainly from a topographic separation point close to 60 degrees W, have typical diameters of 20-60km and accompanying Rossby numbers of 0.1-0.3. These features are likely to be responsible for transporting PDW meridionally across the Antarctic Circumpolar Current, explaining the near homogenization of Circumpolar Deep Water properties downstream of Drake Passage. This mechanism of boundary current breakdown may constitute an important process in the Southern Ocean overturning circulation.</t>
  </si>
  <si>
    <t>[Brearley, J. Alexander; Sheen, Katy L.; Naveira Garabato, Alberto C.] Univ Southampton, Natl Oceanog Ctr, Southampton, Hants, England; [Smeed, David A.] Natl Oceanog Ctr, Southampton, Hants, England; [Speer, Kevin G.] Florida State Univ, Earth Ocean &amp; Atmospher Sci &amp; Geophys Fluid Dynam, Tallahassee, FL 32306 USA; [Thurnherr, Andreas M.] Columbia Univ, Lamont Doherty Earth Observ, New York, NY USA; [Meredith, Michael P.] British Antarctic Survey, Cambridge, England; [Meredith, Michael P.] Scottish Assoc Marine Sci, Oban, Argyll, Scotland; [Meredith, Michael P.] Univ New S Wales, Climate Change Res Ctr, Sydney, NSW, Australia; [Waterman, Stephanie] Univ New S Wales, ARC Ctr Excellence Climate Syst Sci, Sydney, NSW, Australia</t>
  </si>
  <si>
    <t>NERC National Oceanography Centre; University of Southampton; NERC National Oceanography Centre; State University System of Florida; Florida State University; Columbia University; UK Research &amp; Innovation (UKRI); Natural Environment Research Council (NERC); NERC British Antarctic Survey; UHI Millennium Institute; University of New South Wales Sydney; ARC Centre of Excellence for Climate System Science; University of New South Wales Sydney</t>
  </si>
  <si>
    <t>Brearley, JA (corresponding author), Univ Southampton, Natl Oceanog Ctr, Southampton, Hants, England.</t>
  </si>
  <si>
    <t>jab5@noc.soton.ac.uk</t>
  </si>
  <si>
    <t>Smeed, David/B-4726-2012; Garabato, Alberto Naveira/AAQ-1114-2020; Waterman, Stephanie/AAY-6033-2020; Brearley, Alexander/C-3313-2012</t>
  </si>
  <si>
    <t>Smeed, David/0000-0003-1740-1778; Garabato, Alberto Naveira/0000-0001-6071-605X; Waterman, Stephanie/0000-0001-5797-1092; Meredith, Michael/0000-0002-7342-7756; Thurnherr, Andreas/0000-0002-1977-7122; Brearley, Alexander/0000-0003-3700-8017</t>
  </si>
  <si>
    <t>NERC [bas0100028, NE/E005667/1, NE/E007058/1, noc010010] Funding Source: UKRI; Natural Environment Research Council [NE/E005667/1, NE/E007058/1, bas0100028, noc010010] Funding Source: researchfish; Directorate For Geosciences; Division Of Ocean Sciences [1231803, 1030309] Funding Source: National Science Foundation; Division Of Ocean Sciences; Directorate For Geosciences [1232962] Funding Source: National Science Foundation</t>
  </si>
  <si>
    <t>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 Division Of Ocean Sciences; Directorate For Geosciences(National Science Foundation (NSF)NSF - Directorate for Geosciences (GEO))</t>
  </si>
  <si>
    <t>10.1002/2013GL058617</t>
  </si>
  <si>
    <t>AD1JL</t>
  </si>
  <si>
    <t>Green Submitted, Green Accepted, Green Published, Bronze</t>
  </si>
  <si>
    <t>WOS:000332990200021</t>
  </si>
  <si>
    <t>Hoshina, Y; Fujita, K; Nakazawa, F; Iizuka, Y; Miyake, T; Hirabayashi, M; Kuramoto, T; Fujita, S; Motoyama, H</t>
  </si>
  <si>
    <t>Hoshina, Yu; Fujita, Koji; Nakazawa, Fumio; Iizuka, Yoshinori; Miyake, Takayuki; Hirabayashi, Motohiro; Kuramoto, Takayuki; Fujita, Shuji; Motoyama, Hideaki</t>
  </si>
  <si>
    <t>Effect of accumulation rate on water stable isotopes of near-surface snow in inland Antarctica</t>
  </si>
  <si>
    <t>accumulation; oxygen isotope; inland Antarctica</t>
  </si>
  <si>
    <t>DRONNING MAUD LAND; ICE-CORE RECORD; EAST ANTARCTICA; DOME FUJI; TEMPORAL VARIABILITY; SPATIAL VARIABILITY; VOSTOK STATION; TRAVERSE ROUTE; MASS-BALANCE; POLAR SNOW</t>
  </si>
  <si>
    <t>Postdepositional changes in water stable isotopes in polar firn were investigated at three sites characterized by different accumulation rates along the East Antarctic ice divide near Dome Fuji. Water stable isotopes, major ion concentrations, and tritium contents of three 2-4m deep pits were measured at high resolution (2cm). Temporally, the snow pits cover the past 50years with snow accumulation rates in the range of 29-41kgm(-2) a(-1) around Dome Fuji. Oxygen isotopic profiles in the three pits do not show annual fluctuations, but instead exhibit multiyearcycles. These multiyearcycles are lower in frequency at Dome Fuji as compared with the other two sites. Peaks of water stable isotopes in the multiyearcycles correspond to some ion concentration minima in the pits, although such relationships are not observed in coastal regions. We propose that the extremely low accumulation environment keeps the snow layer at the near surface, which result in postdepositional modifications of isotopic signals by processes such as ventilation and vapor condensation-sublimation. We estimate that oxygen isotopic ratios could be modified by &gt;10 and that the original seasonal cycle could be completely overprinted under the accumulation conditions at Dome Fuji. Moreover, stake measurements at Dome Fuji suggest that the large variability in snow accumulation rate is the cause of the multiyearcycles.</t>
  </si>
  <si>
    <t>[Hoshina, Yu; Fujita, Koji] Nagoya Univ, Grad Sch Environm Studies, Nagoya, Aichi 4648601, Japan; [Nakazawa, Fumio; Miyake, Takayuki; Hirabayashi, Motohiro; Kuramoto, Takayuki; Fujita, Shuji; Motoyama, Hideaki] Natl Inst Polar Res, Tokyo, Japan; [Iizuka, Yoshinori] Hokkaido Univ, Inst Low Temp Sci, Sapporo, Hokkaido 060, Japan</t>
  </si>
  <si>
    <t>Nagoya University; Research Organization of Information &amp; Systems (ROIS); National Institute of Polar Research (NIPR) - Japan; Hokkaido University</t>
  </si>
  <si>
    <t>Hoshina, Y (corresponding author), Nagoya Univ, Grad Sch Environm Studies, Chikusa Ku, F3-1 200,Furo Cho, Nagoya, Aichi 4648601, Japan.</t>
  </si>
  <si>
    <t>hoshina@nagoya-u.jp</t>
  </si>
  <si>
    <t>Fujita, Koji/E-6104-2010; Nakazawa, Fumio/R-4031-2018; Fujita, Shuji/A-7884-2016; Iizuka, Yoshinori/D-9112-2012</t>
  </si>
  <si>
    <t>Fujita, Koji/0000-0003-3753-4981; Fujita, Shuji/0000-0003-0127-0777; Iizuka, Yoshinori/0000-0001-7241-6062</t>
  </si>
  <si>
    <t>Ministry of Education, Culture, Sports, Science, and Technology (MEXT) [21221002]; Grants-in-Aid for Scientific Research [26241020, 22241005, 23681001] Funding Source: KAKEN</t>
  </si>
  <si>
    <t>Ministry of Education, Culture, Sports, Science, and Technology (MEXT)(Ministry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</si>
  <si>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two anonymous reviewers for their thoughtful comments. The JASE traverse was led by the National Institute of Polar Research (NIPR), Tokyo, and the Swedish Polar Research Secretariat (SPRS), Stockholm University, along with collaborations involving other institutes. The traverse was supported by the teams of the 48th and 49th Japanese Antarctic Research Expeditions led by H. Miyaoka and S. Imura, respectively. We particularly thank members of the traverse, including H. Kaneko, K. Taniguchi, and N. Shiga, for their generous support. This study was supported by Scientific Research (S) grant 21221002, provided by the Ministry of Education, Culture, Sports, Science, and Technology (MEXT).</t>
  </si>
  <si>
    <t>10.1002/2013JD020771</t>
  </si>
  <si>
    <t>WOS:000330930600022</t>
  </si>
  <si>
    <t>Martins, CC; Aguiar, SN; Wisnieski, E; Ceschim, LMM; Figueira, RCL; Montone, RC</t>
  </si>
  <si>
    <t>Martins, Cesar C.; Aguiar, Sabrina N.; Wisnieski, Edna; Ceschim, Liziane M. M.; Figueira, Rubens C. L.; Montone, Rosalinda C.</t>
  </si>
  <si>
    <t>Baseline concentrations of faecal sterols and assessment of sewage input into different inlets of Admiralty Bay, King George Island, Antarctica</t>
  </si>
  <si>
    <t>Coprostanol; Sediments; Sewage; Admiralty Bay; Antarctica</t>
  </si>
  <si>
    <t>SURFACE SEDIMENTS; MARINE-SEDIMENTS; ORGANIC MARKERS; POLLUTION; STATION; ESTUARY; ALKYLBENZENES; CONTAMINATION; HYDROCARBONS; INDICATORS</t>
  </si>
  <si>
    <t>The Antarctic region is one of the best preserved environments in the world. However, human activities such as the input of sewage result in the alteration of this pristine site. We report baseline values of faecal sterols in Admiralty Bay, Antarctica. Four sediment cores were collected during the 2006/2007 austral summer at the Ezcurra (THP and BAR), Mackelar (REF) and Martel (BTP) inlets. Concentrations of faecal sterols (coprostanol + epicoprostanol) were &lt;0.16 mu g g(-1), suggesting no sewage contamination and probable biogenic contributions for these compounds. Baseline values, calculated using the mean concentration of faecal sterols in core layers for THP, BAR, REF and BTP, were 0.04 +/- 0.02, 0.03 +/- 0.01, 0.07 +/- 0.01 and 0.04 +/- 0.02 mu g g(-1), respectively. These results established as natural contributions of faecal sterols, suggesting that these markers can be useful indicators of human-derived faecal input and contributing to monitoring programs to prevent anthropogenic impacts. (C) 2013 Elsevier Ltd. All rights reserved.</t>
  </si>
  <si>
    <t>[Martins, Cesar C.; Aguiar, Sabrina N.] Univ Fed Parana, Ctr Estudos Mar, BR-83255976 Pontal Do Parana, PR, Brazil; [Aguiar, Sabrina N.] Univ Fed Fluminense, Dept Geoquim, Rio De Janeiro, RJ, Brazil; [Wisnieski, Edna; Ceschim, Liziane M. M.] Univ Fed Parana, Programa Posgrad Sistemas Costeiros &amp; Ocean PGSIS, BR-83255976 Pontal Do Parana, PR, Brazil; [Figueira, Rubens C. L.; Montone, Rosalinda C.] Univ Sao Paulo, Inst Oceanog, BR-05508120 Sao Paulo, Brazil</t>
  </si>
  <si>
    <t>Universidade Federal do Parana; Universidade Federal Fluminense; Universidade Federal do Parana; Universidade de Sao Paulo</t>
  </si>
  <si>
    <t>Martins, CC (corresponding author), Univ Fed Parana, Ctr Estudos Mar, Caixa Postal 61, BR-83255976 Pontal Do Parana, PR, Brazil.</t>
  </si>
  <si>
    <t>ccmart@ufpr.br</t>
  </si>
  <si>
    <t>de Castro Martins, Cesar C/I-1086-2012; Figueira, Rubens/AAC-1045-2022; Figueira, Rubens RCL/C-5958-2013; Montone, Rosalinda/J-9110-2012</t>
  </si>
  <si>
    <t>Figueira, Rubens/0000-0001-8945-4540; Montone, Rosalinda/0000-0002-9586-1000; de Castro Martins, Cesar/0000-0002-2515-5565</t>
  </si>
  <si>
    <t>CNPq (National Council for Scientific and Technological Development) [305763/2011-3, 550014/2007-1]; PIBIC; DTI-3 scholarship [INCT-APA: 382434/2009-9]; CAPES (Coordenacao de Aperfeicoamento de Pessoal de Ensino Superior); Comissao Interministerial para os Recursos do Mar (CIRM); CAPES</t>
  </si>
  <si>
    <t>CNPq (National Council for Scientific and Technological Development)(Conselho Nacional de Desenvolvimento Cientifico e Tecnologico (CNPQ)); PIBIC; DTI-3 scholarship; CAPES (Coordenacao de Aperfeicoamento de Pessoal de Ensino Superior)(Coordenacao de Aperfeicoamento de Pessoal de Nivel Superior (CAPES)); Comissao Interministerial para os Recursos do Mar (CIRM)(California Institute for Regenerative Medicine); CAPES(Coordenacao de Aperfeicoamento de Pessoal de Nivel Superior (CAPES))</t>
  </si>
  <si>
    <t>C.C. Martins thanks CNPq (National Council for Scientific and Technological Development) for financial support (305763/2011-3 and 550014/2007-1). S.N. Aguiar is grateful for the scholarship (PIBIC). L.M.M. Ceschim is grateful for the DTI-3 scholarship (INCT-APA: 382434/2009-9). E. Wisnieski thanks CAPES (Coordenacao de Aperfeicoamento de Pessoal de Ensino Superior) for the M.Sc. scholarship. This work contributes to the Brazilian National Science and Technology Institute on Antarctic Environmental Research (INCT-APA, CNPq 574018/2008-5 and FAPERJ E-16/170023/2008). The authors are grateful for the logistical support from Comissao Interministerial para os Recursos do Mar (CIRM) and financial support from CAPES (Grant by Ciencias do Mar - 09/2009).</t>
  </si>
  <si>
    <t>JAN 15</t>
  </si>
  <si>
    <t>10.1016/j.marpolbul.2013.10.034</t>
  </si>
  <si>
    <t>AA9OP</t>
  </si>
  <si>
    <t>WOS:000331423100041</t>
  </si>
  <si>
    <t>Muhs, DR; Meco, J; Simmons, KR</t>
  </si>
  <si>
    <t>Muhs, Daniel R.; Meco, Joaquin; Simmons, Kathleen R.</t>
  </si>
  <si>
    <t>Uranium-series ages of corals, sea level history, and palaeozoogeography, Canary Islands, Spain: An exploratory study for two Quaternary interglacial periods</t>
  </si>
  <si>
    <t>Canary Islands; Corals; U-series dating; Interglacial sea levels; Mollusks; Palaeozoogeography</t>
  </si>
  <si>
    <t>EASTERN NORTH-ATLANTIC; U-SERIES; MARINE TERRACES; ICE THICKNESS; MIS 11; CLIMATE; COASTAL; OCEAN; COLLAPSE; BERMUDA</t>
  </si>
  <si>
    <t>We present the first U-series ages of corals from emergent marine deposits on the Canary Islands. Deposits at +20 mare 481 +/- 9 ka, possibly correlative to marine isotope stage (or MIS) 11, while those at + 12 and + 8 m are 120.5 +/- 0.8 ka and 130.2 +/- 0.8 ka, respectively, correlative to MIS 5.5. The age, elevations, and uplift rates derived from MIS 5.5 deposits on the Canary Islands allow calculations of hypothetical palaeo-sea levels during the MIS 11 high sea stand. Estimates indicate that the MIS 11 high sea stand likely was at least + 9 m (relative to present sea level) and could have been as high as + 24 m. The most conservative estimates of palaeo-sea level during MIS 11 would require an ice mass loss equivalent to all of the modern Greenland and West Antarctic ice sheets: the more extreme estimates would require additional ice mass loss from the East Antarctic ice sheet. Extralimital southern species of mollusks, found in both MIS 11 and MIS 5.5 deposits on the Canary Islands, imply warmerthan-modern sea surface temperatures during at least a part of MIS 11 and much warmer sea surface temperatures during at least a part of MIS 55. Both MIS 11 and MIS 5.5 marine deposits on the Canary Islands contain extralimital northern species of mollusks as well, indicating cooler-than-present waters at times during these interglacial periods. We hypothesize that the co-occurrence of extralimital southern and northern species of marine invertebrates in the fossil record of the Canary Islands reflects its geographic location with respect to major synoptic-scale controls on climate and ocean currents. Previous interglacials may have been characterized by early, insolation-forced warming, along with northward migration of the intertropical convergence zone (ITCZ), accompanied by weakened trade winds and diminished upwelling. This allowed the arrival of extralimital southern taxa from the tropical Senegalese faunal province. During later parts of the MIS 11 and 5.5 interglacials, decreased insolation may have resulted in southward migration of the ITCZ, strengthened trade winds, and re-establishment of upwelling. Such conditions may have brought about not only local extinction of the Senegalese fauna, but allowed southward migration of the cooler-water Mediterranean fauna to the Canary Islands in the later parts of interglacials, a complex palaeoclimate record that is mirrored in the deep-sea core record. Published by Elsevier B.V.</t>
  </si>
  <si>
    <t>[Muhs, Daniel R.; Simmons, Kathleen R.] US Geol Survey, Fed Ctr, Denver, CO 80225 USA; [Meco, Joaquin] Univ Las Palmas Gran Canaria, Dept Biol, Las Palmas Gran Canaria 35017, Canary Islands, Spain</t>
  </si>
  <si>
    <t>United States Department of the Interior; United States Geological Survey; Universidad de Las Palmas de Gran Canaria</t>
  </si>
  <si>
    <t>Muhs, DR (corresponding author), US Geol Survey, Fed Ctr, MS 980,Box 25046, Denver, CO 80225 USA.</t>
  </si>
  <si>
    <t>dmuhs@usgs.gov</t>
  </si>
  <si>
    <t>Meco Cabrera, Joaquin Francisco/0000-0001-7658-9956</t>
  </si>
  <si>
    <t>Climate and Land Use Change Program of the U.S. Geological Survey; Canary Islands CIE: Tricontinental Atlantic Campus</t>
  </si>
  <si>
    <t>Work by U.S. Geological Survey authors was supported by the Climate and Land Use Change Program of the U.S. Geological Survey; that by Meco was supported by Canary Islands CIE: Tricontinental Atlantic Campus. We wish to thank Dr. Rudo von Cosel (Museum National d'Histoire Naturelle, Departement Systematique et Evolution, Paris, France) for giving us information on the modern geographic ranges of several bivalves, taken from his forthcoming book on West African bivalves. Two anonymous journal reviewers, editor Thierry Correge (Universite de Bordeaux 1), and Randy Schumann, Diane Stephens, Janet Slate, and Tom Judkins (all of the U.S. Geological Survey), provided helpful comments on an earlier version of the paper.</t>
  </si>
  <si>
    <t>10.1016/j.palaeo.2013.11.015</t>
  </si>
  <si>
    <t>AB3HD</t>
  </si>
  <si>
    <t>WOS:000331681000008</t>
  </si>
  <si>
    <t>Huang, T; Sun, LG; Wang, YH; Chu, ZD; Qin, XY; Yang, LJ</t>
  </si>
  <si>
    <t>Huang, Tao; Sun, Liguang; Wang, Yuhong; Chu, Zhuding; Qin, Xianyan; Yang, Lianjiao</t>
  </si>
  <si>
    <t>Transport of nutrients and contaminants from ocean to island by emperor penguins from Amanda Bay, East Antarctic</t>
  </si>
  <si>
    <t>Emperor penguin; Ornithogenic sediments; Bio-transfer; Stable isotope analysis; Nutrients and contaminants</t>
  </si>
  <si>
    <t>ROSS SEA REGION; ORNITHOGENIC SEDIMENTS; VESTFOLD HILLS; MERCURY; SEABIRDS; NITROGEN; RECORD; LAND; ECOSYSTEMS; DELTA-N-15</t>
  </si>
  <si>
    <t>Penguins play important roles in the biogeochemical cycle between Antarctic Ocean and land ecosystems. The roles of emperor penguin Aptenodytes forsteri, however, are usually ignored because emperor penguin breeds in fast sea ice. In this study, we collected two sediment profiles (EPI and PI) from the N island near a large emperor penguin colony at Amanda Bay, East Antarctic and performed stable isotope and element analyses. The organic C/N ratios and carbon and nitrogen isotopes suggested an autochthonous source of organic materials for the sediments of EPI (C/N = 10.21 +/- 0.28, n = 17; delta C-13 = -13.48 +/- 0.50 parts per thousand, delta N-15 = 835 +/- 0.55 parts per thousand, n = 4) and an allochthonous source of marine-derived organic materials for the sediments of PI (C/N = 6.15 +/- 0.08, delta C-13 = -26.85 +/- 0.11 parts per thousand, delta N-15 = 21.21 +/- 2.02 parts per thousand, n = 20). The concentrations of total phosphorus (TP), selenium (Se), mercury (Hg) and zinc (Zn) in PI sediments were much higher than those in EPI, the concentration of copper (Cu) in PI was a little lower, and the concentration of element lead (Pb) showed no difference. As measured by the geoaccumulation indexes, Zn, TP, Hg and Se were from moderately to very strongly enriched in PI, relative to local mother rock, due to the guano input from juvenile emperor penguins. Because of its high trophic level and transfer efficiency, emperor penguin can transport a large amount of nutrients and contaminants from ocean to land even with a relatively small population, and its roles in the biogeochemical cycle between ocean and terrestrial environment should not be ignored. (C) 2013 Elsevier B.V. All rights reserved.</t>
  </si>
  <si>
    <t>[Huang, Tao; Sun, Liguang; Wang, Yuhong; Chu, Zhuding; Qin, Xianyan; Yang, Lianjiao] Univ Sci &amp; Technol China, Sch Earth &amp; Space Sci, Inst Polar Environm, Hefei 230026, Peoples R China</t>
  </si>
  <si>
    <t>Chinese Academy of Sciences; University of Science &amp; Technology of China, CAS</t>
  </si>
  <si>
    <t>Sun, LG (corresponding author), Univ Sci &amp; Technol China, Sch Earth &amp; Space Sci, Inst Polar Environm, Hefei 230026, Peoples R China.</t>
  </si>
  <si>
    <t>slg@ustc.edu.cn</t>
  </si>
  <si>
    <t>Huang, Tao/AAD-8866-2022</t>
  </si>
  <si>
    <t>Huang, Tao/0000-0001-5035-1632</t>
  </si>
  <si>
    <t>NSFC [41106162, 40730107]; Chinese Polar Environment Comprehensive Investigation &amp; Assessment Programmes [CHINARE2013-02-01-03, CHINARE2013-04-01-07, CHINARE2013-04-04-09]; Central Universities [WK2080000017]</t>
  </si>
  <si>
    <t>NSFC(National Natural Science Foundation of China (NSFC)); Chinese Polar Environment Comprehensive Investigation &amp; Assessment Programmes; Central Universities</t>
  </si>
  <si>
    <t>This study was funded by NSFC (Nos. 41106162 and 40730107), Chinese Polar Environment Comprehensive Investigation &amp; Assessment Programmes (CHINARE2013-02-01-03, CHINARE2013-04-01-07 and CHINARE2013-04-04-09) and the Central Universities (WK2080000017). Samples in this study were provided by the BIRDS-Sediment system. We thank the Chinese Arctic and Antarctic Administration and Polar Research Institute of China for logistical support in field; Dr. Jie Tang and Changgui Lu provide help in field for samples collection.</t>
  </si>
  <si>
    <t>10.1016/j.scitotenv.2013.08.082</t>
  </si>
  <si>
    <t>AB4QW</t>
  </si>
  <si>
    <t>WOS:000331776000062</t>
  </si>
  <si>
    <t>Guharay, A; Batista, PP; Clemesha, BR; Sarkhel, S</t>
  </si>
  <si>
    <t>Guharay, A.; Batista, P. P.; Clemesha, B. R.; Sarkhel, S.</t>
  </si>
  <si>
    <t>Response of the extratropical middle atmosphere to the September 2002 major stratospheric sudden warming</t>
  </si>
  <si>
    <t>ADVANCES IN SPACE RESEARCH</t>
  </si>
  <si>
    <t>Stratospheric sudden warming; Planetary waves; Convective activity</t>
  </si>
  <si>
    <t>MESOSPHERE-LOWER THERMOSPHERE; INTERANNUAL VARIABILITY; NORTHERN-HEMISPHERE; WINTER STRATOSPHERE; TEMPERATURE; CYCLE</t>
  </si>
  <si>
    <t>The effects of a major stratospheric sudden warming (SSW) at extratropical latitudes have been investigated with wind and temperature observations over a Brazilian station, Cachoeira Paulista (22.7 degrees S, 45 degrees W) during September October 2002. In response to the warming at polar latitudes a corresponding cooling at tropical and extratropical latitudes is prominent in the stratosphere. A conspicuous signature of latitudinal propagation of a planetary wave of zonal wavenumbers 1 and 2 from polar to low latitude has been observed during the warming period. The polar vortex which split into two parts of different size is found to travel considerably low latitude. Significant air mass mixing between low and high latitudes is caused by planetary wave breaking. The meridional wind exhibits oscillations of period 2-4 days during the warming period in the stratosphere. No wave feature is evident in the mesosphere during the warming period, although a 12-14 day periodicity is observed after 2 weeks of the warming event, indicating close resemblance to the results of other simultaneous investigations carried out from high latitude Antarctic stations. Convective activity over the present extratropical station diminishes remarkably during the warming period. This behavior is possibly due to destabilization and shift of equatorial convective active regions towards the opposite hemisphere in response to changes in the mean meridional circulation in concert with the SSW. (C) 2013 COSPAR. Published by Elsevier Ltd. All rights reserved.</t>
  </si>
  <si>
    <t>[Guharay, A.; Batista, P. P.; Clemesha, B. R.] INPE, Natl Inst Space Res, Sao Paulo, Brazil; [Sarkhel, S.] Penn State Univ, Radar Space Sci Lab, University Pk, PA 16802 USA</t>
  </si>
  <si>
    <t>Instituto Nacional de Pesquisas Espaciais (INPE); Pennsylvania Commonwealth System of Higher Education (PCSHE); Pennsylvania State University; Pennsylvania State University - University Park</t>
  </si>
  <si>
    <t>Guharay, A (corresponding author), INPE, Natl Inst Space Res, Sao Paulo, Brazil.</t>
  </si>
  <si>
    <t>guharay@laser.inpe.br</t>
  </si>
  <si>
    <t>Guharay, Amitava/B-6523-2013; Sarkhel, Sumanta/ADI-6332-2022; Sarkhel, Sumanta/I-7525-2015; BATISTA, PAULO PRADO/C-2616-2009</t>
  </si>
  <si>
    <t>Sarkhel, Sumanta/0000-0001-5980-2612; BATISTA, PAULO PRADO/0000-0002-5448-5803; Guharay, Amitava/0000-0003-1395-7322</t>
  </si>
  <si>
    <t>Fundacao de Amparo a Pesquisa do Estado de Sao Paulo (FAPESP); National Science Foundation (NSF), USA [ATM 07-21613]</t>
  </si>
  <si>
    <t>Fundacao de Amparo a Pesquisa do Estado de Sao Paulo (FAPESP)(Fundacao de Amparo a Pesquisa do Estado de Sao Paulo (FAPESP)); National Science Foundation (NSF), USA(National Science Foundation (NSF))</t>
  </si>
  <si>
    <t>The authors are grateful to the TIMED/SABER team for providing useful data for the present work. A. Guharay gratefully acknowledges the support from the Fundacao de Amparo a Pesquisa do Estado de Sao Paulo (FAPESP). S. Sarkhel is supported by the National Science Foundation (NSF), USA grant ATM 07-21613 to The Pennsylvania State University. The ECMWF data is available at the website http://www.ecmwf.int/research/era/do/get/index. Wavelet software was provided by C. Torrence and G. Compo, and is available at URL: http://paos.colorado.edu/research/wavelets/.</t>
  </si>
  <si>
    <t>0273-1177</t>
  </si>
  <si>
    <t>1879-1948</t>
  </si>
  <si>
    <t>ADV SPACE RES</t>
  </si>
  <si>
    <t>Adv. Space Res.</t>
  </si>
  <si>
    <t>10.1016/j.asr.2013.11.002</t>
  </si>
  <si>
    <t>Engineering, Aerospace; Astronomy &amp; Astrophysics; Geosciences, Multidisciplinary; Meteorology &amp; Atmospheric Sciences</t>
  </si>
  <si>
    <t>Engineering; Astronomy &amp; Astrophysics; Geology; Meteorology &amp; Atmospheric Sciences</t>
  </si>
  <si>
    <t>AB0QW</t>
  </si>
  <si>
    <t>WOS:000331498200009</t>
  </si>
  <si>
    <t>Barrat, JA; Jambon, A; Ferrière, L; Bollinger, C; Langlade, JA; Liorzou, C; Boudouma, O; Fialin, M</t>
  </si>
  <si>
    <t>Barrat, J. A.; Jambon, A.; Ferriere, L.; Bollinger, C.; Langlade, J. A.; Liorzou, C.; Boudouma, O.; Fialin, M.</t>
  </si>
  <si>
    <t>No Martian soil component in shergottite meteorites</t>
  </si>
  <si>
    <t>ELEPHANT MORAINE 79001; ALLAN HILLS 84001; NOBLE-GASES; GEOCHEMISTRY; CHEMISTRY; PETROLOGY; DAR-AL-GANI-476; ENVIRONMENT; DIOGENITES; EETA-79001</t>
  </si>
  <si>
    <t>We report on the major and trace element geochemistry of the impact melts contained in some shergottite meteorites. It has been previously proposed that some of these impact melts formed from a mixture of the host rock and a Martian soil component (e.g., Rao et al., 1999) or from partially weathered portions of the host rock (Chennaoui Aoudjehane et al., 2012). Our results contradict both of these theories. Trace element abundances of a glass pod from the EETA 79001A meteorite are identical to those of the host lithology, and indicate that no additional component is required in this case. The impact melts in Tissint share the same trace element features as the host rock, and no secondary phases produced by Martian secondary processes are involved. The light rare earth enrichments displayed by two small samples of Tissint (Chennaoui Aoudjehane et al., 2012) are possibly the result of some contamination of small stones on desert soil before the recovery of the meteorites. (C) 2013 Elsevier Ltd. All rights reserved.</t>
  </si>
  <si>
    <t>[Barrat, J. A.; Liorzou, C.] Univ Brest, CNRS UMR Domaines Ocean 6538, IUEM, F-29280 Plouzane, France; [Jambon, A.; Boudouma, O.; Fialin, M.] Univ Paris 06, ISTeP, CNRS UMR 7193, F-75252 Paris 05, France; [Ferriere, L.] Nat Hist Museum, A-1010 Vienna, Austria; [Bollinger, C.; Langlade, J. A.] CNRS UMS 3113, IUEM, F-29280 Plouzane, France</t>
  </si>
  <si>
    <t>Centre National de la Recherche Scientifique (CNRS); CNRS - National Institute for Earth Sciences &amp; Astronomy (INSU); Universite de Bretagne Occidentale; Institut Universitaire Europeen de la Mer (IUEM); Sorbonne Universite; Universite de Bretagne Occidentale; Institut Universitaire Europeen de la Mer (IUEM); Centre National de la Recherche Scientifique (CNRS); CNRS - National Institute for Earth Sciences &amp; Astronomy (INSU)</t>
  </si>
  <si>
    <t>Barrat, JA (corresponding author), Univ Brest, CNRS UMR Domaines Ocean 6538, IUEM, Pl Nicolas Copern, F-29280 Plouzane, France.</t>
  </si>
  <si>
    <t>langlade, jessica/H-3730-2017; Fialin, Michel/O-9557-2017; Barrat, Jean Alix/C-8416-2017</t>
  </si>
  <si>
    <t>langlade, jessica/0000-0002-2095-5272; Fialin, Michel/0000-0002-8490-8440; Barrat, Jean Alix/0000-0003-3158-3109; Ferriere, Ludovic/0000-0002-9082-6230</t>
  </si>
  <si>
    <t>The Tissint samples were kindly provided by the Natural History Museum, Vienna. US Antarctic meteorite samples are recovered by the Antarctic search for Meteorites (ANSMET) program which has been funded by NSF and NASA, and characterized and curated in the department of Mineral Sciences of the Smithsonian Institution and Astromaterials Curation Office at NASA Johnson Space Center. The sample of EETA 79001C was provided by NASA's Antarctic Meteorite Curator and the Meteorite Working Group. We thank Anders Meibom for the editorial handling, and two anonymous reviewers for constructive comments, Stefan Lalonde for fruitful discussions, and Pascale Barrat for her help. We gratefully acknowledge the Programme National de Planetologie (CNRS-INSU) for financial support. This research has made use of NASA's Astrophysics Data System Abstract Service.</t>
  </si>
  <si>
    <t>10.1016/j.gca.2013.09.033</t>
  </si>
  <si>
    <t>280YK</t>
  </si>
  <si>
    <t>WOS:000329066500002</t>
  </si>
  <si>
    <t>Fitzsimmons, JN; Boyle, EA</t>
  </si>
  <si>
    <t>Fitzsimmons, Jessica N.; Boyle, Edward A.</t>
  </si>
  <si>
    <t>Both soluble and colloidal iron phases control dissolved iron variability in the tropical North Atlantic Ocean</t>
  </si>
  <si>
    <t>MARINE; SOLUBILITY; COMPLEXATION; IRON(III); SEAWATER; PACIFIC; LIGANDS; GROWTH; SIZE; FE</t>
  </si>
  <si>
    <t>The size partitioning of dissolved iron (dFe, &lt;0.4 mu m) into soluble (sFe, &lt;0.02 mu m) and colloidal (0.02 mu m &lt; cFe &lt; 0.4 mu m) phases was investigated at seven stations in the tropical North Atlantic Ocean, and the results are compared to the dFe size fractionation study of Bergquist et al. (2007) in the same region. Downwind of the North African dust plumes, cFe comprised 80 + 7% of the surface dFe pool at six stations, supporting the hypothesis that atmospherically-derived Fe is maintained in the colloidal size fraction. At the deep chlorophyll maximum, colloidal Fe had minimum concentrations or was completely absent, suggesting that cFe was either preferentially taken up by microbes and/or scavenged/aggregated at these depths. At remineralization depths, sFe was the dominant fraction both in the subtropical gyre-like stations (76% sFe; [ sFe] = 0.42 +/- 0.03 nmol/kg) and in the oxygen minimum zone (56% sFe; [ sFe] = 0.65 +/- 0.03 nmol/kg). Only at remineralization depths of stations with intermediate oxygen concentrations (100-110 mu mol/kg) did colloidal Fe dominate (contributing 58% of dFe), indicating that cFe may be serving as a conduit of dFe loss during mixing of high-Fe OMZ and low-Fe gyre waters. North Atlantic Deep Water (NADW) had a typical sFe concentration of 0.34 +/- 0.05 nmol/kg. In the deepest samples composed of a NADW/Antarctic Bottom Water mixture where the bottom water may have attained a similar to 0.1 nmol/kg hydrothermal Fe input during transit past the Mid-Atlantic Ridge, sFe did not increase coincidentally with dFe, indicating that any potential hydrothermal Fe contribution was colloidal. In general, the results of this study counter the previous hypothesis of Bergquist et al. (2007) that the colloidal Fe fraction predominately controls dFe variability, instead suggesting that both soluble and colloidal Fe are variable, and both contribute to the observed dFe variability throughout the North Atlantic. The nearly 50-50% dFe partitioning into soluble and colloidal phases below the DCM suggest one of two partitioning mechanisms persists: (1) soluble and colloidal Fe exchange rates reach a steady state, over which regional, uniquely-partitioned Fe sources can be overlain, or (2) the partitioning of Fe-binding ligands between the two size fractions is variable in the open ocean and directly controls dFe partitioning. (C) 2013 Elsevier Ltd. All rights reserved.</t>
  </si>
  <si>
    <t>[Fitzsimmons, Jessica N.] MIT WHOI Joint Program Chem Oceanog, Cambridge, MA 02142 USA; [Fitzsimmons, Jessica N.; Boyle, Edward A.] MIT, Cambridge, MA 02142 USA</t>
  </si>
  <si>
    <t>Massachusetts Institute of Technology (MIT)</t>
  </si>
  <si>
    <t>Fitzsimmons, JN (corresponding author), MIT E25-615,45 Carleton St, Cambridge, MA 02142 USA.</t>
  </si>
  <si>
    <t>jessfitzsimmons@gmail.com</t>
  </si>
  <si>
    <t>Fitzsimmons, Jessica N/G-1343-2011</t>
  </si>
  <si>
    <t>Fitzsimmons, Jessica/0000-0002-9829-2464</t>
  </si>
  <si>
    <t>National Science Foundation Graduate Research Fellowship (NSF) [0645960]; NSF [OCE-07020278]; Center for Microbial Oceanography: Research and Education (NSF-OIA) [EF-0424599]</t>
  </si>
  <si>
    <t>National Science Foundation Graduate Research Fellowship (NSF); NSF(National Science Foundation (NSF)); Center for Microbial Oceanography: Research and Education (NSF-OIA)</t>
  </si>
  <si>
    <t>We thank Ruifeng Zhang for his help with the dissolved iron measurements as well as Richard Kayser for his efforts maintaining and deploying the MITESS units. We would also like to thank Phoebe Lam, Mark Wells, and Carl Lamborg for useful discussions about marine colloidal Fe and three anonymous reviewers for useful comments on this manuscript. Excellent marine support was offered by the officers and crew of the R/V Oceanus. Finally, we thank Reiner Schlitzer and his group for sharing the Ocean Data View graphics program. J.N. Fitzsimmons was funded by a National Science Foundation Graduate Research Fellowship (NSF Award #0645960), and this work was funded by NSF OCE-07020278 and the Center for Microbial Oceanography: Research and Education (NSF-OIA Award #EF-0424599).</t>
  </si>
  <si>
    <t>10.1016/j.gca.2013.10.032</t>
  </si>
  <si>
    <t>WOS:000329066500033</t>
  </si>
  <si>
    <t>Zhao, Y; Vance, D; Abouchami, W; de Baar, HJW</t>
  </si>
  <si>
    <t>Zhao, Y.; Vance, D.; Abouchami, W.; de Baar, H. J. W.</t>
  </si>
  <si>
    <t>Biogeochemical cycling of zinc and its isotopes in the Southern Ocean</t>
  </si>
  <si>
    <t>MARINE-PHYTOPLANKTON; ATLANTIC SECTOR; MASS SPECTROMETRY; DISSOLVED ZINC; CO-LIMITATION; IRON; ZN; FRACTIONATION; CU; MANGANESE</t>
  </si>
  <si>
    <t>We report Zn concentration and isotope data for seawater samples from the Atlantic sector of the Southern Ocean, collected during the IPY/GEOTRACES ANT-XXIV/III cruise along the Greenwich Zero Meridian. Data are reported for the full depth range of the water column at three stations, as well as a transect of surface samples, using a new analytical approach that is presented in detail here. Zn concentrations increase with depth, though due to proximity to upwelling sites, surface concentrations are not as low as in some parts of the ocean such as further northward into the Sub-Antarctic Zone. For two depth profiles south of the Polar Front Zone, the physical stratification of the upper water column is reflected in sudden near-surface changes in Zn concentration with depth. In contrast, beneath 100-300 m Zn concentrations barely change with depth. Zn isotopic data beneath 1000 m, for the Southern Ocean data presented here as well as published data from the North Atlantic and North Pacific, are strikingly homogeneous, with an average delta Zn-66 = +0.53 +/- 0.14 parts per thousand (2SD, 2SE = 0.03, n = 21). The surface Southern Oceanis more variable, with delta Zn-66 ranging from 0.07 parts per thousand to 0.80 parts per thousand. Between the two is a thin horizon at 40-80 m which, in the Southern Ocean as well as the North Atlantic and North Pacific, is characterised by distinctly light isotopic signatures, with delta Zn-66 about 0.3 parts per thousand lower than surface waters. Strong correlations between Si and Zn concentrations seen here and elsewhere, coupled to the lack of any systematic relationship between Si and Zn isotopes in the Southern Ocean, suggest that the removal of Zn associated with diatom opal involves little or no isotopic fractionation. Regeneration of this Zn also explains the homogeneous Zn isotopic composition of the global deep ocean so far sampled. However, the low Zn content of opal requires that deep ocean Zn does not directly come from the opal phase itself, but rather from associated organic material external to the diatom frustule during growth. Experimental data are consistent with little or no fractionation during incorporation of Zn into this material. On the other hand, the light zinc at 40-80 m is most consistent with the regeneration of an intra-cellular pool that both culturing experiments and field data suggest will be isotopically light. The data thus imply two processes by which Zn is taken up in the surface ocean, that these pools have very different regeneration lengthscales, and that physical mixing of the oceans cannot eradicate their isotopic signatures. Finally, the deep delta Zn-66 ocean value is significantly higher than the current best estimate of the input to the oceans. The most obvious candidate for the required light sink is the survival of some of the cellular Zn to be buried in sediment. (C) 2013 Elsevier Ltd. All rights reserved.</t>
  </si>
  <si>
    <t>[Zhao, Y.; Vance, D.] Univ Bristol, Sch Earth Sci, Bristol Isotope Grp, Bristol BS8 1RJ, Avon, England; [Vance, D.] ETH, Dept Earth Sci, Inst Geochem &amp; Petr, CH-8092 Zurich, Switzerland; [Abouchami, W.] Max Planck Inst Chem, D-55020 Mainz, Germany; [Abouchami, W.] WWU Munster, Inst Mineral, Munster, Germany; [de Baar, H. J. W.] Royal Netherlands Inst Sea Res, NL-1790 AB Den Burg, Netherlands</t>
  </si>
  <si>
    <t>University of Bristol; Swiss Federal Institutes of Technology Domain; ETH Zurich; Max Planck Society; University of Munster; Utrecht University; Royal Netherlands Institute for Sea Research (NIOZ)</t>
  </si>
  <si>
    <t>Vance, D (corresponding author), ETH, Dept Earth Sci, Inst Geochem &amp; Petr, NW D81-4,Clausiusstr 25, CH-8092 Zurich, Switzerland.</t>
  </si>
  <si>
    <t>derek.vance@erdw.ethz.ch</t>
  </si>
  <si>
    <t>Zhao, Ye/0000-0002-6300-4477</t>
  </si>
  <si>
    <t>UK government Overseas Research Scholarship; Leverhulme Research Fellowship</t>
  </si>
  <si>
    <t>UK government Overseas Research Scholarship; Leverhulme Research Fellowship(Leverhulme Trust)</t>
  </si>
  <si>
    <t>We gratefully acknowledge the captain, officers and entire crew of the P. S. Polarstern. This work was supported by a UK government Overseas Research Scholarship to Y.Z. and a Leverhulme Research Fellowship to D. V. The comments of Associate Editor Mark Rehkamper and those of three anonymous reviewers forced us to think harder about the data and have genuinely turned this into a better paper.</t>
  </si>
  <si>
    <t>10.1016/j.gca.2013.07.045</t>
  </si>
  <si>
    <t>WOS:000329066500038</t>
  </si>
  <si>
    <t>Asencio, G; Lavin, P; Alegría, K; Domínguez, M; Bello, H; González-Rocha, G; González-Aravena, M</t>
  </si>
  <si>
    <t>Asencio, Geraldine; Lavin, Paris; Alegria, Karen; Dominguez, Mariana; Bello, Helia; Gonzalez-Rocha, Gerardo; Gonzalez-Aravena, Marcelo</t>
  </si>
  <si>
    <t>Antibacterial activity of the Antarctic bacterium Janthinobacterium sp SMN 33.6 against multi-resistant Gram-negative bacteria</t>
  </si>
  <si>
    <t>ELECTRONIC JOURNAL OF BIOTECHNOLOGY</t>
  </si>
  <si>
    <t>Antarctica; Antimicrobial; Antibiotic resistance; Bacterial pigment</t>
  </si>
  <si>
    <t>CHROMOBACTERIUM-VIOLACEUM; VIOLET PIGMENT; BAD BUGS; ANTIBIOTICS; RESISTANCE; MULTIDRUG; INFECTION; LIVIDUM; DRUGS</t>
  </si>
  <si>
    <t>Background: The increment of resistant strains to commonly used antibiotics in clinical practices places in evidence the urgent need to search for newcompounds with antibacterial activity. The adaptations that Antarctic microorganisms have developed, due to the extreme environment that they inhabit, promote them as a potential new source of active compounds for the control of microorganisms causing infections associated with health care. The aim of this study was to evaluate the antibacterial activity of an ethanol extract of the Antarctic bacterium Janthinobacterium sp., strain SMN 33.6, against nosocomial multi-resistant Gram-negative bacteria. Results: Inhibitory activity against human Gram-negative bacterial pathogens, with concentrations that varied between 0.5 and 16 mu g ml(-1), was demonstrated. Conclusions: The ethanolic extract of Janthinobacterium sp. SMN 33.6 possesses antibacterial activity against a chromosomal AmpC beta-lactamase-producing strain of Serratia marcescens, an extended-spectrum beta-lactamase-producing Escherichia coli and also against carbapenemase-producing strains of Acinetobacter baumannii and Pseudomonas aeruginosa. This becomes a potential and interesting biotechnological tool for the control of bacteria with multi-resistance to commonly used antibiotics. (C) 2014 Pontificia Universidad Catolica de Valparaiso. Production and hosting by Elsevier B. V. All rights reserved.</t>
  </si>
  <si>
    <t>[Asencio, Geraldine; Lavin, Paris; Gonzalez-Aravena, Marcelo] Inst Antartico Chileno, Dept Cient, Lab Biorrecursos Antarticos, Punta Arenas, Chile; [Alegria, Karen; Dominguez, Mariana; Bello, Helia; Gonzalez-Rocha, Gerardo] Univ Concepcion, Fac Ciencias Biol, Dept Microbiol, Lab Invest Agentes Antibacterianos, Concepcion, Chile</t>
  </si>
  <si>
    <t>Universidad de Concepcion</t>
  </si>
  <si>
    <t>González-Aravena, M (corresponding author), Inst Antartico Chileno, Dept Cient, Lab Biorrecursos Antarticos, Plaza Munoz Gamero, Punta Arenas, Chile.</t>
  </si>
  <si>
    <t>mgonzalez@inach.cl</t>
  </si>
  <si>
    <t>González, Marcelo/ABF-1450-2020; Bello-Toledo, H/AAA-2387-2022; Lavin, Paris/AAI-9053-2020; Gonzalez, Gerardo/KHE-5265-2024; Gonzalez-Rocha, Gerardo/AAP-1793-2021</t>
  </si>
  <si>
    <t>Bello-Toledo, H/0000-0002-9277-4681; Gonzalez-Rocha, Gerardo/0000-0003-2351-1236; Lavin, Paris/0000-0002-8893-526X</t>
  </si>
  <si>
    <t>Innova-CORFO [07CN13PXT-264]; INACH [T-17-08]</t>
  </si>
  <si>
    <t>Innova-CORFO; INACH</t>
  </si>
  <si>
    <t>This research was supported by grant number 07CN13PXT-264 from Innova-CORFO and grant number T-17-08 from INACH. The authors would like to thank personnel at INACH for their logistic support in Antarctica.</t>
  </si>
  <si>
    <t>0717-3458</t>
  </si>
  <si>
    <t>ELECTRON J BIOTECHN</t>
  </si>
  <si>
    <t>Electron. J. Biotechnol.</t>
  </si>
  <si>
    <t>10.1016/j.ejbt.2013.12.001</t>
  </si>
  <si>
    <t>AF0YK</t>
  </si>
  <si>
    <t>WOS:000334440900002</t>
  </si>
  <si>
    <t>Horton, BP; Rahmstorf, S; Engelhart, SE; Kemp, AC</t>
  </si>
  <si>
    <t>Horton, Benjamin P.; Rahmstorf, Stefan; Engelhart, Simon E.; Kemp, Andrew C.</t>
  </si>
  <si>
    <t>Expert assessment of sea-level rise by AD 2100 and AD 2300</t>
  </si>
  <si>
    <t>Expert elicitation; Survey; IPCC</t>
  </si>
  <si>
    <t>ANTARCTIC ICE-SHEET; CLIMATE-CHANGE; ELICITATION; JUDGMENTS; MODEL; OCEAN</t>
  </si>
  <si>
    <t>Large uncertainty surrounds projections of global sea-level rise, resulting from uncertainty about future warming and an incomplete understanding of the complex processes and feedback mechanisms that cause sea level to rise. Consequently, existing models produce widely differing predictions of sea-level rise even for the same temperature scenario. Here we present results of a broad survey of 90 experts who were amongst the most active scientific publishers on the topic of sea level in recent years. They provided a probabilistic assessment of sea-level rise by AD 2100 and AD 2300 under two contrasting temperature scenarios. For the low scenario, which limits warming to &lt;2 degrees C above pre-industrial temperature and has slowly falling temperature after AD 2050, the median 'likely' range provided by the experts is 0.4-0.6 m by AD 2100 and 0.6-1.0 m by AD 2300, suggesting a good chance to limit future sea-level rise to &lt;1.0 m if climate mitigation measures are successfully implemented. In contrast, for the high warming scenario (4.5 degrees C by AD 2100 and 8 degrees C in AD 2300) the median likely ranges are 0.7-1.2 m by AD 2100 and 2.0-3.0 m by AD 2300, calling into question the future survival of some coastal cities and low-lying island nations. (C) 2013 Elsevier Ltd. All rights reserved.</t>
  </si>
  <si>
    <t>[Horton, Benjamin P.] Rutgers State Univ, Inst Marine &amp; Coastal Sci, Sch Environm &amp; Biol Sci, New Brunswick, NJ 08901 USA; [Horton, Benjamin P.] Nanyang Technol Univ, Div Earth Sci &amp; Earth Observ Singapore, Singapore 639798, Singapore; [Rahmstorf, Stefan] Potsdam Inst Climate Impact Res, D-14473 Potsdam, Germany; [Engelhart, Simon E.] Univ Rhode Isl, Dept Geosci, Kingston, RI 02881 USA; [Kemp, Andrew C.] Tufts Univ, Dept Earth &amp; Ocean Sci, Medford, MA 02155 USA</t>
  </si>
  <si>
    <t>Rutgers University System; Rutgers University New Brunswick; Nanyang Technological University; Potsdam Institut fur Klimafolgenforschung; University of Rhode Island; Tufts University</t>
  </si>
  <si>
    <t>Horton, BP (corresponding author), Rutgers State Univ, Inst Marine &amp; Coastal Sci, Sch Environm &amp; Biol Sci, 71 Dudley Rd, New Brunswick, NJ 08901 USA.</t>
  </si>
  <si>
    <t>bphorton@marine.rutgers.edu</t>
  </si>
  <si>
    <t>IPO, PAGES/JXY-7546-2024; Engelhart, Simon E./H-4968-2019; Rahmstorf, Stefan/A-8465-2010</t>
  </si>
  <si>
    <t>Engelhart, Simon E./0000-0002-4431-4664; Rahmstorf, Stefan/0000-0001-6786-7723; Horton, Benjamin/0000-0001-9245-3768</t>
  </si>
  <si>
    <t>NOAA [NA11OAR4310101]; NSF [1052848]; Directorate For Geosciences; Division Of Earth Sciences [1419366, 1023724] Funding Source: National Science Foundation; Division Of Earth Sciences; Directorate For Geosciences [1052848] Funding Source: National Science Foundation</t>
  </si>
  <si>
    <t>NOAA(National Oceanic Atmospheric Admin (NOAA) - USA); NSF(National Science Foundation (NSF)); Directorate For Geosciences; Division Of Earth Sciences(National Science Foundation (NSF)NSF - Directorate for Geosciences (GEO)); Division Of Earth Sciences; Directorate For Geosciences(National Science Foundation (NSF)NSF - Directorate for Geosciences (GEO))</t>
  </si>
  <si>
    <t>This research was funded by NOAA Grant NA11OAR4310101 and NSF Award 1052848. We greatly appreciate the scientific community for completing the survey. This paper is a contribution to IGCP project 588 and PALSEA2.</t>
  </si>
  <si>
    <t>10.1016/j.quascirev.2013.11.002</t>
  </si>
  <si>
    <t>AB3HP</t>
  </si>
  <si>
    <t>WOS:000331682200001</t>
  </si>
  <si>
    <t>Mendo, T; Lyle, JM; Moltschaniwskyj, NA; Tracey, SR; Semmens, JM</t>
  </si>
  <si>
    <t>Mendo, Tania; Lyle, Jeremy M.; Moltschaniwskyj, Natalie A.; Tracey, Sean R.; Semmens, Jayson M.</t>
  </si>
  <si>
    <t>Habitat Characteristics Predicting Distribution and Abundance Patterns of Scallops in D'Entrecasteaux Channel, Tasmania</t>
  </si>
  <si>
    <t>DENSITY-DEPENDENT PREDATION; PLACOPECTEN-MAGELLANICUS; SETTLEMENT; SURVIVAL; CRABS; SEA; BAY; RECRUITMENT; SUBSTRATE; GROUNDS</t>
  </si>
  <si>
    <t>Habitat characteristics greatly influence the patterns of distribution and abundance in scallops, providing structure for the settlement of spat and influencing predation risk and rates of survival. Establishing scallop-habitat relationships is relevant to understanding the ecological processes that regulate scallop populations and to managing critical habitats. This information is particularly relevant for the D'Entrecasteaux Channel, south-eastern Tasmania (147.335 W, 43.220 S), a region that has supported significant but highly variable scallop production over many years, including protracted periods of stock collapse. Three species of scallops are present in the region; the commercial scallop Pecten fumatus, the queen scallop Equichlamys bifrons, and the doughboy scallop Mimachlamys asperrima. We used dive surveys and Generalized Additive Modelling to examine the relationship between the distribution and abundance patterns of each species and associated habitat characteristics. The aggregated distribution of each species could be predicted as a function of sediment type and species-specific habitat structural components. While P. fumatus was strongly associated with finer sediments and E. bifrons with coarse grain sediments, M. asperrima had a less selective association, possibly related to its ability to attach on a wide range of substrates. Other habitat characteristics explaining P. fumatus abundance were depth, Asterias amurensis abundance, shell and macroalgae cover. Equichlamys bifrons was strongly associated with macroalgae and seagrass cover, whereas M. asperrima abundance was greatly explained by sponge cover. The models define a set of relationships from which plausible hypotheses can be developed. We propose that these relationships are mediated by predation pressure as well as the specific behavioural characteristics of each species. The findings also highlight the specific habitat characteristics that are relevant for spatial management and habitat restoration plans.</t>
  </si>
  <si>
    <t>[Mendo, Tania; Lyle, Jeremy M.; Tracey, Sean R.; Semmens, Jayson M.] Univ Tasmania, Inst Marine &amp; Antarctic Studies, Hobart, Tas, Australia; [Moltschaniwskyj, Natalie A.] Univ Newcastle, Sch Environm &amp; Life Sci, Ourimbah, NSW, Australia</t>
  </si>
  <si>
    <t>University of Tasmania; University of Newcastle</t>
  </si>
  <si>
    <t>Mendo, T (corresponding author), Univ Tasmania, Inst Marine &amp; Antarctic Studies, Hobart, Tas, Australia.</t>
  </si>
  <si>
    <t>taniamendow@yahoo.com</t>
  </si>
  <si>
    <t>Mendo, Tania/AAH-7734-2020; Moltschaniwskyj, Natalie/AAB-7236-2019; Tracey, Sean/J-7446-2014; Lyle, Jeremy/J-7170-2014</t>
  </si>
  <si>
    <t>Mendo, Tania/0000-0003-4397-2064; Tracey, Sean/0000-0002-6735-5899; Moltschaniwskyj, Natalie/0000-0001-9709-9876; Semmens, Jayson/0000-0003-1742-6692; Lyle, Jeremy/0000-0001-9670-5854</t>
  </si>
  <si>
    <t>Fishwise Community Grants Scheme; Endeavour International Postgraduate Research Scholarship (EIPRS)</t>
  </si>
  <si>
    <t>Fishwise Community Grants Scheme; Endeavour International Postgraduate Research Scholarship (EIPRS)(Australian Government)</t>
  </si>
  <si>
    <t>This project was funded by the Fishwise Community Grants Scheme administered by the Department of Primary Industries, Parks, Water and Environment, Australia. The first author was supported by an Endeavour International Postgraduate Research Scholarship (EIPRS). The funders had no role in study design, data collection and analysis, decision to publish, or preparation of the manuscript.</t>
  </si>
  <si>
    <t>JAN 13</t>
  </si>
  <si>
    <t>e85895</t>
  </si>
  <si>
    <t>10.1371/journal.pone.0085895</t>
  </si>
  <si>
    <t>292SL</t>
  </si>
  <si>
    <t>WOS:000329922500059</t>
  </si>
  <si>
    <t>Nie, YG; Liu, XD; Wen, T; Sun, LG; Emslie, SD</t>
  </si>
  <si>
    <t>Nie, Yaguang; Liu, Xiaodong; Wen, Tao; Sun, Liguang; Emslie, Steven D.</t>
  </si>
  <si>
    <t>Environmental implication of nitrogen isotopic composition in ornithogenic sediments from the Ross Sea region, East Antarctica: Δ15N as a new proxy for avian influence</t>
  </si>
  <si>
    <t>CHEMICAL GEOLOGY</t>
  </si>
  <si>
    <t>delta N-15; Delta N-15; Abandoned colony; Adelie penguin; Ornithogenic sediments; East Antarctica</t>
  </si>
  <si>
    <t>ADELIE PENGUIN ROOKERIES; STABLE-ISOTOPES; N-15 ENRICHMENT; VICTORIA LAND; CLIMATE-CHANGE; SOIL-NITROGEN; CARBON; RATIOS; TERRESTRIAL; RECORD</t>
  </si>
  <si>
    <t>We analyzed delta N-15 in both acid-treated and untreated sediment profiles fromMcMurdo Sound of the Ross Sea region, East Antarctica thatwere influenced by penguin guano. The difference between treated and untreated delta N-15 (Delta N-15) was significant in three profiles which were heavily impacted by guano, and minor in two profiles with less guano influence. We determined that the total nitrogen in the sediments is primarily derived from penguin guano and algae, and used an N-species test to explain the variation of Delta N-15 in two profiles. It was found that post-depositional decomposition and ammonia volatilization, which have important roles in the cold and arid environment of East Antarctica, would render an elevated delta N-15 through kinetic isotopic fractionation in the inorganic nitrogen from guano. N-species analysis revealed that the percentage of inorganic nitrogen in total nitrogen, indicative of the degree of guano influence, is the key factor controlling Delta N-15 in the sediments. This hypothesis successfully explained the nitrogen isotopic composition in the remaining three sediment profiles. We conclude that the parameter Delta N-15, rather than traditionally used untreated delta N-15, can be taken as an effective proxy for the strength of avian influence on ornithogenic sediments in East Antarctica. (C) 2013 Elsevier B.V. All rights reserved.</t>
  </si>
  <si>
    <t>[Nie, Yaguang; Liu, Xiaodong; Wen, Tao; Sun, Liguang] Univ Sci &amp; Technol China, Sch Earth &amp; Space Sci, Inst Polar Environm, Hefei 230026, Anhui, Peoples R China; [Emslie, Steven D.] Univ North Carolina Wilmington, Dept Biol &amp; Marine Biol, Wilmington, NC 28403 USA</t>
  </si>
  <si>
    <t>Chinese Academy of Sciences; University of Science &amp; Technology of China, CAS; University of North Carolina; University of North Carolina Wilmington</t>
  </si>
  <si>
    <t>Liu, XD (corresponding author), Univ Sci &amp; Technol China, Sch Earth &amp; Space Sci, Inst Polar Environm, Hefei 230026, Anhui, Peoples R China.</t>
  </si>
  <si>
    <t>ycx@ustc.edu.cn; slg@ustc.edu.cn</t>
  </si>
  <si>
    <t>Wen, Tao/Y-3990-2019; Wen, Tao/P-6733-2018</t>
  </si>
  <si>
    <t>Wen, Tao/0000-0001-9089-3196; Wen, Tao/0000-0002-6113-7532</t>
  </si>
  <si>
    <t>Chinese Arctic and Antarctic Administration of the State Oceanic Administration; National Natural Science Foundation of China [41076123, 41376124]; Chinese Polar Environment Comprehensive Investigation &amp; Assessment Programmes [CHINARE2012-04-04-09]; NSF [ANT 0739575]; Office of Polar Programs (OPP); Directorate For Geosciences [0739575] Funding Source: National Science Foundation</t>
  </si>
  <si>
    <t>Chinese Arctic and Antarctic Administration of the State Oceanic Administration; National Natural Science Foundation of China(National Natural Science Foundation of China (NSFC)); Chinese Polar Environment Comprehensive Investigation &amp; Assessment Programmes; NSF(National Science Foundation (NSF)); Office of Polar Programs (OPP); Directorate For Geosciences(National Science Foundation (NSF)NSF - Directorate for Geosciences (GEO))</t>
  </si>
  <si>
    <t>We would like to thank the Chinese Arctic and Antarctic Administration of the State Oceanic Administration for project support. We also thank the United States Antarctic Program (USAP), Raytheon Polar Services, and in particular J. Smykla, E. Gruber and L. Coats for their valuable assistance in the field. This study was supported by the National Natural Science Foundation of China (Grant Nos. 41076123 and 41376124), the Chinese Polar Environment Comprehensive Investigation &amp; Assessment Programmes (CHINARE2012-04-04-09) and the NSF Grant ANT 0739575.</t>
  </si>
  <si>
    <t>0009-2541</t>
  </si>
  <si>
    <t>1872-6836</t>
  </si>
  <si>
    <t>CHEM GEOL</t>
  </si>
  <si>
    <t>Chem. Geol.</t>
  </si>
  <si>
    <t>JAN 10</t>
  </si>
  <si>
    <t>10.1016/j.chemgeo.2013.10.031</t>
  </si>
  <si>
    <t>285QO</t>
  </si>
  <si>
    <t>WOS:000329408900007</t>
  </si>
  <si>
    <t>Sydney, Australia 1 Stranded Antarctic Team Rescued</t>
  </si>
  <si>
    <t>286BZ</t>
  </si>
  <si>
    <t>WOS:000329440800002</t>
  </si>
  <si>
    <t>Dutrieux, P; De Rydt, J; Jenkins, A; Holland, PR; Ha, HK; Lee, SH; Steig, EJ; Ding, QH; Abrahamsen, EP; Schröder, M</t>
  </si>
  <si>
    <t>Dutrieux, Pierre; De Rydt, Jan; Jenkins, Adrian; Holland, Paul R.; Ha, Ho Kyung; Lee, Sang Hoon; Steig, Eric J.; Ding, Qinghua; Abrahamsen, E. Povl; Schroeder, Michael</t>
  </si>
  <si>
    <t>Strong Sensitivity of Pine Island Ice-Shelf Melting to Climatic Variability</t>
  </si>
  <si>
    <t>CIRCUMPOLAR DEEP-WATER; OCEAN CIRCULATION; AMUNDSEN SEA; GLACIER; ANTARCTICA; STABILITY; RETREAT; RATES</t>
  </si>
  <si>
    <t>Pine Island Glacier has thinned and accelerated over recent decades, significantly contributing to global sea-level rise. Increased oceanic melting of its ice shelf is thought to have triggered those changes. Observations and numerical modeling reveal large fluctuations in the ocean heat available in the adjacent bay and enhanced sensitivity of ice-shelf melting to water temperatures at intermediate depth, as a seabed ridge blocks the deepest and warmest waters from reaching the thickest ice. Oceanic melting decreased by 50% between January 2010 and 2012, with ocean conditions in 2012 partly attributable to atmospheric forcing associated with a strong La Nina event. Both atmospheric variability and local ice shelf and seabed geometry play fundamental roles in determining the response of the Antarctic Ice Sheet to climate.</t>
  </si>
  <si>
    <t>[Dutrieux, Pierre; De Rydt, Jan; Jenkins, Adrian; Holland, Paul R.; Abrahamsen, E. Povl] British Antarctic Survey, Nat Environm Res Council NERC, Cambridge CB3 0ET, England; [Ha, Ho Kyung; Lee, Sang Hoon] Korea Inst Ocean Sci &amp; Technol KIOST, Korea Polar Res Inst, Inchon, South Korea; [Steig, Eric J.; Ding, Qinghua] Univ Washington, Dept Earth &amp; Space Sci, Seattle, WA 98195 USA; [Steig, Eric J.; Ding, Qinghua] Univ Washington, Quaternary Res Ctr, Seattle, WA 98195 USA; [Schroeder, Michael] Alfred Wegener Inst Polar &amp; Marine Res, Bremerhaven, Germany</t>
  </si>
  <si>
    <t>UK Research &amp; Innovation (UKRI); Natural Environment Research Council (NERC); NERC British Antarctic Survey; Korea Polar Research Institute (KOPRI); Korea Institute of Ocean Science &amp; Technology (KIOST); University of Washington; University of Washington Seattle; University of Washington; University of Washington Seattle; Helmholtz Association; Alfred Wegener Institute, Helmholtz Centre for Polar &amp; Marine Research</t>
  </si>
  <si>
    <t>Dutrieux, P (corresponding author), British Antarctic Survey, Nat Environm Res Council NERC, Cambridge CB3 0ET, England.</t>
  </si>
  <si>
    <t>pierre.dutrieux@bas.ac.uk</t>
  </si>
  <si>
    <t>Ha, Ho Kyung/HCH-4138-2022; ding, qinghua/G-1186-2011; Dutrieux, Pierre/GVS-2890-2022; Jenkins, Adrian/IUN-2406-2023; Abrahamsen, Povl/B-2140-2008; Holland, Paul R/G-2796-2012; De Rydt, Jan/H-5692-2018; /G-9088-2015</t>
  </si>
  <si>
    <t>Dutrieux, Pierre/0000-0002-8066-934X; Abrahamsen, Povl/0000-0001-5924-5350; De Rydt, Jan/0000-0002-2978-8706; Jenkins, Adrian/0000-0002-9117-0616; /0000-0002-8191-5549</t>
  </si>
  <si>
    <t>Natural Environment Research Council [NE/G001367/1, NE/H02333X/1, NE/J005770/1]; Korea Polar Research Institute [PP12010, PP13020]; NSF [ANT-0424589]; NASA [NNX10AT68G]; NERC [bas0100028, NE/G001367/1, NE/J005770/1, NE/H02333X/1] Funding Source: UKRI; Natural Environment Research Council [NE/G001367/1, bas0100028, NE/H02333X/1, NE/J005770/1] Funding Source: researchfish</t>
  </si>
  <si>
    <t>Natural Environment Research Council(UK Research &amp; Innovation (UKRI)Natural Environment Research Council (NERC)); Korea Polar Research Institute(Korea Polar Research Institute of Marine Research Placement (KOPRI)); NSF(National Science Foundation (NSF)); NASA(National Aeronautics &amp; Space Administration (NASA)); NERC(UK Research &amp; Innovation (UKRI)Natural Environment Research Council (NERC)); Natural Environment Research Council(UK Research &amp; Innovation (UKRI)Natural Environment Research Council (NERC))</t>
  </si>
  <si>
    <t>P.D. and J.D.R. were supported by Natural Environment Research Council grants NE/G001367/1, NE/H02333X/1, and NE/J005770/1. H. K. H. and S. H. L. were supported by Korea Polar Research Institute grants PP12010 and PP13020. The European Centre for Medium-Range Weather Forecasts is acknowledged for serving the ERA-Interim reanalysis data set, and Center for Remote Sensing of Ice Sheets (with support from NSF grant ANT-0424589 and NASA grant NNX10AT68G) is acknowledged for generating and serving radar observations.</t>
  </si>
  <si>
    <t>10.1126/science.1244341</t>
  </si>
  <si>
    <t>WOS:000329440800040</t>
  </si>
  <si>
    <t>Turney, C</t>
  </si>
  <si>
    <t>Turney, Chris</t>
  </si>
  <si>
    <t>This was no Antarctic pleasure cruise</t>
  </si>
  <si>
    <t>Univ New S Wales, Climate Change Res Ctr, Sydney, NSW 2052, Australia</t>
  </si>
  <si>
    <t>Turney, C (corresponding author), Univ New S Wales, Climate Change Res Ctr, Sydney, NSW 2052, Australia.</t>
  </si>
  <si>
    <t>c.turney@unsw.edu.au</t>
  </si>
  <si>
    <t>Turney, Chris/P-8701-2018</t>
  </si>
  <si>
    <t>Turney, Chris/0000-0001-6733-0993</t>
  </si>
  <si>
    <t>JAN 9</t>
  </si>
  <si>
    <t>10.1038/505133a</t>
  </si>
  <si>
    <t>286CG</t>
  </si>
  <si>
    <t>WOS:000329441500004</t>
  </si>
  <si>
    <t>Gillis, KM; Snow, JE; Klaus, A; Abe, N; Adriao, AB; Akizawa, N; Ceuleneer, G; Cheadle, MJ; Faak, K; Falloon, TJ; Friedman, SA; Godard, M; Guerin, G; Harigane, Y; Horst, AJ; Hoshide, T; Ildefonse, B; Jean, MM; John, BE; Koepke, J; Machi, S; Maeda, J; Marks, NE; McCaig, AM; Meyer, R; Morris, A; Nozaka, T; Python, M; Saha, A; Wintsch, RP</t>
  </si>
  <si>
    <t>Gillis, Kathryn M.; Snow, Jonathan E.; Klaus, Adam; Abe, Natsue; Adriao, Alden B.; Akizawa, Norikatsu; Ceuleneer, Georges; Cheadle, Michael J.; Faak, Kathrin; Falloon, Trevor J.; Friedman, Sarah A.; Godard, Marguerite; Guerin, Gilles; Harigane, Yumiko; Horst, Andrew J.; Hoshide, Takashi; Ildefonse, Benoit; Jean, Marlon M.; John, Barbara E.; Koepke, Juergen; Machi, Sumiaki; Maeda, Jinichiro; Marks, Naomi E.; McCaig, Andrew M.; Meyer, Romain; Morris, Antony; Nozaka, Toshio; Python, Marie; Saha, Abhishek; Wintsch, Robert P.</t>
  </si>
  <si>
    <t>Primitive layered gabbros from fast-spreading lower oceanic crust</t>
  </si>
  <si>
    <t>EAST PACIFIC RISE; MIDOCEAN RIDGE BASALTS; HESS DEEP RIFT; LIQUID EQUILIBRIA; MAGMA CHAMBERS; UPPER-MANTLE; MELT; MODEL; FLOW; DIFFERENTIATION</t>
  </si>
  <si>
    <t>Three-quarters of the oceanic crust formed at fast-spreading ridges is composed of plutonic rocks whose mineral assemblages, textures and compositions record the history of melt transport and crystallization between the mantle and the sea floor. Despite the importance of these rocks, sampling them in situ is extremely challenging owing to the overlying dykes and lavas. This means that models for understanding the formation of the lower crust are based largely on geophysical studies(1) and ancient analogues (ophiolites)(2-5) that did not form at typical mid-ocean ridges. Here we describe cored intervals of primitive, modally layered gabbroic rocks from the lower plutonic crust formed at a fast-spreading ridge, sampled by the Integrated Ocean Drilling Program at the Hess Deep rift. Centimetre-scale, modally layered rocks, some of which have a strong layering-parallel foliation, confirm a long-held belief that such rocks are a key constituent of the lower oceanic crust formed at fast-spreading ridges(3,6). Geochemical analysis of these primitive lower plutonic rocks-in combination with previous geochemical data for shallow-level plutonic rocks, sheeted dykes and lavas-provides the most completely constrained estimate of the bulk composition of fast-spreading oceanic crust so far. Simple crystallization models using this bulk crustal composition as the parental melt accurately predict the bulk composition of both the lavas and the plutonic rocks. However, the recovered plutonic rocks show early crystallization of orthopyroxene, which is not predicted by current models of melt extraction from the mantle(7) and mid-ocean-ridge basalt differentiation(8,9). The simplest explanation of this observation is that compositionally diverse melts are extracted from the mantle and partly crystallize before mixing to produce the more homogeneous magmas that erupt.</t>
  </si>
  <si>
    <t>[Gillis, Kathryn M.; Faak, Kathrin] Univ Victoria, Sch Earth &amp; Ocean Sci, Victoria, BC V8W 2Y2, Canada; [Snow, Jonathan E.] Univ Houston, Houston, TX 77204 USA; [Klaus, Adam] Texas A&amp;M Univ, Integrated Ocean Drilling Program, US Implementing Org, College Stn, TX 77845 USA; [Abe, Natsue] Japan Agcy Marine Earth Sci &amp; Technol, Inst Res Earth Evolut, Yokosuka, Kanagawa 2370061, Japan; [Adriao, Alden B.] Univ Fed Rio Grande do Sul, Inst Geosci, BR-91501970 Porto Alegre, RS, Brazil; [Akizawa, Norikatsu; Machi, Sumiaki] Kanazawa Univ, Dept Earth Sci, Kanazawa, Ishikawa 9201192, Japan; [Ceuleneer, Georges] Univ Toulouse 3, CNRS, UMS 831, Observ Midipyrenees, F-31400 Toulouse, France; [Cheadle, Michael J.; John, Barbara E.] Univ Wyoming, Dept 3006, Dept Geol &amp; Geophys, Laramie, WY 82071 USA; [Faak, Kathrin] Ruhr Univ Bochum, Inst Geol Mineral &amp; Geophys, D-44780 Bochum, Germany; [Falloon, Trevor J.] Univ Tasmania, Inst Marine &amp; Antarctic Studies, Hobart, Tas, Australia; [Falloon, Trevor J.] Univ Tasmania, Sch Earth Sci, Hobart, Tas, Australia; [Friedman, Sarah A.] So Illinois Univ, Dept Geol, Carbondale, IL 62901 USA; [Godard, Marguerite; Ildefonse, Benoit] Univ Montpellier 2, CNRS UMR5243, Geosci Montpellier, CC 60, F-34095 Montpellier 5, France; [Guerin, Gilles] Columbia Univ, Lamont Doherty Earth Observ, Borehole Res Grp, Palisades, NY USA; [Harigane, Yumiko] Geol Survey Japan, Natl Inst Adv Ind Sci &amp; Technol, Inst Geol &amp; Geoinformat, Tsukuba, Ibaraki 3058567, Japan; [Horst, Andrew J.] Oberlin Coll, Dept Geol, Oberlin, OH 44074 USA; [Hoshide, Takashi] Tohoku Univ, Grad Sch Sci, Aoba Ku, Sendai, Miyagi 9808578, Japan; [Jean, Marlon M.] No Illinois Univ, Dept Geol &amp; Environm, De Kalb, IL 60115 USA; [Koepke, Juergen] Leibniz Univ Hannover, Inst Mineral, D-30167 Hannover, Germany; [Maeda, Jinichiro; Python, Marie] Hokkaido Univ, Dept Nat Hist Sci, Kita Ku, Sapporo, Hokkaido 0600810, Japan; [Marks, Naomi E.] Lawrence Livermore Natl Lab, Chem &amp; Mat Sci Dept, Livermore, CA 94551 USA; [McCaig, Andrew M.] Univ Leeds, Sch Earth &amp; Environm, Leeds LS2 9JT, W Yorkshire, England; [Meyer, Romain] Univ Bergen, Ctr Geobiol, N-5007 Bergen, Norway; [Meyer, Romain] Univ Bergen, Dept Earth Sci, N-5007 Bergen, Norway; [Morris, Antony] Univ Plymouth, Sch Geog Earth &amp; Environm Sci, Plymouth PL4 8AA, Devon, England; [Nozaka, Toshio] Okayama Univ, Dept Earth Sci, Okayama 7008530, Japan; [Saha, Abhishek] Univ Calcutta, Dept Geol, Kolkata 700019, India; [Wintsch, Robert P.] Indiana Univ, Dept Geol Sci, Bloomington, IN 47405 USA</t>
  </si>
  <si>
    <t>University of Victoria; University of Houston System; University of Houston; Texas A&amp;M University System; Texas A&amp;M University College Station; Japan Agency for Marine-Earth Science &amp; Technology (JAMSTEC); Universidade Federal do Rio Grande do Sul; Kanazawa University; Centre National de la Recherche Scientifique (CNRS); Universite de Toulouse; Universite Toulouse III - Paul Sabatier; University of Wyoming; Ruhr University Bochum; University of Tasmania; University of Tasmania; Southern Illinois University System; Southern Illinois University; Universite de Montpellier; Columbia University; National Institute of Advanced Industrial Science &amp; Technology (AIST); University System of Ohio; Oberlin College; Tohoku University; Northern Illinois University; Leibniz University Hannover; Hokkaido University; United States Department of Energy (DOE); Lawrence Livermore National Laboratory; University of Leeds; University of Bergen; University of Bergen; University of Plymouth; Okayama University; University of Calcutta; Indiana University System; Indiana University Bloomington</t>
  </si>
  <si>
    <t>Gillis, KM (corresponding author), Univ Victoria, Sch Earth &amp; Ocean Sci, POB 1700 Stn CSC, Victoria, BC V8W 2Y2, Canada.</t>
  </si>
  <si>
    <t>kgillis@uvic.ca</t>
  </si>
  <si>
    <t>Snow, Jonathan/E-5591-2011; ildefonse, benoit/A-6205-2009; Jean, Marlon/HGV-1474-2022; Abe, Natsue/AAP-7388-2021; Guérin, Gilles/AAK-7882-2021; Godard, Marguerite/A-7127-2008; NOZAKA, Toshio/B-2096-2011; Falloon, Trevor John/J-2381-2019; Harigane, Yumiko/L-4382-2018; McCaig, Andrew/C-1066-2014</t>
  </si>
  <si>
    <t>ildefonse, benoit/0000-0001-7635-9288; Abe, Natsue/0000-0002-2734-0035; Godard, Marguerite/0000-0003-3097-5135; Morris, Antony/0000-0003-2862-7377; Harigane, Yumiko/0000-0002-8133-0700; McCaig, Andrew/0000-0001-7416-4911; Akizawa, Norikatsu/0000-0003-4210-1160; HOSHIDE, TAKASHI/0000-0002-2474-6718; Falloon, Trevor/0000-0001-6528-9739</t>
  </si>
  <si>
    <t>Natural Environment Research Council [NE/C509023/1, NE/K011057/1, NE/K011030/1] Funding Source: researchfish; NERC [NE/C509023/1, NE/K011030/1, NE/K011057/1] Funding Source: UKRI; Grants-in-Aid for Scientific Research [11J04217, 25400515] Funding Source: KAKEN</t>
  </si>
  <si>
    <t>Natural Environment Research Council(UK Research &amp; Innovation (UKRI)Natural Environment Research Council (NERC)); NERC(UK Research &amp; Innovation (UKRI)Natural Environment Research Council (NERC)); Grants-in-Aid for Scientific Research(Ministry of Education, Culture, Sports, Science and Technology, Japan (MEXT)Japan Society for the Promotion of ScienceGrants-in-Aid for Scientific Research (KAKENHI))</t>
  </si>
  <si>
    <t>10.1038/nature12778</t>
  </si>
  <si>
    <t>WOS:000329441500036</t>
  </si>
  <si>
    <t>Hedd, A; Montevecchi, WA; Phillips, RA; Fifield, DA</t>
  </si>
  <si>
    <t>Hedd, April; Montevecchi, William A.; Phillips, Richard A.; Fifield, David A.</t>
  </si>
  <si>
    <t>Seasonal Sexual Segregation by Monomorphic Sooty Shearwaters Puffinus griseus Reflects Different Reproductive Roles during the Pre-Laying Period</t>
  </si>
  <si>
    <t>TRANS-EQUATORIAL MIGRATION; PELAGIC SEABIRD; CORYS SHEARWATERS; FORAGING STRATEGIES; ROUND DISTRIBUTION; ACTIVITY PATTERNS; HABITAT USE; BEHAVIOR; ALBATROSSES; OCEAN</t>
  </si>
  <si>
    <t>Tracking technology has revolutionized knowledge of seabird movements; yet, few studies have examined sex differences in distribution and behavior of small to medium-sized, sexually-monomorphic seabirds. Application of bird-borne geolocation-immersion loggers revealed seasonal segregation in the sexually-monomorphic Sooty Shearwater Puffinus griseus, mainly in the pre-laying period, when there were clear differences in reproductive roles. Shearwaters first returned to the Falkland Islands on 27 Sept +/- 8 d; males, on average, 8 d earlier than females. Prior to egg-laying, distribution at sea, colony attendance and behaviour depended on sex. Males foraged locally over the southern Patagonian Shelf and Burdwood Bank, spending mainly single days at sea and intervening nights in the burrow. Females, who flew for more of the day during this time, foraged in more distant areas of the northern Patagonian Shelf and Argentine Basin that were deeper, warmer and relatively more productive. Attendance of females at the colony was also more variable than that of males and, overall, males were present for significantly more of the pre-laying period (38 vs. 19% of time). Sex differences were reduced following egg-laying, with males and females using similar foraging areas and making trips of similar mean duration in incubation (7.6 +/- 2.7 d) and chick-rearing (1.4 +/- 1.3 d). Congruence continued into the non-breeding period, with both sexes showing similar patterns of activity and areas of occupancy in the NW Atlantic. Thus, seasonal changes in reproductive roles influenced patterns of sexual segregation; this occurred only early in the season, when male Sooty Shearwaters foraged locally, returning regularly to the colony to defend (or maintain) the burrow or the mate, while females concentrated on building resources for egg development in distant and relatively more productive waters.</t>
  </si>
  <si>
    <t>[Hedd, April; Montevecchi, William A.; Fifield, David A.] Mem Univ Newfoundland, Dept Psychol, Cognit &amp; Behav Ecol Program, St John, NF, Canada; [Phillips, Richard A.] British Antarctic Survey, NERC, Cambridge CB3 0ET, England</t>
  </si>
  <si>
    <t>Memorial University Newfoundland; UK Research &amp; Innovation (UKRI); Natural Environment Research Council (NERC); NERC British Antarctic Survey</t>
  </si>
  <si>
    <t>Hedd, A (corresponding author), Mem Univ Newfoundland, Dept Psychol, Cognit &amp; Behav Ecol Program, St John, NF, Canada.</t>
  </si>
  <si>
    <t>ahedd@mun.ca</t>
  </si>
  <si>
    <t>Hedd, April/0000-0003-2222-2627</t>
  </si>
  <si>
    <t>NSERC Discovery Grant; Government of Canada's Program for International Polar Year; NERC [bas0100025] Funding Source: UKRI; Natural Environment Research Council [bas0100025] Funding Source: researchfish</t>
  </si>
  <si>
    <t>NSERC Discovery Grant(Natural Sciences and Engineering Research Council of Canada (NSERC)); Government of Canada's Program for International Polar Year; NERC(UK Research &amp; Innovation (UKRI)Natural Environment Research Council (NERC)); Natural Environment Research Council(UK Research &amp; Innovation (UKRI)Natural Environment Research Council (NERC))</t>
  </si>
  <si>
    <t>This project was supported by an NSERC Discovery Grant and the Government of Canada's Program for International Polar Year to WAM. The funders had no role in study design, data collection and analysis, decision to publish, or preparation of the manuscript.</t>
  </si>
  <si>
    <t>e85572</t>
  </si>
  <si>
    <t>10.1371/journal.pone.0085572</t>
  </si>
  <si>
    <t>291XP</t>
  </si>
  <si>
    <t>Green Published, Green Submitted, Green Accepted, gold</t>
  </si>
  <si>
    <t>WOS:000329866300090</t>
  </si>
  <si>
    <t>Sarker, S; Patterson, EI; Peters, A; Baker, GB; Forwood, JK; Ghorashi, SA; Holdsworth, M; Baker, R; Murray, N; Raidal, SR</t>
  </si>
  <si>
    <t>Sarker, Subir; Patterson, Edward I.; Peters, Andrew; Baker, G. Barry; Forwood, Jade K.; Ghorashi, Seyed A.; Holdsworth, Mark; Baker, Rupert; Murray, Neil; Raidal, Shane R.</t>
  </si>
  <si>
    <t>Mutability Dynamics of an Emergent Single Stranded DNA Virus in a Naive Host</t>
  </si>
  <si>
    <t>FEATHER-DISEASE-VIRUS; POLYMERASE-CHAIN-REACTION; PSITTACINE BEAK; PHYLOGENETIC EVIDENCE; MOLECULAR EVOLUTION; POSITIVE SELECTION; GENETIC DIVERSITY; VIRAL EVOLUTION; HIGH-RATES; RECOMBINATION</t>
  </si>
  <si>
    <t>Quasispecies variants and recombination were studied longitudinally in an emergent outbreak of beak and feather disease virus (BFDV) infection in the orange-bellied parrot (Neophema chrysogaster). Detailed health monitoring and the small population size (&lt;300 individuals) of this critically endangered bird provided an opportunity to longitudinally track viral replication and mutation events occurring in a circular, single-stranded DNA virus over a period of four years within a novel bottleneck population. Optimized PCR was used with different combinations of primers, primer walking, direct amplicon sequencing and sequencing of cloned amplicons to analyze BFDV genome variants. Analysis of complete viral genomes (n = 16) and Rep gene sequences (n = 35) revealed that the outbreak was associated with mutations in functionally important regions of the normally conserved Rep gene and immunogenic capsid (Cap) gene with a high evolutionary rate (3.41610 23 subs/site/year) approaching that for RNA viruses; simultaneously we observed significant evidence of recombination hotspots between two distinct progenitor genotypes within orange-bellied parrots indicating early cross-transmission of BFDV in the population. Multiple quasispecies variants were also demonstrated with at least 13 genotypic variants identified in four different individual birds, with one containing up to seven genetic variants. Preferential PCR amplification of variants was also detected. Our findings suggest that the high degree of genetic variation within the BFDV species as a whole is reflected in evolutionary dynamics within individually infected birds as quasispecies variation, particularly when BFDV jumps from one host species to another.</t>
  </si>
  <si>
    <t>[Sarker, Subir; Patterson, Edward I.; Peters, Andrew; Ghorashi, Seyed A.; Raidal, Shane R.] Charles Sturt Univ, Sch Anim &amp; Vet Sci, Wagga Wagga, NSW, Australia; [Forwood, Jade K.] Charles Sturt Univ, Sch Biomed Sci, Wagga Wagga, NSW, Australia; [Sarker, Subir; Patterson, Edward I.; Peters, Andrew; Forwood, Jade K.; Ghorashi, Seyed A.; Raidal, Shane R.] NSW Dept Primary Ind, Graham Ctr Agr Innovat, Wagga Wagga, NSW, Australia; [Sarker, Subir; Patterson, Edward I.; Peters, Andrew; Forwood, Jade K.; Ghorashi, Seyed A.; Raidal, Shane R.] Charles Sturt Univ, Wagga Wagga, NSW, Australia; [Baker, G. Barry] Univ Tasmania, Inst Marine &amp; Antarctic Studies, Hobart, Tas, Australia; [Holdsworth, Mark] Dept Primary Ind Pk Water &amp; Environm, Biodivers Conservat Branch, Hobart, Tas, Australia; [Murray, Neil] La Trobe Univ, Dept Genet, Bundoora, Vic, Australia</t>
  </si>
  <si>
    <t>Charles Sturt University; Charles Sturt University; NSW Department of Primary Industries; Charles Sturt University; University of Tasmania; La Trobe University</t>
  </si>
  <si>
    <t>Raidal, SR (corresponding author), Charles Sturt Univ, Sch Anim &amp; Vet Sci, Wagga Wagga, NSW, Australia.</t>
  </si>
  <si>
    <t>Sarker, Subir/U-8444-2019; Forwood, Jade K/K-4123-2014; Ghorashi, Seyed/C-1529-2016; Raidal, Shane/C-4632-2008</t>
  </si>
  <si>
    <t>Sarker, Subir/0000-0002-2685-8377; Ghorashi, Seyed/0000-0002-9820-5308; Raidal, Shane/0000-0001-7917-8976; Peters, Andrew/0000-0003-4938-2823; Baker, G. Barry/0000-0003-4766-8182; Forwood, Jade/0000-0003-3267-9997; Patterson, Edward/0000-0003-3465-0848</t>
  </si>
  <si>
    <t>Australian Research Council [DP1095408]; Australian Research Council [DP1095408] Funding Source: Australian Research Council</t>
  </si>
  <si>
    <t>Australian Research Council(Australian Research Council); Australian Research Council(Australian Research Council)</t>
  </si>
  <si>
    <t>This research was supported by Australian Research Council's Discovery Projects funding scheme (grant number DP1095408). The funders had no role in study design, data collection and analysis, decision to publish, or preparation of the manuscript.</t>
  </si>
  <si>
    <t>JAN 8</t>
  </si>
  <si>
    <t>e85370</t>
  </si>
  <si>
    <t>10.1371/journal.pone.0085370</t>
  </si>
  <si>
    <t>291WL</t>
  </si>
  <si>
    <t>Green Published, Green Submitted, gold, Green Accepted</t>
  </si>
  <si>
    <t>WOS:000329862500242</t>
  </si>
  <si>
    <t>Fretwell, PT; Trathan, PN; Wienecke, B; Kooyman, GL</t>
  </si>
  <si>
    <t>Fretwell, Peter T.; Trathan, Phil N.; Wienecke, Barbara; Kooyman, Gerald L.</t>
  </si>
  <si>
    <t>Emperor Penguins Breeding on Iceshelves</t>
  </si>
  <si>
    <t>ANTARCTIC PENINSULA; SOUTHERN-OCEAN; CLIMATE-CHANGE; VARIABILITY; RESPONSES</t>
  </si>
  <si>
    <t>We describe a new breeding behaviour discovered in emperor penguins; utilizing satellite and aerial-survey observations four emperor penguin breeding colonies have been recorded as existing on ice-shelves. Emperors have previously been considered as a sea-ice obligate species, with 44 of the 46 colonies located on sea-ice (the other two small colonies are on land). Of the colonies found on ice-shelves, two are newly discovered, and these have been recorded on shelves every season that they have been observed, the other two have been recorded both on ice-shelves and sea-ice in different breeding seasons. We conduct two analyses; the first using synthetic aperture radar data to assess why the largest of the four colonies, for which we have most data, locates sometimes on the shelf and sometimes on the sea-ice, and find that in years where the sea-ice forms late, the colony relocates onto the ice-shelf. The second analysis uses a number of environmental variables to test the habitat marginality of all emperor penguin breeding sites. We find that three of the four colonies reported in this study are in the most northerly, warmest conditions where sea-ice is often sub-optimal. The emperor penguin's reliance on sea-ice as a breeding platform coupled with recent concerns over changed sea-ice patterns consequent on regional warming, has led to their designation as near threatened'' in the IUCN red list. Current climate models predict that future loss of sea-ice around the Antarctic coastline will negatively impact emperor numbers; recent estimates suggest a halving of the population by 2052. The discovery of this new breeding behaviour at marginal sites could mitigate some of the consequences of sea-ice loss; potential benefits and whether these are permanent or temporary need to be considered and understood before further attempts are made to predict the population trajectory of this iconic species.</t>
  </si>
  <si>
    <t>[Fretwell, Peter T.; Trathan, Phil N.] British Antarctic Survey, Cambridge CB3 0ET, England; [Wienecke, Barbara] Australian Antarctic Div, Hobart, Tas, Australia; [Kooyman, Gerald L.] Univ Calif San Diego, Scripps Inst Oceanog, La Jolla, CA 92093 USA</t>
  </si>
  <si>
    <t>UK Research &amp; Innovation (UKRI); Natural Environment Research Council (NERC); NERC British Antarctic Survey; Australian Antarctic Division; University of California System; University of California San Diego; Scripps Institution of Oceanography</t>
  </si>
  <si>
    <t>Fretwell, PT (corresponding author), British Antarctic Survey, Cambridge CB3 0ET, England.</t>
  </si>
  <si>
    <t>, gerald/0000-0002-8872-2950; Staniland, Iain/0000-0003-2736-9134</t>
  </si>
  <si>
    <t>BAS-NERC ecosystems programme; Natural Environment Research Council [bas0100025, bas010011] Funding Source: researchfish; Office of Polar Programs (OPP); Directorate For Geosciences [1043454] Funding Source: National Science Foundation; NERC [bas0100025, bas010011] Funding Source: UKRI</t>
  </si>
  <si>
    <t>BAS-NERC ecosystems programme; Natural Environment Research Council(UK Research &amp; Innovation (UKRI)Natural Environment Research Council (NERC)); Office of Polar Programs (OPP); Directorate For Geosciences(National Science Foundation (NSF)NSF - Directorate for Geosciences (GEO)); NERC(UK Research &amp; Innovation (UKRI)Natural Environment Research Council (NERC))</t>
  </si>
  <si>
    <t>Funding for this study came internally from BAS-NERC ecosystems programme. The funders had no role in study design, data collection and analysis, decision to publish, or preparation of the manuscript. No current external funding sources for this study.</t>
  </si>
  <si>
    <t>e85285</t>
  </si>
  <si>
    <t>10.1371/journal.pone.0085285</t>
  </si>
  <si>
    <t>Green Accepted, Green Published, gold</t>
  </si>
  <si>
    <t>WOS:000329862500234</t>
  </si>
  <si>
    <t>Selig, ER; Turner, WR; Troëng, S; Wallace, BP; Halpern, BS; Kaschner, K; Lascelles, BG; Carpenter, KE; Mittermeier, RA</t>
  </si>
  <si>
    <t>Selig, Elizabeth R.; Turner, Will R.; Troeng, Sebastian; Wallace, Bryan P.; Halpern, Benjamin S.; Kaschner, Kristin; Lascelles, Ben G.; Carpenter, Kent E.; Mittermeier, Russell A.</t>
  </si>
  <si>
    <t>Global Priorities for Marine Biodiversity Conservation</t>
  </si>
  <si>
    <t>SPECIES RICHNESS; HUMAN IMPACT; HOTSPOTS; AREAS; OCEAN; RESILIENCE; DIVERSITY; SEAMOUNTS; PATTERNS; DECLINE</t>
  </si>
  <si>
    <t>In recent decades, many marine populations have experienced major declines in abundance, but we still know little about where management interventions may help protect the highest levels of marine biodiversity. We used modeled spatial distribution data for nearly 12,500 species to quantify global patterns of species richness and two measures of endemism. By combining these data with spatial information on cumulative human impacts, we identified priority areas where marine biodiversity is most and least impacted by human activities, both within Exclusive Economic Zones (EEZs) and Areas Beyond National Jurisdiction (ABNJ). Our analyses highlighted places that are both accepted priorities for marine conservation like the Coral Triangle, as well as less well-known locations in the southwest Indian Ocean, western Pacific Ocean, Arctic and Antarctic Oceans, and within semi-enclosed seas like the Mediterranean and Baltic Seas. Within highly impacted priority areas, climate and fishing were the biggest stressors. Although new priorities may arise as we continue to improve marine species range datasets, results from this work are an essential first step in guiding limited resources to regions where investment could best sustain marine biodiversity.</t>
  </si>
  <si>
    <t>[Selig, Elizabeth R.; Turner, Will R.; Troeng, Sebastian] Conservat Int, Betty &amp; Gordon Moore Ctr Sci &amp; Oceans, Arlington, VA USA; [Troeng, Sebastian] Lund Univ, Dept Biol, Lund, Sweden; [Wallace, Bryan P.] Ocean Soc, Ross, CA USA; [Wallace, Bryan P.] Duke Univ, Marine Lab, Nicholas Sch Environm, Beaufort, NC 28516 USA; [Halpern, Benjamin S.] Natl Ctr Ecol Anal &amp; Synth, Santa Barbara, CA USA; [Halpern, Benjamin S.] Univ Calif Santa Barbara, Bren Sch Environm Sci &amp; Management, Santa Barbara, CA 93106 USA; [Halpern, Benjamin S.] Univ London Imperial Coll Sci Technol &amp; Med, Ascot, Berks, England; [Kaschner, Kristin] Univ Freiburg, Dept Biometry &amp; Environm Syst Anal, D-79106 Freiburg, Germany; [Kaschner, Kristin] Ctr Synth &amp; Anal Biodiversite CESAB, Aix En Provence, France; [Lascelles, Ben G.] Birdlife Int, Global Seabird Programme, Cambridge, England; [Carpenter, Kent E.] Old Dominion Univ, Dept Biol Sci, Norfolk, VA 23529 USA; [Carpenter, Kent E.] Int Union Conservat Nat, Global Species Programme, Gland, Switzerland; [Mittermeier, Russell A.] Conservat Int, Arlington, VA USA</t>
  </si>
  <si>
    <t>Conservation International; Lund University; Duke University; National Center for Ecological Analysis &amp; Synthesis; University of California System; University of California Santa Barbara; Imperial College London; University of Freiburg; BirdLife International; Old Dominion University; Conservation International</t>
  </si>
  <si>
    <t>Selig, ER (corresponding author), Conservat Int, Betty &amp; Gordon Moore Ctr Sci &amp; Oceans, Arlington, VA USA.</t>
  </si>
  <si>
    <t>eselig@conservation.org</t>
  </si>
  <si>
    <t>Kaschner, Kristin/GQQ-6475-2022</t>
  </si>
  <si>
    <t>Kaschner, Kristin/0000-0002-4061-626X</t>
  </si>
  <si>
    <t>Gordon and Betty Moore Foundation; Cinco Hermanos; Packard Foundation; New Hampshire Charitable Foundation; Thomas W. Haas Foundation; Fondation pour la Recherche en Biodiversite; Fondation Total</t>
  </si>
  <si>
    <t>Gordon and Betty Moore Foundation(Gordon and Betty Moore Foundation); Cinco Hermanos; Packard Foundation(The David &amp; Lucile Packard Foundation); New Hampshire Charitable Foundation; Thomas W. Haas Foundation; Fondation pour la Recherche en Biodiversite(Fondation pour la Recherche Medicale); Fondation Total</t>
  </si>
  <si>
    <t>Funding for this work was provided by the Gordon and Betty Moore Foundation, Cinco Hermanos, a grant from the Packard Foundation to the National Center for Ecological Analysis and Synthesis and support to the IUCN-GMSA from the New Hampshire Charitable Foundation and the Thomas W. Haas Foundation. K.K.'s work was conducted in part while working on the PELAGIC project co-financed by the Fondation pour la Recherche en Biodiversite and Fondation Total. The funders had no role in study design, data collection and analysis, decision to publish, or preparation of the manuscript.</t>
  </si>
  <si>
    <t>e82898</t>
  </si>
  <si>
    <t>10.1371/journal.pone.0082898</t>
  </si>
  <si>
    <t>WOS:000329862500023</t>
  </si>
  <si>
    <t>Kyrke-Smith, TM; Katz, RF; Fowler, AC</t>
  </si>
  <si>
    <t>Kyrke-Smith, T. M.; Katz, R. F.; Fowler, A. C.</t>
  </si>
  <si>
    <t>Subglacial hydrology and the formation of ice streams</t>
  </si>
  <si>
    <t>PROCEEDINGS OF THE ROYAL SOCIETY A-MATHEMATICAL PHYSICAL AND ENGINEERING SCIENCES</t>
  </si>
  <si>
    <t>ice sheets; ice streams; subglacial hydrology; hydraulic runaway</t>
  </si>
  <si>
    <t>GLACIER SURGE MECHANISM; TILL DEFORMATION; BASAL MECHANICS; WATER-PRESSURE; FLOW; BENEATH; SHEAR; DYNAMICS; SYSTEM; DRAINAGE</t>
  </si>
  <si>
    <t>Antarctic ice streams are associated with pressurized subglacial meltwater but the role this water plays in the dynamics of the streams is not known. To address this, we present a model of subglacial water flow below ice sheets, and particularly below ice streams. The base-level flow is fed by subglacial melting and is presumed to take the form of a rough-bedded film, in which the ice is supported by larger clasts, but there is a millimetric water film which submerges the smaller particles. A model for the film is given by two coupled partial differential equations, representing mass conservation of water and ice closure. We assume that there is no sediment transport and solve for water film depth and effective pressure. This is coupled to a vertically integrated, higher order model for ice-sheet dynamics. If there is a sufficiently small amount of meltwater produced (e.g. if ice flux is low), the distributed film and ice sheet are stable, whereas for larger amounts of melt the ice-water system can become unstable, and ice streams form spontaneously as a consequence. We show that this can be explained in terms of a multi-valued sliding law, which arises from a simplified, one-dimensional analysis of the coupled model.</t>
  </si>
  <si>
    <t>[Kyrke-Smith, T. M.; Katz, R. F.] Univ Oxford, Dept Earth Sci, Oxford OX1 3PR, England; [Fowler, A. C.] Univ Oxford, OCIAM, Oxford OX1 3PR, England; [Fowler, A. C.] Univ Limerick, MACSI, Limerick, Ireland</t>
  </si>
  <si>
    <t>University of Oxford; University of Oxford; University of Limerick</t>
  </si>
  <si>
    <t>Kyrke-Smith, TM (corresponding author), Univ Oxford, Dept Earth Sci, Oxford OX1 3PR, England.</t>
  </si>
  <si>
    <t>teresa.kyrke-smith@earth.ox.ac.uk</t>
  </si>
  <si>
    <t>Fowler, Andrew/I-5868-2014; Katz, Richard F/D-3364-2009</t>
  </si>
  <si>
    <t>Katz, Richard F/0000-0001-8746-5430</t>
  </si>
  <si>
    <t>Natural Environment Research Council [NE/I528485/1]; Leverhulme Trust; Mathematics Applications Consortium for Science and Industry; Science Foundation Ireland [12/1A/1683]; NERC [NE/I528485/1] Funding Source: UKRI</t>
  </si>
  <si>
    <t>Natural Environment Research Council(UK Research &amp; Innovation (UKRI)Natural Environment Research Council (NERC)); Leverhulme Trust(Leverhulme Trust); Mathematics Applications Consortium for Science and Industry; Science Foundation Ireland(Science Foundation Ireland); NERC(UK Research &amp; Innovation (UKRI)Natural Environment Research Council (NERC))</t>
  </si>
  <si>
    <t>We thank Ian Hewitt for useful feedback on the first draft of this paper, and the reviewers for constructive comments on the paper. We also thank the Oxford Supercomputing Centre for cluster-time. Funding statement. This work was supported by the Natural Environment Research Council (NE/I528485/1). R.F.K. is grateful to the Leverhulme Trust for its support. A.C.F. acknowledges the support of the Mathematics Applications Consortium for Science and Industry (www.macsi.ul.ie) funded by the Science Foundation Ireland grant no. 12/1A/1683.</t>
  </si>
  <si>
    <t>1364-5021</t>
  </si>
  <si>
    <t>1471-2946</t>
  </si>
  <si>
    <t>P ROY SOC A-MATH PHY</t>
  </si>
  <si>
    <t>Proc. R. Soc. A-Math. Phys. Eng. Sci.</t>
  </si>
  <si>
    <t>10.1098/rspa.2013.0494</t>
  </si>
  <si>
    <t>AC3CO</t>
  </si>
  <si>
    <t>WOS:000332392800008</t>
  </si>
  <si>
    <t>Sewell, MA; Millar, RB; Yu, PC; Kapsenberg, L; Hofmann, GE</t>
  </si>
  <si>
    <t>Sewell, Mary A.; Millar, Russell B.; Yu, Pauline C.; Kapsenberg, Lydia; Hofmann, Gretchen E.</t>
  </si>
  <si>
    <t>Ocean Acidification and Fertilization in the Antarctic Sea Urchin Sterechinus neumayeri: the Importance of Polyspermy</t>
  </si>
  <si>
    <t>REDUCED SEAWATER PH; LIFE-HISTORY STAGES; EGG SIZE; MARINE-INVERTEBRATES; SPECIES RESPONSES; SPERM LIMITATION; SOUTHERN-OCEAN; CLIMATE-CHANGE; CARBONIC-ACID; MG-CALCITE</t>
  </si>
  <si>
    <t>Ocean acidification (OA), the reduction of the seawater pH as a result of increasing levels of atmospheric CO2, is an important climate change stressor in the Southern Ocean and Antarctic. We examined the impact of OA on fertilization success in the Antarctic sea urchin Sterechinus neumayeri using pH treatment conditions reflective of the current and near-future pH seascape for this species: current (control: pH 8.052, 384.1 mu atm of p(CO2)), a high CO2 treatment approximating the 0.2-0.3 unit decrease in pH predicted for 2100 (high CO2: pH 7.830, 666.0 mu atm of p(CO2)), and an intermediate medium CO2 (pH 7.967, 473.4 mu atm of p(CO2)). Using a fertilization kinetics approach and mixed-effect models, we observed significant variation in the OA response between individual male/female pairs (N = 7) and a significant population-level increase (70-100%) in t(b) (time for a complete block to polyspermy) at medium and high CO2, a mechanism that potentially explains the higher levels of abnormal development seen in OA conditions. However, two pairs showed higher fertilization success with CO2 treatment and a nonsignificant effect. Future studies should focus on the mechanisms and levels of interindividual variability in OA response, so that we can consider the potential for selection and adaptation of organisms to a future ocean.</t>
  </si>
  <si>
    <t>[Sewell, Mary A.] Univ Auckland, Sch Biol Sci, Auckland 1142, New Zealand; [Millar, Russell B.] Univ Auckland, Dept Stat, Auckland 1142, New Zealand; [Yu, Pauline C.; Kapsenberg, Lydia; Hofmann, Gretchen E.] Univ Calif Santa Barbara, Dept Ecol Evolut &amp; Marine Biol, Santa Barbara, CA 93106 USA</t>
  </si>
  <si>
    <t>University of Auckland; University of Auckland; University of California System; University of California Santa Barbara</t>
  </si>
  <si>
    <t>Sewell, MA (corresponding author), Univ Auckland, Sch Biol Sci, Private Bag 92019, Auckland 1142, New Zealand.</t>
  </si>
  <si>
    <t>m.sewell@auckland.ac.nz</t>
  </si>
  <si>
    <t>Sewell, Mary A/C-9017-2009; Liu, Yifan/S-6217-2017</t>
  </si>
  <si>
    <t>Sewell, Mary A/0000-0002-1595-7951; Kapsenberg, Lydia/0000-0002-7361-9061</t>
  </si>
  <si>
    <t>United States National Science Foundation [ANT-0944201, ANT-1019340]; United States National Science Foundation (GSRF); UCSB; Royal Society of New Zealand Marsden Fund; Directorate For Geosciences [0944201] Funding Source: National Science Foundation; Office of Polar Programs (OPP) [0944201] Funding Source: National Science Foundation</t>
  </si>
  <si>
    <t>United States National Science Foundation(National Science Foundation (NSF)); United States National Science Foundation (GSRF); UCSB; Royal Society of New Zealand Marsden Fund(Royal Society of New ZealandMarsden Fund (NZ)); Directorate For Geosciences(National Science Foundation (NSF)NSF - Directorate for Geosciences (GEO)); Office of Polar Programs (OPP)(National Science Foundation (NSF)NSF - Directorate for Geosciences (GEO))</t>
  </si>
  <si>
    <t>We thank R. Robbins and S. Rupp for urchin collections, personnel of Raytheon Polar Services for support during our field work, and our fellow Bravo 134 members in Antarctica (P. Matson, E. Rivest, and E. Hunter) and at UCSB (Dr. J. Dutton) for assistance with seawater chemistry. We thank J. Havenhand and two anonymous reviewers for comments that improved the manuscript. Funding was provided from the United States National Science Foundation (Grant ANT-0944201 to G.E.H., Grant ANT-1019340 to P.C.Y., and a GSRF to L.K.), from a UCSB Block Grant (L.K.), and from the Royal Society of New Zealand Marsden Fund (to M.A.S.).</t>
  </si>
  <si>
    <t>JAN 7</t>
  </si>
  <si>
    <t>10.1021/es402815s</t>
  </si>
  <si>
    <t>287NN</t>
  </si>
  <si>
    <t>WOS:000329548800091</t>
  </si>
  <si>
    <t>Barrell, DJA; Read, SAL</t>
  </si>
  <si>
    <t>Barrell, David J. A.; Read, Stuart A. L.</t>
  </si>
  <si>
    <t>The deglaciation of Lake Pukaki, South Island, New Zealand-a review</t>
  </si>
  <si>
    <t>NEW ZEALAND JOURNAL OF GEOLOGY AND GEOPHYSICS</t>
  </si>
  <si>
    <t>Last Glacial Maximum; stratigraphy; geomorphology; Mt John Formation; Tekapo Formation; Southern Alps; Waitaki River; Canterbury</t>
  </si>
  <si>
    <t>LAST GLACIAL MAXIMUM; ANTARCTIC COLD REVERSAL; NZ-INTIMATE PROJECT; ALPS; VALLEY; CALIBRATION; EVOLUTION; ADVANCE; TEKAPO</t>
  </si>
  <si>
    <t>The last major ice advance of the Pukaki Glacier and subsequent onset of retreat occurred at c. 18,000 cal yr BP, and c. 400 m of ice surface lowering occurred prior to 16,165 +/- 887 cal yr BP. Sediments and landforms near the lake outlet indicate initial formation of the lake somewhere between c. 510 and 520 m above sea level (asl), with initial lacustrine deposition of ice-proximal well-bedded Fancy Sands and localised coarse angular gravel accumulations likely derived from melting icebergs. Rapid ice retreat formed a large lake, at least c. 30 km long, at c. 510 m asl, with lacustrine deposition near the outlet of silty clay (Pukaki Pug) which contains as much as 40% diatoms. An age of 13,492 +/- 293 cal yr BP for a piece of wood from Pukaki Pug is a minimum for withdrawal of the Pukaki Glacier from the outlet area.</t>
  </si>
  <si>
    <t>[Barrell, David J. A.] GNS Sci, Dunedin, New Zealand; [Read, Stuart A. L.] GNS Sci, Lower Hutt, New Zealand</t>
  </si>
  <si>
    <t>GNS Science - New Zealand; GNS Science - New Zealand</t>
  </si>
  <si>
    <t>Barrell, DJA (corresponding author), GNS Sci, Dunedin, New Zealand.</t>
  </si>
  <si>
    <t>d.barrell@gns.cri.nz</t>
  </si>
  <si>
    <t>Ministry of Science and Innovation Contestable Research Fund programme 'MARGINS-source to sink'</t>
  </si>
  <si>
    <t>We thank George Denton and Aaron Putnam, along with two anonymous reviewers, for comments that allowed us to improve the manuscript substantially. Funding was provided by Ministry of Science and Innovation Contestable Research Fund programme 'MARGINS-source to sink'.</t>
  </si>
  <si>
    <t>4 PARK SQUARE, MILTON PARK, ABINGDON OX14 4RN, OXON, ENGLAND</t>
  </si>
  <si>
    <t>0028-8306</t>
  </si>
  <si>
    <t>1175-8791</t>
  </si>
  <si>
    <t>NEW ZEAL J GEOL GEOP</t>
  </si>
  <si>
    <t>N. Z. J. Geol. Geophys.</t>
  </si>
  <si>
    <t>JAN 2</t>
  </si>
  <si>
    <t>10.1080/00288306.2013.847469</t>
  </si>
  <si>
    <t>Geology; Geosciences, Multidisciplinary</t>
  </si>
  <si>
    <t>AB3KZ</t>
  </si>
  <si>
    <t>WOS:000331691000006</t>
  </si>
  <si>
    <t>Helidoniotis, F; Haddon, M</t>
  </si>
  <si>
    <t>Helidoniotis, F.; Haddon, M.</t>
  </si>
  <si>
    <t>The effectiveness of broad-scale legal minimum lengths for protecting spawning biomass of Haliotis rubra in Tasmania</t>
  </si>
  <si>
    <t>NEW ZEALAND JOURNAL OF MARINE AND FRESHWATER RESEARCH</t>
  </si>
  <si>
    <t>Haliotis rubra; legal minimum length; inverse logistic; spawning stock biomass; implementation uncertainty; Australia</t>
  </si>
  <si>
    <t>BLACKLIP ABALONE; AUSTRALIAN ABALONE; SIZE LIMITS; GROWTH; POPULATIONS; LEACH; MANAGEMENT; FISHERIES; MODELS</t>
  </si>
  <si>
    <t>A legal minimum length (LML) aims to protect spawning biomass but the implementation uncertainty associated with broad-scale LMLs is rarely assessed. LML estimates can require both growth and maturity data; however, growth data is often lacking and this can limit the estimation of an appropriate LML. To overcome the shortfall in growth data, a method is introduced for inferring growth parameters from size at maturity data. In this way, fine-scale theoretical LML estimates were obtained in the absence of empirical growth data. A total of 252 populations of blacklip abalone (Haliotis rubra) were examined and, of those, 46 were identified as having a relatively lower level of protection because they matured at larger sizes. These 46 populations are potentially at greater risk of over-fishing as a consequence of implementation uncertainty. Furthermore, the majority of the 46 populations were in an economically valuable region of the fishery. With extensive data on size at maturity, the relative risk to recruitment potential can be assessed and equalised across a fishery.</t>
  </si>
  <si>
    <t>[Helidoniotis, F.] Univ Tasmania, Inst Marine &amp; Antarctic Studies, Hobart, Tas, Australia; [Helidoniotis, F.; Haddon, M.] CSIRO Marine &amp; Atmospher Res, Hobart, Tas, Australia</t>
  </si>
  <si>
    <t>University of Tasmania; Commonwealth Scientific &amp; Industrial Research Organisation (CSIRO)</t>
  </si>
  <si>
    <t>Helidoniotis, F (corresponding author), Univ Tasmania, Inst Marine &amp; Antarctic Studies, Hobart, Tas, Australia.</t>
  </si>
  <si>
    <t>fay.helidoniotis@csiro.au</t>
  </si>
  <si>
    <t>Haddon, Malcolm/0000-0001-6971-7585</t>
  </si>
  <si>
    <t>0028-8330</t>
  </si>
  <si>
    <t>1175-8805</t>
  </si>
  <si>
    <t>NEW ZEAL J MAR FRESH</t>
  </si>
  <si>
    <t>N. Z. J. Mar. Freshw. Res.</t>
  </si>
  <si>
    <t>10.1080/00288330.2013.843574</t>
  </si>
  <si>
    <t>AB3KV</t>
  </si>
  <si>
    <t>WOS:000331690600007</t>
  </si>
  <si>
    <t>Fry, C; Green, B; Gardner, C</t>
  </si>
  <si>
    <t>Fry, C.; Green, B.; Gardner, C.</t>
  </si>
  <si>
    <t>Conversion of southern rock lobster ( Jasus edwardsii) carapace length to tail width for enforcement of size limits</t>
  </si>
  <si>
    <t>lobster; management; size; growth; Palinuridae</t>
  </si>
  <si>
    <t>The morphometric relationship of carapace length (CL) to tail width (TW) of southern rock lobster (Jasus edwardsii) was determined to assist enforcement of existing minimum size limits and also to enable the development of an upper size limit in Tasmania. Data were collected from southern rock lobsters in the wild and at processors and used to develop a system for measuring TW which reduces measurement error. Linear regression was used to define the relationship between CL and TW for males (TW = 0.4107x+14.058, R-2=.9236, n=1003) and females (TW=0.5756x+2.2884, R-2=.9323, n=503). Logistic regressions provide the TWs associated with the probability (0.5, 50 and 95%) of a lobster having a carapace equal to or more than the theoretical size limits. Regional differences in the morphometric relationship were evident but would not prevent the use of size limit based on TW if a conservative probability value were used.</t>
  </si>
  <si>
    <t>[Fry, C.; Green, B.; Gardner, C.] Univ Tasmania, Inst Marine &amp; Antarctic Studies, Hobart, Tas, Australia</t>
  </si>
  <si>
    <t>Fry, C (corresponding author), Univ Tasmania, Inst Marine &amp; Antarctic Studies, Hobart, Tas, Australia.</t>
  </si>
  <si>
    <t>fryc@utas.edu.au</t>
  </si>
  <si>
    <t>Green, Bridget S/G-3368-2014; Gardner, Caleb/I-7086-2013</t>
  </si>
  <si>
    <t>Gardner, Caleb/0000-0003-0324-4337</t>
  </si>
  <si>
    <t>Australian National Network in Marine Science (ANNiMS) scholarship</t>
  </si>
  <si>
    <t>This project was supported by an Australian National Network in Marine Science (ANNiMS) scholarship.</t>
  </si>
  <si>
    <t>10.1080/00288330.2013.835269</t>
  </si>
  <si>
    <t>WOS:000331690600012</t>
  </si>
  <si>
    <t>Leduc, D</t>
  </si>
  <si>
    <t>Leduc, D.</t>
  </si>
  <si>
    <t>Free-living nematodes of the genus Halomonhystera ( Monhysteridae) from the Southwest Pacific region and Ross Sea</t>
  </si>
  <si>
    <t>NEW ZEALAND JOURNAL OF ZOOLOGY</t>
  </si>
  <si>
    <t>Seamount; hydrothermal vent; New Zealand; Gigantidas gladius; Kermadec Arc; Ross Sea shelf; Halomonhystera disjuncta; identification key</t>
  </si>
  <si>
    <t>ANTARCTICA; DISJUNCTA; DIVERSITY</t>
  </si>
  <si>
    <t>Three Halomonhystera species are described from the Southwest Pacific region and Ross Sea. Halomonhystera tangaroa sp. nov. is described from the byssus threads of hydrothermal vent mussels (Gigantidas gladius) at the summit of Tangaroa Seamount on the southern Kermadec Arc, Southwest Pacific. Halomonhystera tangaroa sp. nov. is characterized by the presence of four relatively long cephalic setae (one-quarter to one-third of the labial diameter), deep and narrow buccal cavity, gubernaculum with dorsal apophyses, males with three pairs of subventral papillae near tail tip, and females with vulva situated at 85-86% of body length from anterior. Halomonhystera spp. A and B (from the New Zealand coast and Ross Sea shelf, respectively) are morphologically distinct from each other, but are both consistent with previous descriptions of Halomonhystera disjuncta (Bastian, 1865). Molecular studies have shown that H. disjuncta is in fact a species complex, and, because the original description of H. disjuncta provides only limited morphological data, and the subsequent re-description of the species encompasses a wide range of morphologies, it is not possible to determine to which lineage(s) these descriptions may be pertaining. Determining the identities of Halomonhystera spp. A and B will require comparisons of morphological and molecular characters with H. disjuncta specimens from the type locality.http://zoobank.org/urn:lsid:zoobank.org:pub:029E6773-5E37-4D69-A85E-D4FB663BC059</t>
  </si>
  <si>
    <t>Natl Inst Water &amp; Atmospher Res NIWA, Wellington, New Zealand</t>
  </si>
  <si>
    <t>National Institute of Water &amp; Atmospheric Research (NIWA) - New Zealand</t>
  </si>
  <si>
    <t>Leduc, D (corresponding author), Natl Inst Water &amp; Atmospher Res NIWA, Wellington, New Zealand.</t>
  </si>
  <si>
    <t>daniel.leduc@niwa.co.nz</t>
  </si>
  <si>
    <t>Leduc, Daniel/0000-0001-5310-9198</t>
  </si>
  <si>
    <t>Land Information New Zealand; Ministry of Fisheries; Department of Conservation; National Institute of Water and Atmospheric Research (NIWA); NIWA under the Coasts and Oceans Centre Research Programme 2 [2012/13 SCI]; FRST [UOOX0909]; New Zealand Ministry of Business, Innovation &amp; Employment (MBIE) [UOOX0909] Funding Source: New Zealand Ministry of Business, Innovation &amp; Employment (MBIE)</t>
  </si>
  <si>
    <t>Land Information New Zealand; Ministry of Fisheries; Department of Conservation; National Institute of Water and Atmospheric Research (NIWA); NIWA under the Coasts and Oceans Centre Research Programme 2; FRST(New Zealand Foundation for Research, Science and Technology); New Zealand Ministry of Business, Innovation &amp; Employment (MBIE)(New Zealand Ministry of Business, Innovation and Employment (MBIE))</t>
  </si>
  <si>
    <t>Sample data were generated under the IPY-CAML (International Polar Year and Census of Antarctic Marine Life) Ross Sea project for which I thank the funding agencies, Land Information New Zealand, Ministry of Fisheries, Department of Conservation and the National Institute of Water and Atmospheric Research (NIWA). This research was funded by NIWA under the Coasts and Oceans Centre Research Programme 2 (2012/13 SCI), and by FRST through a postdoctoral fellowship to D. Leduc (UOOX0909). I am grateful to David Bowden (NIWA) for providing valuable information about the Ross Sea samples, to Anna Wood (University of Otago) for the loan of specimens from the Portobello Marine Laboratory reference collection, and to two anonymous reviewers for providing constructive criticisms on the manuscript. I also thank the other participants of NIWA voyages TAN0802 and TAN1206 and the officers and crew of RV Tangaroa.</t>
  </si>
  <si>
    <t>0301-4223</t>
  </si>
  <si>
    <t>1175-8821</t>
  </si>
  <si>
    <t>NEW ZEAL J ZOOL</t>
  </si>
  <si>
    <t>N. Z. J. Zool.</t>
  </si>
  <si>
    <t>10.1080/03014223.2013.827581</t>
  </si>
  <si>
    <t>AE4CQ</t>
  </si>
  <si>
    <t>WOS:000333928300019</t>
  </si>
  <si>
    <t>Persak, E</t>
  </si>
  <si>
    <t>Persak, Erica</t>
  </si>
  <si>
    <t>A celebration of manuscripts in the Kerry Stokes Collection</t>
  </si>
  <si>
    <t>AUSTRALIAN LIBRARY JOURNAL</t>
  </si>
  <si>
    <t>exploration; Antarctic; Pacific; special collections; manuscripts</t>
  </si>
  <si>
    <t>The Kerry Stokes Collection, developed over more than 30 years, reflects his diverse interests, intellectual curiosity and personal passions and has resulted in acquisitions which include maps, rare books, manuscripts, documents, photographs, paintings and historic relics. The Collection also focuses on Australian works of art from the colonial period to contemporary art, and includes works by international artists. A major collecting focus is the theme of exploration, including the discovery of Australia and in particular Western Australia. Photographs and manuscripts associated with the celebrated British expeditions to Antarctica are also collected. Described are the manuscripts acquired by the Collection, and how they are stored, accessed and made available to scholars and academics for research. Examples of individual manuscripts and major manuscript collections are noted.</t>
  </si>
  <si>
    <t>Kerry Stokes Collect, Perth, WA, Australia</t>
  </si>
  <si>
    <t>Persak, E (corresponding author), Kerry Stokes Collect, Perth, WA, Australia.</t>
  </si>
  <si>
    <t>erica.persak@acequity.com.au</t>
  </si>
  <si>
    <t>ROUTLEDGE JOURNALS, TAYLOR &amp; FRANCIS LTD</t>
  </si>
  <si>
    <t>4 PARK SQUARE, MILTON PARK, ABINGDON OX14 4RN, OXFORDSHIRE, ENGLAND</t>
  </si>
  <si>
    <t>0004-9670</t>
  </si>
  <si>
    <t>2201-4276</t>
  </si>
  <si>
    <t>AUST LIBR J</t>
  </si>
  <si>
    <t>Aust. Libr. J.</t>
  </si>
  <si>
    <t>10.1080/00049670.2013.872551</t>
  </si>
  <si>
    <t>Information Science &amp; Library Science</t>
  </si>
  <si>
    <t>Social Science Citation Index (SSCI)</t>
  </si>
  <si>
    <t>AE5LG</t>
  </si>
  <si>
    <t>WOS:000334029900003</t>
  </si>
  <si>
    <t>Karanovic, I; Humphreys, WF</t>
  </si>
  <si>
    <t>Karanovic, Ivana; Humphreys, William F.</t>
  </si>
  <si>
    <t>Phylogeny and diversity of Timiriaseviinae ostracods (Podocopida, Cytheroidea) with description of one new species from arid Western Australia</t>
  </si>
  <si>
    <t>SYSTEMATICS AND BIODIVERSITY</t>
  </si>
  <si>
    <t>fossil ostracods; cladistics; subterranean waters; systematics; Australia; Limnocytheridae</t>
  </si>
  <si>
    <t>LIMNIC OSTRACODE; GOMPHOCYTHERE CRUSTACEA; FRAMBOCYTHERE COLIN; LAKE TANGANYIKA; N.-GEN.; LIMNOCYTHERIDAE; EVOLUTION; GOMPHODELLA; AFRICA; MIDDLE</t>
  </si>
  <si>
    <t>Gomphodella De Deckker, 1981 belongs to the subfamily Timiriaseviinae, and it inhabits almost exclusively subterranean waters of Western Australia. We describe the ninth species of the genus, G. alexanderi sp. nov., from bore-holes in the Pilbara region. The species is closely related to G. yandii Karanovic, 2009 and G. quasihirsuta Karanovic, 2009, but can be distinguished by its shell morphology, appearance of the hemipenis, and chaetotaxy of the antenna. We also report on G. yandii and G. cf. martensi Karanovic, 2009, collected sympatrically with the new species, indicating some new characters not mentioned in the original descriptions. We show for the first time that Gomphodella has an inverse lophodont hinge, instead of a lophodont one as previously believed. The significance of the hinge structure, sulci, and other shell characters in the systematics of Timiriaseviinae are discussed. In addition, the posterior extension on the female body, the so-called 'forked organ', is here reported for the first time in the genus Gomphodella. Because these characters provide a new insight into the phylogenetic relationships of Timiriaseviinae we performed two cladistic analyses: one including only nine genera with living representatives, the other including 17 genera. They resulted in one and 23 equally parsimonious trees respectively. Inclusion of the fossil taxa significantly changes the tree topology, but on both trees the Gondwanan lineage, Cytheridella Daday, 1905/Gomphocythere Sars, 1924/Gomphodella is strongly supported, as well as a close connection between the South American semi-terrestrial and some fossil genera. Another well-supported clade is formed by the genera Kovalevskiella Klein, 1963, Frambocythere Colin, 1980 and Rosacythere Colin, 1980. Maps of distribution of Recent genera and geological age of Timiriaseviinae are also presented here. http://zoobank.org/urn:lsid:zoobank.org:pub:E3041FDD-7233-4733-841C-98549108FE61</t>
  </si>
  <si>
    <t>[Karanovic, Ivana] Hanyang Univ, Dept Life Sci, Seoul 133791, South Korea; [Karanovic, Ivana] Univ Tasmania, Inst Marine &amp; Antarctic Studies, Hobart, Tas 7001, Australia; [Humphreys, William F.] Western Australian Museum, Welshpool, WA 6106, Australia; [Humphreys, William F.] Univ Adelaide, Sch Earth &amp; Environm Sci, Adelaide, SA 5005, Australia; [Humphreys, William F.] Univ Western Australia, Sch Anim Biol, Nedlands, WA 6009, Australia</t>
  </si>
  <si>
    <t>Hanyang University; University of Tasmania; Western Australian Museum; University of Adelaide; University of Western Australia</t>
  </si>
  <si>
    <t>Karanovic, I (corresponding author), Hanyang Univ, Dept Life Sci, Seoul 133791, South Korea.</t>
  </si>
  <si>
    <t>ivana.karanovic@utas.edu.au</t>
  </si>
  <si>
    <t>Hanyang University [HY-2013-N]; Biota Environmental Sciences Pty Ltd</t>
  </si>
  <si>
    <t>Hanyang University; Biota Environmental Sciences Pty Ltd</t>
  </si>
  <si>
    <t>This paper is partly supported by the Research Fund of the Hanyang University [HY-2013-N] to the first author. We wish to thank Biota Environmental Sciences Pty Ltd for the material collection and financial support.</t>
  </si>
  <si>
    <t>1477-2000</t>
  </si>
  <si>
    <t>1478-0933</t>
  </si>
  <si>
    <t>SYST BIODIVERS</t>
  </si>
  <si>
    <t>Syst. Biodivers.</t>
  </si>
  <si>
    <t>10.1080/14772000.2014.882870</t>
  </si>
  <si>
    <t>Biodiversity Conservation; Biology</t>
  </si>
  <si>
    <t>Biodiversity &amp; Conservation; Life Sciences &amp; Biomedicine - Other Topics</t>
  </si>
  <si>
    <t>AD7YN</t>
  </si>
  <si>
    <t>WOS:000333483500007</t>
  </si>
  <si>
    <t>Hamilton, PB; de Haan, M; Kopalová, K; Zidarova, R; Van de Vijver, B</t>
  </si>
  <si>
    <t>Hamilton, Paul B.; de Haan, Myriam; Kopalova, Katerina; Zidarova, Ralitsa; Van de Vijver, Bart</t>
  </si>
  <si>
    <t>An evaluation of selected Neidium species from the Antarctic region</t>
  </si>
  <si>
    <t>DIATOM RESEARCH</t>
  </si>
  <si>
    <t>Antarctic region; Bacillariophyta; biogeography; morphology; Neidium; new species</t>
  </si>
  <si>
    <t>JAMES-ROSS-ISLAND; SOUTH SHETLAND ISLANDS; DIATOM COMMUNITIES; FRESH-WATER; LIVINGSTON ISLAND; BACILLARIOPHYTA; DIVERSITY; DIADESMIS; PENINSULA; REVISION</t>
  </si>
  <si>
    <t>The presentation of three distinct Neidium taxa from the sub-Antarctic and Maritime Antarctic region after examining more than 1500 samples from a broad variety of aquatic and terrestrial (micro-)habitats suggests that taxa representing the genus Neidium Pfitzer are not only quite rare in these regions, but that the three species also represent well-defined biogeographical distributions. N. nyvltii sp. nov., N. antarcticum sp. nov. and N. aubertii Manguin are characterized by linear to linear-lanceolate valves with rostrate to capitate apices, a single prominent longitudinal canal along the valve margins and lacinia covering the distal raphe endings. Neidium nyvltii is a benthic alkalophile growing in the Maritime Antarctic region under high total phosphorus (TP) and moderately high chloride concentrations, while the closest taxa for comparison (N. kozlowii Mereschkowsky and its varieties) are also alkalophilic, growing under lower TP concentrations in northern temperate-Arctic regions. Neidium aubertii is an acidophile with a sub-Antarctic distribution, whereas the most comparable taxa are N. bisulcatum (Lagestedt) Cleve, and N. bergii (A. Cleve-Euler) Krammer &amp; Lange-Bertalot both are alkalophiles with northern hemisphere distribution and commonly occurring in the Arctic. There is some evidence of parallel similarities in valve forms between the polar northern and southern hemispheres. The significance of this parallelism is yet to be determined.</t>
  </si>
  <si>
    <t>[Hamilton, Paul B.] Canadian Museum Nat, Res &amp; Collect Div, Ottawa, ON K1P 6P4, Canada; [de Haan, Myriam; Van de Vijver, Bart] Natl Bot Garden Belgium, Dept Bryophyta &amp; Thallophyta, Meise, Belgium; [Kopalova, Katerina] Charles Univ Prague, Dept Ecol, Prague, Czech Republic; [Kopalova, Katerina] Acad Sci Czech Republ, Inst Bot, Sect Plant Ecol, Trebon, Czech Republic; [Zidarova, Ralitsa] St Kliment Ohridski Univ Sofia, Dept Bot, Sofia, Bulgaria; [Van de Vijver, Bart] Univ Antwerp, Dept Biol, B-2020 Antwerp, Belgium</t>
  </si>
  <si>
    <t>Charles University Prague; Czech Academy of Sciences; Institute of Botany of the Czech Academy of Sciences; University of Sofia; University of Antwerp</t>
  </si>
  <si>
    <t>Van de Vijver, B (corresponding author), Natl Bot Garden Belgium, Dept Bryophyta &amp; Thallophyta, Meise, Belgium.</t>
  </si>
  <si>
    <t>vandevijver@br.fgov.be</t>
  </si>
  <si>
    <t>Kopalová, Kateřina/H-1598-2014; Zidarova, Ralitsa/I-3793-2017; Kopalova, Katerina/M-6207-2017</t>
  </si>
  <si>
    <t>Kopalova, Katerina/0000-0002-7905-4268; Zidarova, Ralitsa/0000-0002-6451-0099</t>
  </si>
  <si>
    <t>French Polar Institute-Paul-Emile Victor [136]; Ministerio de Ciencia y Tecnologia, Spain [POL2006-06635]; Ministry of Environment and Water (MOEW, Bulgaria) [685/2005]; Canadian Museum of Nature; Ministry of Education, Youth and Sports of the Czech Republic [Czech Polar LM2010009]; Erasmus grant; GA UK grant [394211]; FWO [G.0533.07]; L'Oreal-UNESCO 'For Women in Science' Program (Bulgaria); EU Synthesys grant; [RVO 67985939]; [MSMT KONTAKT ME 945]; [ME 934]</t>
  </si>
  <si>
    <t>French Polar Institute-Paul-Emile Victor; Ministerio de Ciencia y Tecnologia, Spain(Spanish Government); Ministry of Environment and Water (MOEW, Bulgaria); Canadian Museum of Nature; Ministry of Education, Youth and Sports of the Czech Republic(Ministry of Education, Youth &amp; Sports - Czech Republic); Erasmus grant(Erasmus+); GA UK grant; FWO(FWO); L'Oreal-UNESCO 'For Women in Science' Program (Bulgaria)(L'Oreal Group); EU Synthesys grant; ; ;</t>
  </si>
  <si>
    <t>The authors wish to thank Niek J.M. Gremmen and Louis Beyens for the collection of samples on Heard, Prince Edward and South Georgia islands. Sampling on Crozet and Kerguelen has been made possible thanks to the logistic and financial support of the French Polar Institute-Paul-Emile Victor in the framework of the terrestrial program 136 (Marc Lebouvier &amp; Yves Frenot). Samples on Byers Peninsula were taken in the framework of the IPY-Limnopolar Project POL2006-06635 (Ministerio de Ciencia y Tecnologia, Spain). Sampling on Hurd Peninsula was made possible with the logistic support of the Bulgarian Antarctic Institute and within the contract 685/2005 with Ministry of Environment and Water (MOEW, Bulgaria). This study is also financially supported by a grant to PBH from the Canadian Museum of Nature. This study has been supported as a long-term research development project no. RVO 67985939 and project of Ministry of Education, Youth and Sports of the Czech Republic project Czech Polar LM2010009. Part of the research was funded by the following projects: MSMT KONTAKT ME 945 and ME 934. The authors would also like to thank the members of expeditions to the Czech J.G. Mendel Antarctic Station for field support and assistance. K. Kopalova benefited from an Erasmus grant during her stay in Belgium and GA UK grant nr. 394211. Part of the research was funded within the FWO project G.0533.07 and supported by L'Oreal-UNESCO 'For Women in Science' Program (Bulgaria) and an EU Synthesys grant to BVDV to visit the National History Museum in London, UK. Alex Ball, the staff of the EMMA laboratory and Eileen J. Cox at the Natural History Museum are thanked for their help with the scanning electron microscopy. The Olympus BX53 microscope used at the Faculty of Biology (University of Sofia) was bought with the support of the CEBDER Project (NSF, Bulgaria).</t>
  </si>
  <si>
    <t>0269-249X</t>
  </si>
  <si>
    <t>2159-8347</t>
  </si>
  <si>
    <t>DIATOM RES</t>
  </si>
  <si>
    <t>Diatom Res.</t>
  </si>
  <si>
    <t>10.1080/0269249X.2013.822020</t>
  </si>
  <si>
    <t>AA2OE</t>
  </si>
  <si>
    <t>WOS:000330933100005</t>
  </si>
  <si>
    <t>C</t>
  </si>
  <si>
    <t>Vlaev, S; Martinov, M; Pavlova, K; Ruseinova-Videva, S; Georgiev, D</t>
  </si>
  <si>
    <t>SGEM</t>
  </si>
  <si>
    <t>Vlaev, Serafim; Martinov, Martin; Pavlova, Konstantsa; Ruseinova-Videva, Sneghana; Georgiev, Dobrin</t>
  </si>
  <si>
    <t>CHALLANGING THE BIOGEOCHEMICAL POTENTIAL OF ANTARCTIC YEAST: BIOREACTOR DYNAMICS IN VISCOUS BROTHS CONTAINING EXOPOLYSACCHARIDES</t>
  </si>
  <si>
    <t>GEOCONFERENCE ON NANO, BIO AND GREEN - TECHNOLOGIES FOR A SUSTAINABLE FUTURE, VOL I (SGEM 2014)</t>
  </si>
  <si>
    <t>International Multidisciplinary Scientific GeoConference-SGEM</t>
  </si>
  <si>
    <t>Proceedings Paper</t>
  </si>
  <si>
    <t>14th International Multidisciplinary Scientific Geoconference (SGEM)</t>
  </si>
  <si>
    <t>JUN 17-26, 2014</t>
  </si>
  <si>
    <t>Albena, BULGARIA</t>
  </si>
  <si>
    <t>bioreactor; exopolysaccharides (EPS); Antarctic yeast; impeller mixing</t>
  </si>
  <si>
    <t>The biogeochemical potentials of cold-tolerant Antarctic microorganisms to release organic matter has allowed production of valuable components of pharmaceuticals and food. Recently, a bioprocess for exopolysaccharides and biomass involving Antarctic yeast has been introduced and put forward for examination. The fermentation broth is viscous and non-Newtonian and good mixing and oxygen transfer are essential for the microorganisms. The paper presents a study of the bioreactor performance that evolves when using a modified backswept impeller termed impeller MV. As related to the importance of oxygen for the specific yeast metabolism and based on preliminary data, the bioreactor dynamics is studied both experimentally and by simulation. The impeller power draw gas volume fraction and oxygen mass transfer were measured and the bioreactor fluid dynamics corresponding to the bioprocess evolution were revealed. New experimental data is obtained. The results are compared with reference data for the conventional bioreactor equipped with two six flat-blade turbines. Both reactive and non-reactive conditions related to the bioreaction evolution are studied. Moderate rotational speeds typical for the conventional impeller were applied and the bioprocess time-course for the two mixing cases was registered. The bioprocess corresponding to MV mixing has been found to be slightly delayed what is discussed in terms of the impeller specific substrate distribution and its weaker gas dispersion function. Good gassed power draw and drag reduction properties of the impeller are found that allow its application at high rotational speed and further multiple impeller configurations.</t>
  </si>
  <si>
    <t>[Vlaev, Serafim; Martinov, Martin] Bulgarian Acad Sci, Inst Chem Engn, Lab Chem &amp; Biochem Reactors, BG-1040 Sofia, Bulgaria; [Pavlova, Konstantsa; Ruseinova-Videva, Sneghana] Bulgarian Acad Sci, Inst Microbiol, Appl Microbiol Lab, Plovdiv, Bulgaria; [Georgiev, Dobrin] Bourgas Univ Prof Dr A Zlatarov, Dept Chem Engn, Burgas, Bulgaria</t>
  </si>
  <si>
    <t>Bulgarian Academy of Sciences; University of Chemical Technology &amp; Metallurgy - Bulgaria; Medical University Plovdiv; Agricultural Academy - Bulgaria; Bulgarian Academy of Sciences; University of Burgas</t>
  </si>
  <si>
    <t>Vlaev, S (corresponding author), Bulgarian Acad Sci, Inst Chem Engn, Lab Chem &amp; Biochem Reactors, BG-1040 Sofia, Bulgaria.</t>
  </si>
  <si>
    <t>Martinov, Martin S/J-3614-2016</t>
  </si>
  <si>
    <t>Vlaev, Serafim/0000-0002-3026-1194</t>
  </si>
  <si>
    <t>STEF92 TECHNOLOGY LTD</t>
  </si>
  <si>
    <t>SOFIA</t>
  </si>
  <si>
    <t>1 ANDREY LYAPCHEV BLVD, SOFIA, 1797, BULGARIA</t>
  </si>
  <si>
    <t>1314-2704</t>
  </si>
  <si>
    <t>978-619-7105-20-9</t>
  </si>
  <si>
    <t>INT MULTI SCI GEOCO</t>
  </si>
  <si>
    <t>Nanoscience &amp; Nanotechnology; Materials Science, Multidisciplinary</t>
  </si>
  <si>
    <t>Conference Proceedings Citation Index - Science (CPCI-S)</t>
  </si>
  <si>
    <t>Science &amp; Technology - Other Topics; Materials Science</t>
  </si>
  <si>
    <t>BE0JD</t>
  </si>
  <si>
    <t>WOS:000366136600041</t>
  </si>
  <si>
    <t>B</t>
  </si>
  <si>
    <t>Maddison, B</t>
  </si>
  <si>
    <t>Maddison, Ben</t>
  </si>
  <si>
    <t>COLONIALISM, CAPITALISM AND THE DISCOVERY OF ANTARCTICA</t>
  </si>
  <si>
    <t>CLASS AND COLONIALISM IN ANTARCTIC EXPLORATION, 1750-1920</t>
  </si>
  <si>
    <t>Empires in Perspective</t>
  </si>
  <si>
    <t>Article; Book Chapter</t>
  </si>
  <si>
    <t>PICKERING &amp; CHATTO PUBL</t>
  </si>
  <si>
    <t>21 BLOOMSBURY WAY, LONDON, WC1A 2TH, ENGLAND</t>
  </si>
  <si>
    <t>978-1-317-31942-9; 978-1-84893-418-4</t>
  </si>
  <si>
    <t>EMPIRE PERSPECT</t>
  </si>
  <si>
    <t>History</t>
  </si>
  <si>
    <t>Book Citation Index – Social Sciences &amp; Humanities (BKCI-SSH)</t>
  </si>
  <si>
    <t>BD8AG</t>
  </si>
  <si>
    <t>WOS:000363723700002</t>
  </si>
  <si>
    <t>COLONIALISM AND THE DISCOVERY OF ANTARCTICA</t>
  </si>
  <si>
    <t>WOS:000363723700003</t>
  </si>
  <si>
    <t>ANTARCTIC EXPLORATION, COLONIAL CAPITALISM AND CIRCUITS OF NECESSITY, 1776-1850</t>
  </si>
  <si>
    <t>WOS:000363723700004</t>
  </si>
  <si>
    <t>CLASS AND ANTARCTIC EXPLORATION, 1750-1850</t>
  </si>
  <si>
    <t>WOS:000363723700005</t>
  </si>
  <si>
    <t>THE FIRST ANTARCTIC WORKING CLASS</t>
  </si>
  <si>
    <t>WOS:000363723700006</t>
  </si>
  <si>
    <t>EXPLORATION AS LABOUR, 1750-1850</t>
  </si>
  <si>
    <t>WOS:000363723700007</t>
  </si>
  <si>
    <t>LABOUR AS EXPLORATION: THE FUR FRONTIER</t>
  </si>
  <si>
    <t>WOS:000363723700008</t>
  </si>
  <si>
    <t>ANTARCTIC EXPLORATION AND THE DIALECTICS OF POWER</t>
  </si>
  <si>
    <t>WOS:000363723700009</t>
  </si>
  <si>
    <t>IMPERIALISM AND THE HEROIC AGE OF ANTARCTIC EXPLORATION, 1890-1920</t>
  </si>
  <si>
    <t>WOS:000363723700010</t>
  </si>
  <si>
    <t>NEW COLONIALISM IN ANTARCTICA</t>
  </si>
  <si>
    <t>WOS:000363723700011</t>
  </si>
  <si>
    <t>WORK AND CLASS IN THE 'HEROIC AGE'</t>
  </si>
  <si>
    <t>WOS:000363723700012</t>
  </si>
  <si>
    <t>Howard, PD</t>
  </si>
  <si>
    <t>Peltier, TR</t>
  </si>
  <si>
    <t>Howard, Patrick D.</t>
  </si>
  <si>
    <t>Organization of Information Security</t>
  </si>
  <si>
    <t>INFORMATION SECURITY FUNDAMENTALS, 2ND EDITION</t>
  </si>
  <si>
    <t>[Howard, Patrick D.] Nucl Regulatory Commiss, CISO, Rockville, MD USA; [Howard, Patrick D.] Walsh Coll, Informat Assurance, Troy, MI USA</t>
  </si>
  <si>
    <t>Howard, PD (corresponding author), Natl Sci Fdn Antarctic Support Contract, Centennial, CO USA.</t>
  </si>
  <si>
    <t>CRC PRESS-TAYLOR &amp; FRANCIS GROUP</t>
  </si>
  <si>
    <t>BOCA RATON</t>
  </si>
  <si>
    <t>6000 BROKEN SOUND PARKWAY NW, STE 300, BOCA RATON, FL 33487-2742 USA</t>
  </si>
  <si>
    <t>978-1-4398-1063-7; 978-1-4398-1062-0</t>
  </si>
  <si>
    <t>Computer Science, Theory &amp; Methods</t>
  </si>
  <si>
    <t>Book Citation Index – Science (BKCI-S)</t>
  </si>
  <si>
    <t>Computer Science</t>
  </si>
  <si>
    <t>BD7ZE</t>
  </si>
  <si>
    <t>WOS:000363716400004</t>
  </si>
  <si>
    <t>Klekociuk, AR; Tully, MB; Krummel, PB; Gies, HP; Petelina, SV; Alexander, SP; Deschamps, LL; Fraser, PJ; Henderson, SI; Javorniczky, J; Shanklin, JD; Siddaway, JM; Stone, KA</t>
  </si>
  <si>
    <t>Klekociuk, A. R.; Tully, M. B.; Krummel, P. B.; Gies, H. P.; Petelina, S. V.; Alexander, S. P.; Deschamps, L. L.; Fraser, P. J.; Henderson, S. I.; Javorniczky, J.; Shanklin, J. D.; Siddaway, J. M.; Stone, K. A.</t>
  </si>
  <si>
    <t>The Antarctic ozone hole during 2011</t>
  </si>
  <si>
    <t>AUSTRALIAN METEOROLOGICAL AND OCEANOGRAPHIC JOURNAL</t>
  </si>
  <si>
    <t>The Antarctic ozone hole of 2011 is reviewed from a variety of perspectives, making use of various data and analyses. The ozone hole of 2011 was relatively large in terms of maximum area, minimum ozone level and total ozone deficit, being ranked amongst the top ten in terms of severity of the 32 ozone holes adequately characterised since 1979. In particular, the estimated integrated ozone mass effectively removed within the ozone hole of 2011 was 2119 Mt, which is the 7th largest deficit on record and 82 per cent of the peak value observed in 2006. The key factors in promoting the extent of Antarctic ozone loss in 2011 were the relatively low temperatures that occurred in the lower stratosphere of the polar cap region over most of the year, and the fact that the stratospheric vortex was relatively strong and stable, at least up to mid-spring. Dynamical disturbance of the polar vortex from mid-spring increased Antarctic ozone levels in the latter part of the ozone hole's evolution and helped to limit the overall severity of depletion. Through examination of regression of various ozone metrics against expected levels of equivalent effective stratospheric chlorine, we suggest that recent changes in averaged ozone levels over Antarctica show some evidence of the recovery expected due to international controls on the manufacture of ozone depleting chemicals, albeit at a statistically low level of confidence due to the influence of meteorological factors that largely dictate year-to-year variability of Antarctic ozone loss.</t>
  </si>
  <si>
    <t>[Klekociuk, A. R.; Alexander, S. P.] Australian Antarctic Div, Climate Proc &amp; Change, Hobart, Tas, Australia; [Krummel, P. B.; Fraser, P. J.] CSIRO Marine &amp; Atmospher Res, Ctr Australian Weather &amp; Climate Res, Canberra, ACT, Australia; [Gies, H. P.; Henderson, S. I.; Javorniczky, J.] Australian Radiat Protect &amp; Nucl Safety Agcy, Miranda, NSW, Australia; [Petelina, S. V.; Siddaway, J. M.] La Trobe Univ, Dept Phys, Bundoora, Vic 3086, Australia; [Shanklin, J. D.] British Antarctic Survey, Cambridge, England; [Stone, K. A.] Univ Melbourne, Sch Earth Sci, Melbourne, Vic 3010, Australia</t>
  </si>
  <si>
    <t>Australian Antarctic Division; Commonwealth Scientific &amp; Industrial Research Organisation (CSIRO); La Trobe University; UK Research &amp; Innovation (UKRI); Natural Environment Research Council (NERC); NERC British Antarctic Survey; University of Melbourne; Melbourne Bioinformatics</t>
  </si>
  <si>
    <t>Klekociuk, AR (corresponding author), Australian Antarctic Div, Hobart, Tas, Australia.</t>
  </si>
  <si>
    <t>Andrew.Klekociuk@aad.gov.au</t>
  </si>
  <si>
    <t>Tully, Matthew/AAG-1730-2020; Fraser, Paul J. B./D-1755-2012; Krummel, Paul B/A-4293-2013; Klekociuk, Andrew/A-4498-2015</t>
  </si>
  <si>
    <t>Tully, Matthew/0000-0002-6153-5610; Krummel, Paul B/0000-0002-4884-3678; Alexander, Simon/0000-0001-6823-8857; Klekociuk, Andrew/0000-0003-3335-0034</t>
  </si>
  <si>
    <t>Canadian Space Agency; NASA; Australian Antarctic Science programme [737, 4012]; Department of Sustainability, Environment, Water, Population and Communities</t>
  </si>
  <si>
    <t>Canadian Space Agency(Canadian Space Agency); NASA(National Aeronautics &amp; Space Administration (NASA)); Australian Antarctic Science programme; Department of Sustainability, Environment, Water, Population and Communities</t>
  </si>
  <si>
    <t>We acknowledge the Department of Sustainability, Environment, Water, Population and Communities for support of this work, and the assistance of the following people: Jeff Ayton and the Australian Antarctic Division's Antarctic Medical Practitioners in collecting the solar UV data, Nada Derek of CSIRO for preparation of figures, Bureau personnel for collecting upper air measurements in Antarctica and ODS data at Cape Grim, Tasmania, and for expeditioners of the British Antarctic Survey for collecting the Halley measurements. Odin is currently a third-party mission for the European Space Agency. OSIRIS operations and data retrievals are primarily supported by the Canadian Space Agency. The OMI ozone data are courtesy of the Ozone Processing Team at NASA Goddard Space Flight Center. Aura/MLS data used in this study were acquired as part of the NASA's Earth-Sun System Division and archived and distributed by the Goddard Earth Sciences (GES) Data and Information Services Center (DISC) Distributed Active Archive Center (DAAC). UKMO data were obtained from the British Atmospheric Data Centre (http://badc.nerc.ac.uk). NCEP Reanalysis-2 data were obtained from the National Oceanic and Atmospheric Administration Earth System Research Laboratory, Physical Sciences Division. ODS data were collected as part of the NASA-funded AGAGE Program. Part of this work was performed under Projects 737 and 4012 of the Australian Antarctic Science programme.</t>
  </si>
  <si>
    <t>AUSTRALIAN BUREAU METEOROLOGY</t>
  </si>
  <si>
    <t>MELBOURNE</t>
  </si>
  <si>
    <t>GPO BOX 1289, MELBOURNE, VIC 3001, AUSTRALIA</t>
  </si>
  <si>
    <t>1836-716X</t>
  </si>
  <si>
    <t>AUST METEOROL OCEAN</t>
  </si>
  <si>
    <t>Aust. Meteorol. Oceanogr. J.</t>
  </si>
  <si>
    <t>10.22499/2.6404.006</t>
  </si>
  <si>
    <t>CV8FH</t>
  </si>
  <si>
    <t>WOS:000364515800006</t>
  </si>
  <si>
    <t>Klekociuk, AR; Tully, MB; Krummel, PB; Gies, HP; Alexander, SP; Fraser, PJ; Henderson, SI; Javorniczky, J; Petelina, SV; Shanklin, JD; Schofield, R; Stone, KA</t>
  </si>
  <si>
    <t>Klekociuk, A. R.; Tully, M. B.; Krummel, P. B.; Gies, H. P.; Alexander, S. P.; Fraser, P. J.; Henderson, S. I.; Javorniczky, J.; Petelina, S. V.; Shanklin, J. D.; Schofield, R.; Stone, K. A.</t>
  </si>
  <si>
    <t>The Antarctic ozone hole during 2012</t>
  </si>
  <si>
    <t>QUASI-BIENNIAL OSCILLATION</t>
  </si>
  <si>
    <t>We review the 2012 Antarctic ozone hole, making use of various meteorological reanalyses, remotely sensed ozone measurements and ground-based measurements of ultra-violet radiation. Based on analysis of 33 years of satellite records, we find that the ozone hole of 2012 was one of the least severe since the late 1980s in terms of maximum area, minimum ozone level and total ozone deficit. In particular, the estimated integrated ozone mass effectively depleted within the ozone hole of 2012 was approximately 720 Mt, which is the 12th smallest deficit on record and 28 per cent of the peak deficit observed in 2006. The key factor in limiting the extent of Antarctic ozone loss in 2012 was the relatively warm temperatures that occurred in the Antarctic stratosphere from early July. These warm temperatures, which were driven by dynamical activity, limited the activation of ozone depletion chemistry within the polar vortex during the latter part of the polar winter. Additionally, dynamical disturbances to the polar cap region during spring were aided by the prevailing phase of the Quasi-Biennial Oscillation (QBO) which was strongly negative (westward) and favouring the poleward propagation of heat flux anomalies; these disturbances resulted in the steady erosion of the vortex and caused it to breakdown relatively early compared to recent years. The metrics for the Antarctic ozone hole of 2012 showed some similarity with those of 1988 and 2002 (which were years of anomalously small ozone holes) despite all three years having distinctly different QBO indices indicating variant strengths of the polar vortex (and severity of ozone loss).</t>
  </si>
  <si>
    <t>[Klekociuk, A. R.; Alexander, S. P.] Australian Antarctic Div, Climate Proc &amp; Change, Hobart, Tas, Australia; [Krummel, P. B.; Fraser, P. J.] CSIRO Marine &amp; Atmospher Res, Ctr Australian Weather &amp; Climate Res, Aspendale, Vic, Australia; [Gies, H. P.; Henderson, S. I.; Javorniczky, J.] Australian Radiat Protect &amp; Nucl Safety Agcy, Miranda, NSW, Australia; [Petelina, S. V.] La Trobe Univ, Dept Phys, Bundoora, Vic 3086, Australia; [Shanklin, J. D.] British Antarctic Survey, Cambridge, England; [Schofield, R.; Stone, K. A.] Univ Melbourne, Sch Earth Sci, Melbourne, Vic 3010, Australia; [Schofield, R.; Stone, K. A.] Univ New S Wales, ARC Ctr Excellence Climate Syst Sci, Sydney, NSW, Australia</t>
  </si>
  <si>
    <t>Australian Antarctic Division; Commonwealth Scientific &amp; Industrial Research Organisation (CSIRO); La Trobe University; UK Research &amp; Innovation (UKRI); Natural Environment Research Council (NERC); NERC British Antarctic Survey; University of Melbourne; Melbourne Bioinformatics; ARC Centre of Excellence for Climate System Science; University of New South Wales Sydney</t>
  </si>
  <si>
    <t>Tully, Matthew/AAG-1730-2020; Schofield, Robyn/A-4062-2010; Krummel, Paul B/A-4293-2013; Fraser, Paul J. B./D-1755-2012; Klekociuk, Andrew/A-4498-2015</t>
  </si>
  <si>
    <t>Tully, Matthew/0000-0002-6153-5610; Schofield, Robyn/0000-0002-4230-717X; Krummel, Paul B/0000-0002-4884-3678; Klekociuk, Andrew/0000-0003-3335-0034; Alexander, Simon/0000-0001-6823-8857</t>
  </si>
  <si>
    <t>Department of Environment; Canadian Space Agency; Australian Antarctic Science programme [737, 4012]</t>
  </si>
  <si>
    <t>Department of Environment; Canadian Space Agency(Canadian Space Agency); Australian Antarctic Science programme</t>
  </si>
  <si>
    <t>We acknowledge the Department of Environment for support of this work, and the assistance of the following people: Jeff Ayton and the Australian Antarctic Division's Antarctic Medical Practitioners in collecting the solar UV data, Nada Derek of CSIRO for preparation of figures, BoM observers for collecting upper air measurements, expeditioners of the British Antarctic Survey for collecting the Halley measurements, and the staff at the Cape Grim Baseline Station, Tasmania, for the collection of ODS data. Odin is currently a third-party mission for the European Space Agency. OSIRIS operations and data retrievals are primarily supported by the Canadian Space Agency. The OMI ozone data are courtesy of the Ozone Processing Team at NASA Goddard Space Flight Center. Aura/MLS data used in this study were acquired as part of the NASA's Earth-Sun System Division and archived and distributed by the Goddard Earth Sciences (GES) Data and Information Services Center (DISC) Distributed Active Archive Center (DAAC). UKMO data were obtained from the British Atmospheric Data Centre (http://badc.nerc.ac.uk). NCEP Reanalysis-2 data were obtained from the National Oceanic and Atmospheric Administration Earth System Research laboratory, Physical Sciences Division. Part of this work was performed under Projects 737 and 4012 of the Australian Antarctic Science programme.</t>
  </si>
  <si>
    <t>10.22499/2.6404.007</t>
  </si>
  <si>
    <t>WOS:000364515800007</t>
  </si>
  <si>
    <t>Albertella, A; Savcenko, R; Janjic, T; Rummel, R; Bosch, W; Schröter, J</t>
  </si>
  <si>
    <t>Rizos, C; Willis, P</t>
  </si>
  <si>
    <t>Albertella, Alberta; Savcenko, Roman; Janjic, Tijana; Rummel, Reiner; Bosch, Wolfgang; Schroeter, Jens</t>
  </si>
  <si>
    <t>Mean Dynamic Ocean Topography in the Southern Ocean from GRACE and GOCE and Multi-mission Altimeter Data</t>
  </si>
  <si>
    <t>EARTH ON THE EDGE: SCIENCE FOR A SUSTAINABLE PLANET</t>
  </si>
  <si>
    <t>International Association of Geodesy Symposia</t>
  </si>
  <si>
    <t>IAG 25th General Assembly of the International-Union-of-Geodesy-and-Geophysics (IUGG)</t>
  </si>
  <si>
    <t>JUN 28-JUL 02, 2011</t>
  </si>
  <si>
    <t>Melbourne, AUSTRALIA</t>
  </si>
  <si>
    <t>Gravity model; GOCE; Mean dynamic ocean topography; Geostrophic velocities</t>
  </si>
  <si>
    <t>IMPACT</t>
  </si>
  <si>
    <t>The ocean north of the Antarctic continent is one of the most dynamic ocean areas on our globe. It is also critical for the regulation of the global climate. We compute a high resolution mean dynamical ocean topography (MDT) using geodetic data and derive a detailed model of the global ocean circulation in this crucial area. The MDT is determined using multi-mission altimeter data and the GRACE/GOCE gravity model GOCO2s. The mean sea surface is observed from joint cross-over adjustment of 17 years of satellite altimetry. The two geodetic gravity missions GRACE and GOCE allow the computation of a global geoid with unprecedented accuracy and spatial resolution. While GRACE greatly improved the accuracy and global consistency of gravity models at long to medium wavelengths, GOCE is adding highly accurate geoid information in the medium wavelength range. The geoid and mean sea surface have been made consistent by a spectral filter. The MDT is represented as a spherical harmonic expansion. This allows us to analyze the oceanographic content in different wavelength bands. In order to assess properties of the MDT and of the derived geostrophic velocity field, velocities are compared with independent data from satellite tracked surface drifters in the area of the Antarctic Circumpolar Current (ACC). The RMS of the differences is less than 9 cm/s even if shortest scales (100 km) are considered. Our study shows that, with just 6 months of GOCE data, we are able to improve significantly the geodetic MDT.</t>
  </si>
  <si>
    <t>[Albertella, Alberta; Rummel, Reiner] TU Munchen Inst Astron &amp; Phys Geodesy, D-80333 Munich, Germany; [Savcenko, Roman; Bosch, Wolfgang] Deutsch Geodat Forschungsinst, D-80539 Munich, Germany; [Janjic, Tijana; Schroeter, Jens] Alfred Wegener Inst Polar &amp; Marine Res, D-27515 Bremerhaven, Germany</t>
  </si>
  <si>
    <t>Albertella, A (corresponding author), TU Munchen Inst Astron &amp; Phys Geodesy, Arcisstr 21, D-80333 Munich, Germany.</t>
  </si>
  <si>
    <t>albertella@bv.tu-muenchen.de; savcenko@dgfi.badw.de; Tijana.Janjic.Pfander@awi.de; rummel@bv.tum.de; bosch@dgfi.badw.de; jens.schroeter@awi.de</t>
  </si>
  <si>
    <t>Schröter, Jens G/H-8806-2016; Janjic, Tijana/E-6727-2013; Rummel, Reiner/G-7800-2011</t>
  </si>
  <si>
    <t>Schröter, Jens G/0000-0002-9240-5798; Janjic, Tijana/0000-0002-8837-0879;</t>
  </si>
  <si>
    <t>SPRINGER-VERLAG BERLIN</t>
  </si>
  <si>
    <t>HEIDELBERGER PLATZ 3, D-14197 BERLIN, GERMANY</t>
  </si>
  <si>
    <t>0939-9585</t>
  </si>
  <si>
    <t>978-3-642-37222-3</t>
  </si>
  <si>
    <t>IAG SYMP</t>
  </si>
  <si>
    <t>10.1007/978-3-642-37222-3_10</t>
  </si>
  <si>
    <t>BD7LI</t>
  </si>
  <si>
    <t>WOS:000363263400010</t>
  </si>
  <si>
    <t>Jentzsch, G; Ricker, R; Weise, A; Capra, A; Dubbini, M; Zanutta, A</t>
  </si>
  <si>
    <t>Jentzsch, G.; Ricker, R.; Weise, A.; Capra, A.; Dubbini, M.; Zanutta, A.</t>
  </si>
  <si>
    <t>Micro-Gravity Measurements in Northern Victoria-Land, Antarctica: A Feasibility Study</t>
  </si>
  <si>
    <t>Antarctica; Deformation changes; Geodynamics; Gravity variations</t>
  </si>
  <si>
    <t>GPS; GRAVITY</t>
  </si>
  <si>
    <t>Within the Italian Antarctic research programme repeated GPS-measurements are being carried out at well installed points in the area of Northern-Victoria-Land (NVL), Antarctica, called VLNDEF: Victoria Land Network for Deformation Control. Although the deformations obtained over a period of 4 years are quite small we consider micro-gravity measurement a suitable complement for geodynamic research. Since the German Federal Institute for Geosciences and Natural Resources (BGR) is active in that area as well, until the year 2010 performing nine expeditions comprising geological and geophysical work, we used the offer to join expedition GANOVEX X during the season 2009/2010. With three gravimeters 13 points of the Italian network near the German station Gondwana were observed. The advantage of such measurements is that they do not require topographic corrections. Thus, the instrumental resolution and the measurement conditions, resp., are the limits for the resolution and accuracy of the measurements. In order to receive a reliable data base we used three well calibrated gravimeters in parallel and repeated the measurements several times. Local effects due to changes of the ice cover and snow fall are below the achieved measurement accuracy, because the points are so exposed that local effects are negligible. Although the elevation differences up to more than 2,700 m are quite strong, the results reveal the feasibility of these measurements in that area: The obtained standard deviations are in the order of +/- 10 to +/- 20 mu Gal.</t>
  </si>
  <si>
    <t>[Jentzsch, G.; Ricker, R.; Weise, A.] Univ Jena, Inst Geosci, Jena, Germany; [Capra, A.] Univ Modena &amp; Reggio Emilia, Mech &amp; Civil Engn Dept, Modena, Italy; [Dubbini, M.] Univ Bologna, Alma Mater Studiorum, Dept Hist Anthropol &amp; Geog, Bologna, Italy; [Zanutta, A.] Ist Nazl Geofis &amp; Vulcanol, Bologna Branch, Bologna, Italy</t>
  </si>
  <si>
    <t>Friedrich Schiller University of Jena; Universita di Modena e Reggio Emilia; University of Bologna; Istituto Nazionale Geofisica e Vulcanologia (INGV)</t>
  </si>
  <si>
    <t>Jentzsch, G (corresponding author), Univ Jena, Inst Geosci, Jena, Germany.</t>
  </si>
  <si>
    <t>gerhard.jentzsch@uni-jena.de</t>
  </si>
  <si>
    <t>Ricker, Robert/Z-4214-2019; ZANUTTA, ANTONIO/L-1647-2019; Dubbini, Marco/J-1765-2016; Capra, Alessandro/L-9743-2015</t>
  </si>
  <si>
    <t>Ricker, Robert/0000-0001-6928-7757; ZANUTTA, ANTONIO/0000-0003-4872-5222; Dubbini, Marco/0000-0001-6158-2727; Capra, Alessandro/0000-0001-6660-3291</t>
  </si>
  <si>
    <t>10.1007/978-3-642-37222-3_57</t>
  </si>
  <si>
    <t>WOS:000363263400057</t>
  </si>
  <si>
    <t>Luo, J; Yao, JF; Peng, Y; Xie, SR; Zou, XD; Zhu, C; Feng, K; Gu, JS</t>
  </si>
  <si>
    <t>IEEE</t>
  </si>
  <si>
    <t>Luo, Jun; Yao, Junfeng; Peng, Yan; Xie, Shaorong; Zou, Xudong; Zhu, Chuan; Feng, Kai; Gu, Jason</t>
  </si>
  <si>
    <t>Modeling of an Anti-interference Spherical Robot for Polar Region Scientific Research</t>
  </si>
  <si>
    <t>2014 IEEE INTERNATIONAL CONFERENCE ON INFORMATION AND AUTOMATION (ICIA)</t>
  </si>
  <si>
    <t>IEEE International Conference on Information and Automation (ICIA)</t>
  </si>
  <si>
    <t>JUL 28-30, 2014</t>
  </si>
  <si>
    <t>Hailar, PEOPLES R CHINA</t>
  </si>
  <si>
    <t>Spherical robot; deformable structure; kinematics and dynamic model; simulation and experiment</t>
  </si>
  <si>
    <t>In most research work, the steering process has been ignored when considering the ability to move quickly from point to point. Being under control when suffering from Coriolis force or external disturbance in various types of terrain is also essential for spherical robots in hazardous locations such as the Antarctic ice shelf. In this paper, we has a spherical robot with deformable structure, which has two steering engines to control the dip angle between the ground and mid body. The deformable parts on either side of the robot were designed not only to stabilize itself using the method of limiting the degree of freedom with the ground but also to increase the reaction torque from the ground in the steering process. An experiment was set to investigate the relationship between the curvature radius of steering motion and driving angular velocity of the shell. The designed robot was proved to be well under control in test cases with external disturbances like driven by wind power.</t>
  </si>
  <si>
    <t>[Luo, Jun; Yao, Junfeng; Peng, Yan; Xie, Shaorong; Zou, Xudong; Zhu, Chuan; Feng, Kai] Shanghai Univ SHU, Dept Mechatron Engn, Shanghai, Peoples R China; [Gu, Jason] Dalhousie Univ, Dept Elect &amp; Comp Engn, Halifax, NS B3H 4R2, Canada</t>
  </si>
  <si>
    <t>Dalhousie University</t>
  </si>
  <si>
    <t>Luo, J (corresponding author), Shanghai Univ SHU, Dept Mechatron Engn, Shanghai, Peoples R China.</t>
  </si>
  <si>
    <t>luojun@shu.edu.cn; yjf27x27@126.com; pengyan@shu.edu.cn; srxie@shu.edu.cn; xudong19911203@163.com; zhuchuan@shu.edu.cn; freshbreeze@shu.edu.cn; Jason.gu@dal.ca</t>
  </si>
  <si>
    <t>Gu, Jason Jianjun/0000-0002-7626-1077</t>
  </si>
  <si>
    <t>345 E 47TH ST, NEW YORK, NY 10017 USA</t>
  </si>
  <si>
    <t>978-1-4799-4100-1</t>
  </si>
  <si>
    <t>Automation &amp; Control Systems; Computer Science, Information Systems</t>
  </si>
  <si>
    <t>Automation &amp; Control Systems; Computer Science</t>
  </si>
  <si>
    <t>BD8DC</t>
  </si>
  <si>
    <t>WOS:000363815200234</t>
  </si>
  <si>
    <t>Kim, Y; Kim, K; Hong, SS; Cho, W</t>
  </si>
  <si>
    <t>ASME</t>
  </si>
  <si>
    <t>Kim, YoungSeok; Kim, Kiju; Hong, Seung-Seo; Cho, Wanjei</t>
  </si>
  <si>
    <t>THE VARIATION OF PHYSICAL PROPERTIES IN FROZEN SOILS AT VARIOUS FREEZING TEMPERATURES</t>
  </si>
  <si>
    <t>33RD INTERNATIONAL CONFERENCE ON OCEAN, OFFSHORE AND ARCTIC ENGINEERING, 2014, VOL 10: POLAR AND ARCTIC SCIENCE AND TECHNOLOGY</t>
  </si>
  <si>
    <t>33rd ASME International Conference on Ocean, Offshore and Arctic Engineering</t>
  </si>
  <si>
    <t>JUN 08-13, 2014</t>
  </si>
  <si>
    <t>San Francisco, CA</t>
  </si>
  <si>
    <t>Due to the recent climate change, the colder and longer winter is expected in Korea. Besides, the recent participation agreement on the development of the natural gas pipeline in Russia and construction of the second Korean Antarctic research station, the Jangbogo station changes the research interests from the seasonally frozen ground to the permafrost ground. The recent development of the site investigation techniques using wave propagation and electrical resistivity enabled engineers to evaluate the physical properties of the frozen soils and further correlate them to the mechanical properties. However, the physical properties of the frozen ground change when the water in the soil solidifies to ice; this change is particularly notable between 0 and -10 degrees C. Therefore, the physical property changes due to freezing needs to be investigated in terms of wave propagation characteristics and electrical resistivity with regard to the various freezing temperatures. In this study, the characteristics of wave propagation and electrical resistivity of frozen soils are investigated under various sub-zero temperatures. The characteristics of wave propagations are analyzed in terms of compression and shear wave velocities. The electrical resistivity is measured under various sub-zero temperatures to understand the effects of ice, which will further provide the valuable information about the location of the active layer. Furthermore, the evaluated physical properties can be used as basic data for the evaluation of the mechanical properties such as strength and stiffness.</t>
  </si>
  <si>
    <t>[Kim, YoungSeok; Cho, Wanjei] Korea Inst Construct Technol, Geotech Engn Res Div, Gyeonggi Do, South Korea; [Kim, Kiju] BEarth Inc, Geophys Engn Res Devis, Gangwon Do, South Korea; [Cho, Wanjei] Dankook Univ, Civil &amp; Environm Engn Dept, Gyeonggi Do, South Korea</t>
  </si>
  <si>
    <t>Dankook University</t>
  </si>
  <si>
    <t>Kim, Y (corresponding author), Korea Inst Construct Technol, Geotech Engn Res Div, Gyeonggi Do, South Korea.</t>
  </si>
  <si>
    <t>AMER SOC MECHANICAL ENGINEERS</t>
  </si>
  <si>
    <t>THREE PARK AVENUE, NEW YORK, NY 10016-5990 USA</t>
  </si>
  <si>
    <t>978-0-7918-4556-1</t>
  </si>
  <si>
    <t>UNSP V010T07A007</t>
  </si>
  <si>
    <t>Engineering, Marine; Engineering, Ocean; Engineering, Mechanical; Geosciences, Multidisciplinary</t>
  </si>
  <si>
    <t>BD7SE</t>
  </si>
  <si>
    <t>WOS:000363499200007</t>
  </si>
  <si>
    <t>McCallum, AB; Barwise, A; Santos, RS</t>
  </si>
  <si>
    <t>McCallum, Adrian B.; Barwise, Andy; Santos, Roi S.</t>
  </si>
  <si>
    <t>IS THE CONE PENETRATION TEST (CPT) USEFUL FOR ARCTIC SITE INVESTIGATION?</t>
  </si>
  <si>
    <t>SNOW</t>
  </si>
  <si>
    <t>A warming Arctic provides increased opportunity for infrastructure development. Although the cone penetration test is used globally for site investigation in unfrozen soils, this discussion paper investigates the use of cone penetration testing to provide in situ data in frozen geomaterials. Historical and contemporary use of cone penetration testing in permafrost, snow, terrestrial ice and sea ice is reviewed, and work conducted across alpine, Arctic and Antarctic environs is considered. Although frozen geomaterials offer challenges to any in situ media assessment, with suitable equipment, cone penetration testing in frozen geomaterials typical of the Arctic is possible.</t>
  </si>
  <si>
    <t>[McCallum, Adrian B.] Univ Sunshine Coast, Sch Sci &amp; Engn, Sippy Downs, Qld 4558, Australia; [Barwise, Andy; Santos, Roi S.] Gardline Geosci Ltd, Great Yarmouth NR30 3NG, Norfolk, England</t>
  </si>
  <si>
    <t>McCallum, AB (corresponding author), Univ Sunshine Coast, Sch Sci &amp; Engn, Sippy Downs, Qld 4558, Australia.</t>
  </si>
  <si>
    <t>icysolns@gmail.com</t>
  </si>
  <si>
    <t>UNSP V010T07A002</t>
  </si>
  <si>
    <t>WOS:000363499200002</t>
  </si>
  <si>
    <t>Sainsbury, K; Gullestad, P; Rice, J</t>
  </si>
  <si>
    <t>Garcia, SM; Rice, J; Charles, A</t>
  </si>
  <si>
    <t>Sainsbury, K.; Gullestad, P.; Rice, J.</t>
  </si>
  <si>
    <t>The use of national frameworks for sustainable development of marine fisheries and conservation, ecosystem-based management and integrated ocean management</t>
  </si>
  <si>
    <t>GOVERNANCE OF MARINE FISHERIES AND BIODIVERSITY CONSERVATION: INTERACTION AND COEVOLUTION</t>
  </si>
  <si>
    <t>ecosystem-based fishery management (EBFM); integrated oceans management; marine legislation; marine policy</t>
  </si>
  <si>
    <t>HARVEST STRATEGIES</t>
  </si>
  <si>
    <t>International agreements and guidelines provide the overall goals of sustainable development and healthy ecosystems, but it is at the national level that these must be implemented while addressing the interests of the nation and its citizens with decisions that affect people as well as the environment. The national frameworks are 'where the rubber hits the road', that is, where the practical instruments and methods to address these challenges must be developed and implemented. Here we summarize the approaches taken by Australia, Norway and Canada during the past 1-2 decades to meet the challenges of ecosystem-based management of fisheries and biodiversity, looking at: (1) developments in legislation and policy, and convergence between fisheries and biodiversity management; (2) methods to address and prioritize issues for ecosystem-based fisheries management; and (3) integrated cross-sectoral management. There are notable similarities in the approaches of the three countries: change of objectives in legislation and policy; greater clarity and agreement about targets, limits and acceptable/unacceptable impacts; methods to comprehensively identify then prioritize management issues; use of risk-based assessment and management methods that can operate at different information levels; significant restructuring and reduction in fleet capacity; and increasing use of fisher rights. An encouraging conclusion is that there are clear examples of approaches, methods and frameworks for sustainable development of fisheries and for using ecosystem-based fishery management that can be applied, in the first instance, without significant new knowledge. There has also been significant effort to address integrated cross-fishery and cross-sectoral management even though all countries are still struggling somewhat with this issue.</t>
  </si>
  <si>
    <t>[Sainsbury, K.] Univ Tasmania, Inst Marine &amp; Antarctic Studies, Hobart, Tas 7001, Australia; [Gullestad, P.] Norwegian Directorate Fisheries, Bergen, Norway; [Rice, J.] Fisheries &amp; Oceans Canada, Ottawa, ON, Canada; [Rice, J.] IUCN Commiss Ecosyst Management IUCN CEM FEG, Gland, Switzerland</t>
  </si>
  <si>
    <t>University of Tasmania; Fisheries &amp; Oceans Canada</t>
  </si>
  <si>
    <t>Sainsbury, K (corresponding author), Univ Tasmania, Inst Marine &amp; Antarctic Studies, Hobart, Tas 7001, Australia.</t>
  </si>
  <si>
    <t>ksainsbury@netspace.net.au; Peter.Gullestad@fiskeridir.no; Jake.Rice@dfo-mpo.gc.ca</t>
  </si>
  <si>
    <t>JOHN WILEY &amp; SONS LTD</t>
  </si>
  <si>
    <t>CHICHESTER</t>
  </si>
  <si>
    <t>THE ATRIUM, SOUTHERN GATE, CHICHESTER PO19 8SQ, WEST SUSSEX, ENGLAND</t>
  </si>
  <si>
    <t>978-1-118-39260-7; 978-1-118-39264-5</t>
  </si>
  <si>
    <t>10.1002/9781118392607</t>
  </si>
  <si>
    <t>Biodiversity Conservation; Fisheries</t>
  </si>
  <si>
    <t>Biodiversity &amp; Conservation; Fisheries</t>
  </si>
  <si>
    <t>BD7DU</t>
  </si>
  <si>
    <t>WOS:000362910100025</t>
  </si>
  <si>
    <t>Mathews, AP</t>
  </si>
  <si>
    <t>Shakshuki, E; Yasar, A</t>
  </si>
  <si>
    <t>Mathews, Alexander P.</t>
  </si>
  <si>
    <t>Renewable energy technologies: panacea for world energy security and climate change?</t>
  </si>
  <si>
    <t>5TH INTERNATIONAL CONFERENCE ON AMBIENT SYSTEMS, NETWORKS AND TECHNOLOGIES (ANT-2014), THE 4TH INTERNATIONAL CONFERENCE ON SUSTAINABLE ENERGY INFORMATION TECHNOLOGY (SEIT-2014)</t>
  </si>
  <si>
    <t>Procedia Computer Science</t>
  </si>
  <si>
    <t>5th International Conference on Ambient Systems, Networks and Technologies (ANT) / 4th International Conference on Sustainable Energy Information Technology (SEIT)</t>
  </si>
  <si>
    <t>JUN 02-05, 2014</t>
  </si>
  <si>
    <t>Hasselt, BELGIUM</t>
  </si>
  <si>
    <t>Climate change; renewable energy; energy security</t>
  </si>
  <si>
    <t>The rapid increase in anthropogenic greenhouse gas concentrations in the last several decades has caused observable changes in global climate on all continents. Carbon dioxide, the primary causative agent of climate change has increased from long-term mean average of 275 ppm to the current level of 400 ppm. About 85% of the current global energy production and use is based or derived from fossil fuels. If there is no concerted action by the global community, CO2 levels could increase by 130% by mid century resulting in large-scale climate changes such as the disintegration of the West Antarctic ice sheet, large-scale coral reef bleaching, and shutdown of the ocean circulation system. Stabilization of CO2 levels will require a deceleration in the rate of increase in fossil fuel consumption, and the use of emission-free power sources in the immediate future. The former can have immediate ameliorative effects, whereas the latter will require substantial investment in research and development to find and implement innovative technologies. However there are limits to technological solutions to sustainable development. Renewable energy technologies and low-carbon emission technologies will have material and environmental constraints with as yet undetermined consequences. In addition to technological solutions, it is important to develop needed social and political infrastructure to decrease future energy demand by controlling population growth and energy intensity. (C) 2014 Published by Elsevier B.V.</t>
  </si>
  <si>
    <t>Kansas State Univ, Dept Civil Engn, Manhattan, KS 66506 USA</t>
  </si>
  <si>
    <t>Kansas State University</t>
  </si>
  <si>
    <t>Mathews, AP (corresponding author), Kansas State Univ, Dept Civil Engn, Manhattan, KS 66506 USA.</t>
  </si>
  <si>
    <t>SARA BURGERHARTSTRAAT 25, PO BOX 211, 1000 AE AMSTERDAM, NETHERLANDS</t>
  </si>
  <si>
    <t>1877-0509</t>
  </si>
  <si>
    <t>PROCEDIA COMPUT SCI</t>
  </si>
  <si>
    <t>10.1016/j.procs.2014.05.483</t>
  </si>
  <si>
    <t>Computer Science, Artificial Intelligence; Computer Science, Hardware &amp; Architecture; Computer Science, Theory &amp; Methods; Energy &amp; Fuels</t>
  </si>
  <si>
    <t>Computer Science; Energy &amp; Fuels</t>
  </si>
  <si>
    <t>BD5LN</t>
  </si>
  <si>
    <t>WOS:000361562600090</t>
  </si>
  <si>
    <t>Liu, XJ; Lang, SN; Zhao, B; Zhang, F; Li, J; Zhou, B; Fang, GY; Cui, XB; Sun, B</t>
  </si>
  <si>
    <t>Lambot, S; Giannopoulos, A; Pajewski, L; Andre, F; Slob, E; Craeye, C</t>
  </si>
  <si>
    <t>Liu, Xiaojun; Lang, Shinan; Zhao, Bo; Zhang, Feng; Li, Jun; Zhou, Bin; Fang, Guangyou; Cui, Xiangbin; Sun, Bo</t>
  </si>
  <si>
    <t>A High-resolution Polar Ice Penetrating Radar and Experiments in the 28th Chinese National Antarctic Research Expedition</t>
  </si>
  <si>
    <t>PROCEEDINGS OF THE 2014 15TH INTERNATIONAL CONFERENCE ON GROUND PENETRATING RADAR (GPR 2014)</t>
  </si>
  <si>
    <t>15th International Conference on Ground Penetrating Radar (GPR)</t>
  </si>
  <si>
    <t>JUN 30-JUL 04, 2014</t>
  </si>
  <si>
    <t>Brussels, BELGIUM</t>
  </si>
  <si>
    <t>Polar ice penetrating radar; Ice depth sounding; Antarctica; Zhongshan station</t>
  </si>
  <si>
    <t>DEPTH SOUNDER</t>
  </si>
  <si>
    <t>Polar ice penetrating radar is one of the most important devices for polar ice depth sounding. A high resolution ice-penetrating radar is developed to measure the thickness of glacial ice and observe the internal structures and basal conditions of glaciers and ice sheets. With a transmitting frequency at 100-150 MHz, this radar provides a range resolution of about 2m and a penetrating depth about 3000m under polar ice. The radar system uses pulse compression and coherent integration techniques to obtain a high processing gain and improve the signal to noise ratio of the system. A high-speed Direct Digital Synthesizer (DDS) is applied to generate a chirp signal as an input source for the transmitter. The implementation of the digital unit is based on a piece of FPGA chip. To reduce the hardware complexity, intermediate frequency sampling is adopted to digitalize the received analog signal. The measurements were successfully implemented in the 28th Chinese National Antarctic Research Expedition (CHINARE 28, 2011112) near China Zhongshan Station.</t>
  </si>
  <si>
    <t>[Liu, Xiaojun; Lang, Shinan; Zhao, Bo; Zhang, Feng; Li, Jun; Zhou, Bin; Fang, Guangyou] Chinese Acad Sci, Inst Elect, Key Lab Electromagnet Radiat &amp; Sensing Technol, Beijing 100190, Peoples R China; [Cui, Xiangbin; Sun, Bo] Polar Res Inst China, Shanghai 200136, Peoples R China</t>
  </si>
  <si>
    <t>Chinese Academy of Sciences; Institute of Electronics, CAS; Polar Research Institute of China</t>
  </si>
  <si>
    <t>Liu, XJ (corresponding author), Chinese Acad Sci, Inst Elect, Key Lab Electromagnet Radiat &amp; Sensing Technol, Beijing 100190, Peoples R China.</t>
  </si>
  <si>
    <t>lxjdr@mail.ie.ac.cn</t>
  </si>
  <si>
    <t>Cui, Xiangbin/Y-1551-2019; bo, zhao/JRY-8300-2023; sun, bo/JFA-9978-2023</t>
  </si>
  <si>
    <t>978-1-4799-6789-6</t>
  </si>
  <si>
    <t>Engineering, Electrical &amp; Electronic; Telecommunications</t>
  </si>
  <si>
    <t>Engineering; Telecommunications</t>
  </si>
  <si>
    <t>BD4QC</t>
  </si>
  <si>
    <t>WOS:000361002500139</t>
  </si>
  <si>
    <t>McLennan, D; Leon, J; Markus, T; Neumann, T; Busch, J; Henegar-Leon, J; Flanagan, M; Richardson, C; Martino, A; Satrom, J</t>
  </si>
  <si>
    <t>Meynart, R; Neeck, SP; Shimoda, H</t>
  </si>
  <si>
    <t>McLennan, Douglas; Leon, John; Markus, Thorsten; Neumann, Thomas; Busch, James; Henegar-Leon, Joy; Flanagan, Mark; Richardson, Cathy; Martino, Anthony; Satrom, John</t>
  </si>
  <si>
    <t>ICESat-2 the benefits of collecting altimetric measurements of the Earth's surface The next-generation laser altimeter for the Earth science</t>
  </si>
  <si>
    <t>SENSORS, SYSTEMS, AND NEXT-GENERATION SATELLITES XVIII</t>
  </si>
  <si>
    <t>Proceedings of SPIE</t>
  </si>
  <si>
    <t>Conference on Sensors, Systems, and Next-Generation Satellites XVIII</t>
  </si>
  <si>
    <t>SEP 22-25, 2014</t>
  </si>
  <si>
    <t>Amsterdam, NETHERLANDS</t>
  </si>
  <si>
    <t>Cryosphere; NASA; GSFC; ICESat-2; ice sheet; sea ice; ATLAS</t>
  </si>
  <si>
    <t>Understanding the causes and magnitude of change in the cryosphere remains a priority for earth science research. Over the past decade, NASA earth observing satellites have documented a decrease in both the extent and thickness of Arctic sea ice, and ongoing loss of grounded ice from the Greenland and Antarctic ice sheets. Understanding the pace and mechanisms of these changes requires long-term observations of ice sheets, sea ice thickness and sea ice extent. In response to this need, NASA's Goddard Space Flight Center (GSFC) is developing the ICESat-2 mission, a next-generation laser altimeter designed to measure changes in ice sheet elevation, sea ice thickness, and vegetation canopy height. Scheduled for launch in late 2017 with a three year mission life, ICESat-2 will use a photon-counting micro-pulse laser altimeter, the advanced topographic laser altimeter system (ATLAS) instrument to collect these key data.</t>
  </si>
  <si>
    <t>[McLennan, Douglas; Leon, John; Markus, Thorsten; Neumann, Thomas; Busch, James; Henegar-Leon, Joy; Flanagan, Mark; Richardson, Cathy; Martino, Anthony; Satrom, John] NASA, Goddard Space Flight Ctr, ICESat Project 2, Greenbelt, MD 20771 USA</t>
  </si>
  <si>
    <t>National Aeronautics &amp; Space Administration (NASA); NASA Goddard Space Flight Center</t>
  </si>
  <si>
    <t>McLennan, D (corresponding author), NASA, Goddard Space Flight Ctr, ICESat Project 2, Greenbelt, MD 20771 USA.</t>
  </si>
  <si>
    <t>Neumann, Thomas/JLL-4672-2023</t>
  </si>
  <si>
    <t>SPIE-INT SOC OPTICAL ENGINEERING</t>
  </si>
  <si>
    <t>1000 20TH ST, PO BOX 10, BELLINGHAM, WA 98227-0010 USA</t>
  </si>
  <si>
    <t>0277-786X</t>
  </si>
  <si>
    <t>978-1-62841-304-5</t>
  </si>
  <si>
    <t>PROC SPIE</t>
  </si>
  <si>
    <t>10.1117/12.2071964</t>
  </si>
  <si>
    <t>Remote Sensing; Physics, Applied; Telecommunications</t>
  </si>
  <si>
    <t>Remote Sensing; Physics; Telecommunications</t>
  </si>
  <si>
    <t>BD4QE</t>
  </si>
  <si>
    <t>WOS:000361006200007</t>
  </si>
  <si>
    <t>Niedermeier, H; Clemens, J; Kowalski, J; Macht, S; Heinen, D; Hoffmann, R; Linder, P</t>
  </si>
  <si>
    <t>Niedermeier, H.; Clemens, J.; Kowalski, J.; Macht, S.; Heinen, D.; Hoffmann, R.; Linder, P.</t>
  </si>
  <si>
    <t>Navigation system for a research ice probe for Antarctic glaciers</t>
  </si>
  <si>
    <t>2014 IEEE/ION POSITION, LOCATION AND NAVIGATION SYMPOSIUM - PLANS 2014</t>
  </si>
  <si>
    <t>IEEE-ION Position Location and Navigation Symposium</t>
  </si>
  <si>
    <t>IEEE/ION Position, Location and Navigation Symposium (PLANS)</t>
  </si>
  <si>
    <t>MAY 05-08, 2014</t>
  </si>
  <si>
    <t>Monterey, CA</t>
  </si>
  <si>
    <t>inertial navigation; subsurface glacier navigation; dead reckoning; sensor fusion; mapping; simultanious localization and mapping (SLAM); mining; Attitude Heading Reference System (AHRS); acoustic positioning; magnetometer</t>
  </si>
  <si>
    <t>PHASED-ARRAY</t>
  </si>
  <si>
    <t>Water filled caverns and crevasses in glaciers are miraculous habitats, which can accommodate highly specialized and adapted microbes and bacteria. The challenge for scientists is to obtain a sample of this water without contaminating it with surface bacteria, as well as to protect the sample from oxygen and sun light. IceMole is a combined melting and drilling probe that can drill a bore hole with flexible trajectory under the ice and allows breaking into the crevasse from below or from the side to obtain clean and unaltered sample liquids, unlike standard drilling equipment. For this, the probe can travel distances in the ice of up to 80 m. A complex navigation system is needed to pinpoint the target. This paper focuses on the development and test of the IceMole navigation system, which enables precise probe navigation through the ice. This navigation system covers dead reckoning (DR) using inertial sensors, magnetometers and axial feed information, as well as acoustic positioning and reconnaissance, and sensor fusion. Navigation inside of glaciers is a special application of mining and borehole navigation. The special application and combination of the individual parts of the navigation suite make the project unique.</t>
  </si>
  <si>
    <t>[Niedermeier, H.] Univ Bundeswehr Munchen, Inst Space Technol &amp; Space Applicat, Neubiberg, Germany; [Clemens, J.] Univ Bremen, Cognit Neuroinformat, D-28359 Bremen, Germany; [Kowalski, J.] Aachen Univ Appl Sci, Inst Aerosp Technol, Aachen, Germany; [Macht, S.] Tech Univ Carolo Wilhelmina Braunschweig, Inst Flight Guidance, D-38106 Braunschweig, Germany; [Heinen, D.] Rhein Westfal TH Aachen, Phys Inst 3, Aachen, Germany; [Hoffmann, R.] Berg Univ Wuppertal, Dept Astroparticlephys, Wuppertal, Germany; [Linder, P.] Aachen Univ Appl Sci, Inst Bioengn IFB, Aachen, Germany</t>
  </si>
  <si>
    <t>Bundeswehr University Munich; University of Bremen; Braunschweig University of Technology; RWTH Aachen University; University of Wuppertal</t>
  </si>
  <si>
    <t>Niedermeier, H (corresponding author), Univ Bundeswehr Munchen, Inst Space Technol &amp; Space Applicat, Neubiberg, Germany.</t>
  </si>
  <si>
    <t>herbert.niedermeier@unibw.de</t>
  </si>
  <si>
    <t>Heinen, Dirk/ABF-7280-2020</t>
  </si>
  <si>
    <t>Heinen, Dirk/0000-0002-4502-7288; Kowalski, Julia/0000-0003-4123-5896; Linder, Peter/0000-0002-6775-0872</t>
  </si>
  <si>
    <t>2153-358X</t>
  </si>
  <si>
    <t>978-1-4799-3320-4</t>
  </si>
  <si>
    <t>IEEE POSITION LOCAT</t>
  </si>
  <si>
    <t>Automation &amp; Control Systems; Engineering, Electrical &amp; Electronic; Remote Sensing; Telecommunications</t>
  </si>
  <si>
    <t>Automation &amp; Control Systems; Engineering; Remote Sensing; Telecommunications</t>
  </si>
  <si>
    <t>BD2XP</t>
  </si>
  <si>
    <t>WOS:000359380700109</t>
  </si>
  <si>
    <t>Woo, J; Kim, YH; Park, TY; Lee, JI; Yoo, IS; Park, S; Choe, MY</t>
  </si>
  <si>
    <t>Rocha, R; Pais, J; Kullberg, JC; Finney, S</t>
  </si>
  <si>
    <t>Woo, Jusun; Kim, Young-Hwan; Park, Tae-Yoon; Lee, Jong Ik; Yoo, In Sung; Park, Sangbum; Choe, Moon Young</t>
  </si>
  <si>
    <t>Stratigraphy of the Lower Palaeozoic Bowers Supergroup, Northern Victoria Land, Antarctica: Preliminary Results From the 2012-2013 Korean Antarctic Geological Expedition</t>
  </si>
  <si>
    <t>STRATI 2013</t>
  </si>
  <si>
    <t>Springer Geology</t>
  </si>
  <si>
    <t>1st International Congress on Stratigraphy (STRATI)</t>
  </si>
  <si>
    <t>JUL 01-07, 2013</t>
  </si>
  <si>
    <t>Lisbon, PORTUGAL</t>
  </si>
  <si>
    <t>Antarctica; Transantarctic mountains; Northern Victoria Land; Lithostratigraphy; Ross orogeny; Provenance</t>
  </si>
  <si>
    <t>Since Korea built the first Antarctic research station on King George Island, South Shetland Islands, the Korea Polar Research Institute (KOPRI) has conducted geological projects on the island, including research on stratigraphy, petrology, geochronology, and pedology. The second Korean Antarctic research station is now being built, with its opening scheduled for March 2014, and is located on Northern Victoria Land (NVL), East Antarctica. KOPRI has started to shift its focus of geological research to the Transantarctic Mountains (TAMs), including NVL. Among many research targets, the lower Palaeozoic stratigraphy of NVL will be the first issue to tackle. The tectonics and related basin evolution of NVL, which differs from those of the main part of the TAMs, has been the core geological issue of the region. To better understand the basin evolution history, KOPRI is planning a multi-year research programme spanning such geological methods as sedimentology, palaeontology, structural geology, and petrology. As a reconnaissance study, a group of sedimentologists and palaeontologists undertook fieldwork in the Eureka Spurs, ca. 220 km northwest of the new station, during the austral summer season of 2012-2013. Here, the results of the reconnaissance and the strategy for further research are presented.</t>
  </si>
  <si>
    <t>[Woo, Jusun; Kim, Young-Hwan; Park, Tae-Yoon; Lee, Jong Ik; Yoo, In Sung; Park, Sangbum; Choe, Moon Young] Korea Polar Res Inst, Div Polar Earth Syst Sci, Inchon 406840, South Korea</t>
  </si>
  <si>
    <t>Woo, J (corresponding author), Korea Polar Res Inst, Div Polar Earth Syst Sci, Inchon 406840, South Korea.</t>
  </si>
  <si>
    <t>jusunwoo@kopri.re.kr</t>
  </si>
  <si>
    <t>Park, Tae-yoon/A-2871-2012</t>
  </si>
  <si>
    <t>SPRINGER INT PUBLISHING AG</t>
  </si>
  <si>
    <t>2197-9545</t>
  </si>
  <si>
    <t>978-3-319-04364-7; 978-3-319-04363-0</t>
  </si>
  <si>
    <t>SPR GEOL</t>
  </si>
  <si>
    <t>10.1007/978-3-319-04364-7_144</t>
  </si>
  <si>
    <t>BD2OZ</t>
  </si>
  <si>
    <t>WOS:000359019400144</t>
  </si>
  <si>
    <t>Miura, H; Okuno, J; Maemoku, H</t>
  </si>
  <si>
    <t>Miura, Hideki; Okuno, Jun'ichi; Maemoku, Hideaki</t>
  </si>
  <si>
    <t>A Well-Preserved Beach Landform and Sedimentary Structure on the East Antarctic Coast Affected by Glacial Isostatic Rebound</t>
  </si>
  <si>
    <t>Antarctic ice sheet; Glacial isostatic rebound; Relative sea level change; Raised beach</t>
  </si>
  <si>
    <t>A well-marked stepped topography is observed on a beach that faces an inner cove of the East Antarctic coast. The beach area is subject to mild wave action and glacial isostatic upheaval. The sedimentary structure suggests that the landform was formed by gradual migration of progradational processes of the upper shore-face slope in the offshore direction during the upheaval after Antarctic ice retreat.</t>
  </si>
  <si>
    <t>[Miura, Hideki] Natl Inst Polar Res, Tachikawa, Tokyo 1908518, Japan; [Okuno, Jun'ichi] Japan Agcy Marine Earth Sci &amp; Technol, Kanazawa Ku, Yokohama, Kanagawa 2360001, Japan; [Maemoku, Hideaki] Hiroshima Univ, Higashihiroshima 7398524, Japan</t>
  </si>
  <si>
    <t>Research Organization of Information &amp; Systems (ROIS); National Institute of Polar Research (NIPR) - Japan; Japan Agency for Marine-Earth Science &amp; Technology (JAMSTEC); Hiroshima University</t>
  </si>
  <si>
    <t>Miura, H (corresponding author), Natl Inst Polar Res, 1-10 Midori Chyo, Tachikawa, Tokyo 1908518, Japan.</t>
  </si>
  <si>
    <t>miura@nipr.ac.jp; okuno@jamstec.go.jp; maemoku@hiroshima-u.ac.jp</t>
  </si>
  <si>
    <t>10.1007/978-3-319-04364-7_182</t>
  </si>
  <si>
    <t>WOS:000359019400182</t>
  </si>
  <si>
    <t>Shen, C; Shi, WL; Chen, YD; Liu, KF</t>
  </si>
  <si>
    <t>Huang, C; Wang, C; Zhang, R</t>
  </si>
  <si>
    <t>Shen, Chun; Shi, Weilai; Chen, Yide; Liu, Kefeng</t>
  </si>
  <si>
    <t>Analysis on Spatial-Temporal Variation Characteristics of Antarctic Sea Ice in Recent 30 Years</t>
  </si>
  <si>
    <t>NEW PERSPECTIVES ON RISK ANALYSIS AND MANAGEMENT FOR MARINE SYSTEMS</t>
  </si>
  <si>
    <t>Advances in Intelligent Systems Research</t>
  </si>
  <si>
    <t>Chinese</t>
  </si>
  <si>
    <t>2nd Symposium on Disaster Risk Analysis and Management in Chinese Littoral Regions</t>
  </si>
  <si>
    <t>AUG 29-30, 2014</t>
  </si>
  <si>
    <t>Hainan Prov Meteorolog Bur, Haikou, PEOPLES R CHINA</t>
  </si>
  <si>
    <t>Hainan Prov Meteorolog Bur</t>
  </si>
  <si>
    <t>Antarctic; sea ice concentration; Change characteristics</t>
  </si>
  <si>
    <t>Using the 1979-2012 year Nimbus-7 and DMSP sea ice concentration data to research the Antarctic sea ice. The data has been shown to capture the seasonal cycle of Antarctic sea ice. It peaks during July and October and reaches the minimum during January and April. Sea ice is mainly concentrated in the Weddell Sea (Weddell) during summer. The sea ice in the Antarctic as a whole increased and the rising rate is 24.5x10(3)km(2)/yr. Only the sea ice in Bellingshausen Amundsen Sea (BellAm) decreased during 1979-2012. The main period of Antarctic sea ice concentration anomaly is 1 year, the main cycle of Indian Ocean (Indian) is 5.5 years and the main cycle of Ross Sea (Ross) is 11 years. The empirical orthogonal function analysis (EOF) result shows that the Antarctic sea ice concentration changes with seasonal variation characteristics of long-term trend.</t>
  </si>
  <si>
    <t>[Shen, Chun; Shi, Weilai; Chen, Yide; Liu, Kefeng] PLA Univ Sci &amp; Technol, Inst Meteorol &amp; Oceanog, Nanjing 211101, Jiangsu, Peoples R China; [Shen, Chun] Hohai Univ, Coll Harbour Coastal &amp; Offshore Engn, Nanjing 211101, Jiangsu, Peoples R China</t>
  </si>
  <si>
    <t>Army Engineering University of PLA; Hohai University</t>
  </si>
  <si>
    <t>Shen, C (corresponding author), PLA Univ Sci &amp; Technol, Inst Meteorol &amp; Oceanog, Nanjing 211101, Jiangsu, Peoples R China.</t>
  </si>
  <si>
    <t>jimmyshenchun@163.com; shiweilai@163.com; ydc7805@126.com; fengke_liu@126.com</t>
  </si>
  <si>
    <t>Shen, Chun/AAW-9955-2021</t>
  </si>
  <si>
    <t>Shen, Chun/0000-0002-6677-4784</t>
  </si>
  <si>
    <t>ATLANTIS PRESS</t>
  </si>
  <si>
    <t>PARIS</t>
  </si>
  <si>
    <t>29 AVENUE LAVMIERE, PARIS, 75019, FRANCE</t>
  </si>
  <si>
    <t>1951-6851</t>
  </si>
  <si>
    <t>978-94-62520-37-0</t>
  </si>
  <si>
    <t>ADV INTEL SYS RES</t>
  </si>
  <si>
    <t>Computer Science, Information Systems; Environmental Sciences; Environmental Studies</t>
  </si>
  <si>
    <t>Conference Proceedings Citation Index - Science (CPCI-S); Conference Proceedings Citation Index - Social Science &amp; Humanities (CPCI-SSH)</t>
  </si>
  <si>
    <t>Computer Science; Environmental Sciences &amp; Ecology</t>
  </si>
  <si>
    <t>BD2OD</t>
  </si>
  <si>
    <t>WOS:000358968600020</t>
  </si>
  <si>
    <t>von Wulfen, B; Kohn, B; Macht, S; Hecker, P; Niedermeier, H; Ameres, G; Clemens, J</t>
  </si>
  <si>
    <t>Inst Navigat</t>
  </si>
  <si>
    <t>von Wulfen, B.; Kohn, B.; Macht, S.; Hecker, P.; Niedermeier, H.; Ameres, G.; Clemens, J.</t>
  </si>
  <si>
    <t>Icemole as Platform for Magnetometer and IMU Aided Positioning w/o External Reference</t>
  </si>
  <si>
    <t>PROCEEDINGS OF THE 27TH INTERNATIONAL TECHNICAL MEETING OF THE SATELLITE DIVISION OF THE INSTITUTE OF NAVIGATION (ION GNSS 2014)</t>
  </si>
  <si>
    <t>Institute of Navigation Satellite Division Proceedings of the International Technical Meeting</t>
  </si>
  <si>
    <t>27th International Technical Meeting of the Satellite-Division of the Institute-of-Navigation (ION GNSS)</t>
  </si>
  <si>
    <t>SEP 08-12, 2014</t>
  </si>
  <si>
    <t>Tampa, FL</t>
  </si>
  <si>
    <t>ENCELADUS</t>
  </si>
  <si>
    <t>Water filled caverns and crevasses in glaciers are miraculous habitats, which can accommodate highly specialized and adapted microbes and bacteria. The challenge for scientists is to obtain a sample of this water without contaminating it with surface bacteria, as well as to protect the sample from oxygen and sunlight. To fulfill these requirements a combined melting and drilling probe called IceMole has been developed. It is a semiautomatic probe which can drill a hole into the ice with a flexible trajectory of up to 80 m. Thus, a complex navigation system is needed to pinpoint the target. Navigation inside of glaciers is sophisticated due to the special conditions of a slow motion, long mission durations and high relative accuracy requirements. The Ice Mole probe is designed as a long tube with a heated head and an ice screw at the front, and additional heated plates at the side and rear panels. Combination of a reliable navigation system and an ultrasonic environment analysis the IceMole will find its way to the sub glacial water reservoirs of Arctic, Antarctic and extraterrestrial glaciers. This paper focuses on the development of a fault-tolerant navigation system based on magnetometers, which allows precise probe navigation through the ice. This system uses inertial sensors, magnetometers and axial speed information for Dead Reckoning (DR) and sensor fusion. In addition to the built-in sensors, an ultrasonic pinger positioning system is developed to update the combined position. The DR system propagates the current probe position. The Attitude used in DR is initially determined from an inertial measurement unit (IMU) and a modified attitude and heading reference system (AHRS). Enhancement of performance and accuracy is done by a differential magnetometer system. In this setup, one magnetometer is placed inside the IceMole, the other one is placed at the glacier's surface. However, reliable magnetometer measurement takes an extensive modeling of possible disturbances. Modeling and correction algorithms yield an overall heading accuracy below 1 degrees. The difference between magnetic reference and rover magnetic field is recorded and analyzed for further research on differential magnetic navigation. The required data for testing and validating was collected at three field test campaigns which took place at Morteratsch Glacier, Switzerland and Commonwealth Glacier, East Antarctica.</t>
  </si>
  <si>
    <t>[von Wulfen, B.; Kohn, B.; Macht, S.; Hecker, P.] Tech Univ Carolo Wilhelmina Braunschweig, Inst Flight Guidance, Braunschweig, Germany; [Niedermeier, H.; Ameres, G.] Univ FAF Munich, Inst Space Technol &amp; Space Applicat, Munich, Germany; [Clemens, J.] Univ Bremen, Cognit Neuroinformat, D-28359 Bremen, Germany</t>
  </si>
  <si>
    <t>Braunschweig University of Technology; Bundeswehr University Munich; University of Bremen</t>
  </si>
  <si>
    <t>von Wulfen, B (corresponding author), Tech Univ Carolo Wilhelmina Braunschweig, Inst Flight Guidance, Braunschweig, Germany.</t>
  </si>
  <si>
    <t>Hecker, Peter/0000-0002-8807-6856</t>
  </si>
  <si>
    <t>INST NAVIGATION</t>
  </si>
  <si>
    <t>815 15TH ST NW, STE 832, WASHINGTON, DC 20005 USA</t>
  </si>
  <si>
    <t>2331-5911</t>
  </si>
  <si>
    <t>2331-5954</t>
  </si>
  <si>
    <t>I NAVIG SAT DIV INT</t>
  </si>
  <si>
    <t>BC9DO</t>
  </si>
  <si>
    <t>WOS:000356331203009</t>
  </si>
  <si>
    <t>Greenan, B; Zhai, L; Hunter, J; James, TS; Han, G</t>
  </si>
  <si>
    <t>Cudennec, C; Kravchishina, M; Lewandowski, J; Rosbjerg, D; Woodworth, P</t>
  </si>
  <si>
    <t>Greenan, B.; Zhai, L.; Hunter, J.; James, T. S.; Han, G.</t>
  </si>
  <si>
    <t>Estimating sea-level allowances for Atlantic Canada under conditions of uncertain sea-level rise</t>
  </si>
  <si>
    <t>COMPLEX INTERFACES UNDER CHANGE: SEA - RIVER - GROUNDWATER - LAKE</t>
  </si>
  <si>
    <t>IAHS Publication</t>
  </si>
  <si>
    <t>Symp HP2: Land-Ocean Interaction - Hydrodynamics and Biogeochemistry, and HP3: Implications of Sea Level Change for the Coastal Zone / IAHS-IAPSO-IASPEI Assembly</t>
  </si>
  <si>
    <t>JUL 22-26, 2013</t>
  </si>
  <si>
    <t>Gothenburg, SWEDEN</t>
  </si>
  <si>
    <t>sea-level rise; allowances; IPCC; Atlantic Canada; tide gauge</t>
  </si>
  <si>
    <t>This paper documents the methodology of computing sea-level rise allowances for Atlantic Canada in the 21st century under conditions of uncertain sea-level rise. The sea-level rise allowances are defined as the amount by which an asset needs to be raised in order to maintain the same likelihood of future flooding events as that site has experienced in the recent past. The allowances are determined by combination of the statistics of present tides and storm surges (storm tides) and the regional projections of sea-level rise and associated uncertainty. Tide-gauge data for nine sites from the Canadian Atlantic coast are used to derive the scale parameters of present sea-level extremes using the Gumbel distribution function. The allowances in the 21st century, with respect to the year 1990, were computed for the Intergovernmental Panel on Climate Change (IPCC) AIFI emission scenario. For Atlantic Canada, the allowances are regionally variable and, for the period 1990-2050, range between 13 and 38 cm while, for the period 1990 2100, they range between 7 and 108 cm. The negative allowances in the northern Gulf of St. Lawrence region are caused by land uplift due to glacial isostatic adjustment (GIA).</t>
  </si>
  <si>
    <t>[Greenan, B.; Zhai, L.] Fisheries &amp; Oceans Canada, Bedford Inst Oceanog, Aiyansh, BC, Canada; [Hunter, J.] Antarctic Climate &amp; Ecosyst Cooperat Res Ctr, Hobart, Tas, Australia; [James, T. S.] Geol Survey Canada, Nat Resources Canada, Pacific Div, Ottawa, ON, Canada; [James, T. S.] Univ Victoria, Sch Earth &amp; Ocean Sci, Victoria, BC V8W 2Y2, Canada; [Han, G.] Fisheries &amp; Oceans Canada, Northwest Atlantic Fisheries Ctr, Aiyansh, BC, Canada</t>
  </si>
  <si>
    <t>Bedford Institute of Oceanography; Fisheries &amp; Oceans Canada; Antarctic Climate &amp; Ecosystems Cooperative Research Centre (ACE CRC); Natural Resources Canada; Lands &amp; Minerals Sector - Natural Resources Canada; Geological Survey of Canada; University of Victoria; Fisheries &amp; Oceans Canada</t>
  </si>
  <si>
    <t>Greenan, B (corresponding author), Fisheries &amp; Oceans Canada, Bedford Inst Oceanog, Aiyansh, BC, Canada.</t>
  </si>
  <si>
    <t>blair.greenan@dfo-mpo.gc.ca; li.zhai@dfo-mpo.gc.ca</t>
  </si>
  <si>
    <t>James, Thomas/D-9301-2013; Han, Guoqi/T-7365-2019; Greenan, Blair/JAD-0075-2023</t>
  </si>
  <si>
    <t>James, Thomas/0000-0001-7321-047X;</t>
  </si>
  <si>
    <t>INT ASSOC HYDROLOGICAL SCIENCES</t>
  </si>
  <si>
    <t>WALLINGFORD</t>
  </si>
  <si>
    <t>INST OF HYDROLOGY, WALLINGFORD OX10 8BB, ENGLAND</t>
  </si>
  <si>
    <t>0144-7815</t>
  </si>
  <si>
    <t>978-1-907161-43-8</t>
  </si>
  <si>
    <t>IAHS-AISH P</t>
  </si>
  <si>
    <t>Geosciences, Multidisciplinary; Water Resources</t>
  </si>
  <si>
    <t>Geology; Water Resources</t>
  </si>
  <si>
    <t>BD0IR</t>
  </si>
  <si>
    <t>WOS:000357221900004</t>
  </si>
  <si>
    <t>Clauer, CR; Kim, H; Deshpande, K; Xu, Z; Weimer, D; Musko, S; Crowley, G; Fish, C; Nealy, R; Humphreys, TE; Bhatti, JA; Ridley, AJ</t>
  </si>
  <si>
    <t>Clauer, C. R.; Kim, H.; Deshpande, K.; Xu, Z.; Weimer, D.; Musko, S.; Crowley, G.; Fish, C.; Nealy, R.; Humphreys, T. E.; Bhatti, J. A.; Ridley, A. J.</t>
  </si>
  <si>
    <t>An autonomous adaptive low-power instrument platform (AAL-PIP) for remote high-latitude geospace data collection</t>
  </si>
  <si>
    <t>GEOSCIENTIFIC INSTRUMENTATION METHODS AND DATA SYSTEMS</t>
  </si>
  <si>
    <t>SCINTILLATION; RECEIVER; STORM</t>
  </si>
  <si>
    <t>We present the development considerations and design for ground-based instrumentation that is being deployed on the East Antarctic Plateau along a 40 degrees magnetic meridian chain to investigate interhemispheric magnetically conjugate geomagnetic coupling and other space-weather-related phenomena. The stations are magnetically conjugate to geomagnetic stations along the west coast of Greenland. The autonomous adaptive low-power instrument platforms being deployed in the Antarctic are designed to operate unattended in remote locations for at least 5 years. They utilize solar power and AGM storage batteries for power, two-way Iridium satellite communication for data acquisition and program/operation modification, support fluxgate and induction magnetometers as well as a dual-frequency GPS receiver and a high-frequency (HF) radio experiment. Size and weight considerations are considered to enable deployment by a small team using small aircraft. Considerable experience has been gained in the development and deployment of remote polar instrumentation that is reflected in the present generation of instrumentation discussed here. We conclude with the lessons learned from our experience in the design, deployment and operation of remote polar instrumentation.</t>
  </si>
  <si>
    <t>[Clauer, C. R.; Kim, H.; Deshpande, K.; Xu, Z.; Weimer, D.] Virginia Polytech Inst &amp; State Univ, Ctr Space Sci Engn &amp; Res, Blacksburg, VA 24061 USA; [Musko, S.; Ridley, A. J.] Univ Michigan, Space Phys Res Lab, Ann Arbor, MI 48109 USA; [Crowley, G.] Atmospher &amp; Space Technol Res Associates, Boulder, CO USA; [Fish, C.] Utah State Univ, Space Dynam Lab, Logan, UT 84322 USA; [Clauer, C. R.; Kim, H.; Deshpande, K.; Xu, Z.; Weimer, D.; Nealy, R.] Virginia Polytech Inst &amp; State Univ, Bradley Dept Elect &amp; Comp Engn, Blacksburg, VA 24061 USA; [Humphreys, T. E.; Bhatti, J. A.] Univ Texas Austin, Dept Aerosp Engn &amp; Engn Mech, Austin, TX 78712 USA</t>
  </si>
  <si>
    <t>Virginia Polytechnic Institute &amp; State University; University of Michigan System; University of Michigan; Utah System of Higher Education; Utah State University; Virginia Polytechnic Institute &amp; State University; University of Texas System; University of Texas Austin</t>
  </si>
  <si>
    <t>Clauer, CR (corresponding author), Virginia Polytech Inst &amp; State Univ, Ctr Space Sci Engn &amp; Res, Blacksburg, VA 24061 USA.</t>
  </si>
  <si>
    <t>rclauer@vt.edu</t>
  </si>
  <si>
    <t>Weimer, Daniel/AAI-7577-2020; Ridley, Aaron J/F-3943-2011; Humphreys, Todd Edwin/AAW-7673-2020</t>
  </si>
  <si>
    <t>Weimer, Daniel/0000-0003-1264-3612; Humphreys, Todd Edwin/0000-0003-0749-6988; Xu, Zhonghua/0000-0002-3800-2162</t>
  </si>
  <si>
    <t>National Science Foundation [ATM-922979, ANT-08398585, PLR-1243398]; NSF [ANT-0838861, PLR-1243225]; Directorate For Geosciences; Office of Polar Programs (OPP) [1243398] Funding Source: National Science Foundation</t>
  </si>
  <si>
    <t>National Science Foundation(National Science Foundation (NSF)); NSF(National Science Foundation (NSF)); Directorate For Geosciences; Office of Polar Programs (OPP)(National Science Foundation (NSF)NSF - Directorate for Geosciences (GEO))</t>
  </si>
  <si>
    <t>Support for the development and testing of this system has been provided through Major Research Infrastructure (MRI) Grant ATM-922979 to Virginia Tech from the National Science Foundation. Additional support has been provided by the National Science Foundation for the operation and scientific investigation of data from the deployed AAL-PIP stations along the Antarctic 40 degrees magnetic meridian by grants ANT-08398585 and PLR-1243398. Support at the University of Michigan has been provided by NSF grant ANT-0838861 and support at ASTRA has been provided by NSF grant PLR-1243225.</t>
  </si>
  <si>
    <t>2193-0856</t>
  </si>
  <si>
    <t>2193-0864</t>
  </si>
  <si>
    <t>GEOSCI INSTRUM METH</t>
  </si>
  <si>
    <t>Geosci. Instrum. Methods Data Syst.</t>
  </si>
  <si>
    <t>10.5194/gi-3-211-2014</t>
  </si>
  <si>
    <t>Geosciences, Multidisciplinary; Meteorology &amp; Atmospheric Sciences</t>
  </si>
  <si>
    <t>Geology; Meteorology &amp; Atmospheric Sciences</t>
  </si>
  <si>
    <t>CL9GY</t>
  </si>
  <si>
    <t>Green Submitted, gold</t>
  </si>
  <si>
    <t>WOS:000357286600010</t>
  </si>
  <si>
    <t>Downing, A; Peacock, R; Ramsay, H</t>
  </si>
  <si>
    <t>Downing, Alison; Peacock, Ross; Ramsay, Helen</t>
  </si>
  <si>
    <t>Some new and noteworthy bryophytes from Antarctic Beech (Nothofagus moorei) forests of north-eastern New South Wales</t>
  </si>
  <si>
    <t>TELOPEA</t>
  </si>
  <si>
    <t>Bryophytes (mosses, liverworts, hornworts) are an abundant and conspicuous component of the World Heritage Gondwana Rainforests of Australia which comprise several discontinuous areas of subtropical forests and woodland along the Great Escarpment of north-eastern New South Wales and south-eastern Queensland. The Gondwana Rainforests are considered to be of exceptionally high conservation value, with more than 200 rare or threatened plant and animal species but, surprisingly, no mention is made of bryophytes in the statement of outstanding universal values. Recent studies in Werrikimbe and Willi Willi National Parks using bryophytes as fine-scale indicators of rainforest condition, have identified a number of unusual and interesting bryophytes including the moss Rosulabryum epiphyticum (Bryaceae), Leptodontium viticulosoides, (Pottiaceae) and several endemic species of Macromitrium (Orthotrichaceae) The moss Fissidens thorsbornei (synonym: Nanobryum thorsbornei) (Fissidentaceae) and the liverwort Lejeunea gracilipes (Lejeuneaceae), are reported as new records for New South Wales.</t>
  </si>
  <si>
    <t>[Downing, Alison; Peacock, Ross; Ramsay, Helen] Macquarie Univ, Dept Biol Sci, N Ryde, NSW 2109, Australia; [Ramsay, Helen] Natl Herbarium New South Wales, Sydney, NSW 2000, Australia</t>
  </si>
  <si>
    <t>Macquarie University</t>
  </si>
  <si>
    <t>Downing, A (corresponding author), Macquarie Univ, Dept Biol Sci, N Ryde, NSW 2109, Australia.</t>
  </si>
  <si>
    <t>alison.downing@mq.edu.au</t>
  </si>
  <si>
    <t>Peacock, Ross/B-5598-2014</t>
  </si>
  <si>
    <t>Peacock, Ross/0000-0003-1336-0569</t>
  </si>
  <si>
    <t>NATL HERBARIUM NEW SOUTH WALES</t>
  </si>
  <si>
    <t>MOUNT ANNAN</t>
  </si>
  <si>
    <t>AUSTRALIAN BOTANIC GARDEN, MOUNT ANNAN DR, MOUNT ANNAN, NSW 2567, AUSTRALIA</t>
  </si>
  <si>
    <t>0312-9764</t>
  </si>
  <si>
    <t>2200-4025</t>
  </si>
  <si>
    <t>Telopea</t>
  </si>
  <si>
    <t>10.7751/telopea20147788</t>
  </si>
  <si>
    <t>CL2IG</t>
  </si>
  <si>
    <t>WOS:000356766300018</t>
  </si>
  <si>
    <t>S</t>
  </si>
  <si>
    <t>Heine, K; Rust, U; Hilgers, A</t>
  </si>
  <si>
    <t>Runge, J</t>
  </si>
  <si>
    <t>Heine, Klaus; Rust, Uwe; Hilgers, Alexandra</t>
  </si>
  <si>
    <t>Why 'Younger Dryas'? Why not 'Antarctic Cold Reversal'? Eksteenfontein revisited</t>
  </si>
  <si>
    <t>NEW STUDIES ON FORMER AND RECENT LANDSCAPE CHANGES IN AFRICA</t>
  </si>
  <si>
    <t>Palaeoecology of Africa</t>
  </si>
  <si>
    <t>SOUTH-AFRICA; SOUTHWESTERN AFRICA; LATE PLEISTOCENE; TEMPERATURE VARIABILITY; OCEAN TEMPERATURE; CLIMATE CHANGES; GLACIAL STAGE; WIND-STRENGTH; ARABIAN SEA; GRAIN-SIZE</t>
  </si>
  <si>
    <t>The presence or the absence of the geographic extent and magnitude of the Younger Dryas (YD) event, a circum-North Atlantic cooling c. 12,800-11,700 years ago, in the Southern Hemisphere has been disputed for many decades. The Eksteenfontein pollen section in the winter-rain realm of the Northern Cape, South Africa, covers the late-glacial/Holocene transition and was assumed to represent the YD event. Some new AMS C-14 and OSL ages support the age of the Eksteenfontein site. However, the re-evaluation makes clear that the lower part of the section represents the Antarctic Cold Reversal (ACR, c. 14,700-12,700 ka BP) that preceded the YD event. The YD cannot be traced. These findings corroborate the absence of the YD in the Southern Hemisphere and support the conclusion that, in the past, late-glacial cooling phases of the Southern Hemisphere caused by the ACR were confused with the YD event.</t>
  </si>
  <si>
    <t>[Heine, Klaus] Univ Regensburg, Philosoph Fak 1, D-93053 Regensburg, Germany; [Rust, Uwe] Univ Munich, Inst Geog, Munich, Germany; [Hilgers, Alexandra] Univ Cologne, Inst Geog, D-50674 Cologne, Germany</t>
  </si>
  <si>
    <t>University of Regensburg; University of Munich; University of Cologne</t>
  </si>
  <si>
    <t>Heine, K (corresponding author), Univ Regensburg, Philosoph Fak 1, D-93053 Regensburg, Germany.</t>
  </si>
  <si>
    <t>klaus.heine@geographie.uni-regensburg.de; a.hilgers@uni-koeln.de</t>
  </si>
  <si>
    <t>2372-5907</t>
  </si>
  <si>
    <t>978-1-315-81505-3; 978-1-138-00116-9</t>
  </si>
  <si>
    <t>PALAEOECO A</t>
  </si>
  <si>
    <t>Palaeoecol. Afr.</t>
  </si>
  <si>
    <t>BC8OH</t>
  </si>
  <si>
    <t>WOS:000355935900008</t>
  </si>
  <si>
    <t>Hughes, KA; Convey, P</t>
  </si>
  <si>
    <t>Ziska, LH; Dukes, JS</t>
  </si>
  <si>
    <t>Hughes, Kevin A.; Convey, Peter</t>
  </si>
  <si>
    <t>Non-native Species in Antarctic Terrestrial Environments: The Impacts of Climate Change and Human Activity</t>
  </si>
  <si>
    <t>INVASIVE SPECIES AND GLOBAL CLIMATE CHANGE</t>
  </si>
  <si>
    <t>CABI Invasives Series</t>
  </si>
  <si>
    <t>MARITIME ANTARCTICA; ERETMOPTERA-MURPHYI; ARGENTINE ISLANDS; VASCULAR PLANTS; ECOSYSTEMS; MICROORGANISMS; HISTORY; CONSERVATION; DIPTERA; LIFE</t>
  </si>
  <si>
    <t>Antarctic terrestrial biodiversity is simple compared to other regions of the Earth, with many higher taxonomic groups not represented, due to the continent's isolation, the severe climatic conditions and the relative scarcity of suitable habitats. So far, Antarctic biodiversity has been little affected by non-native species introductions, due to (i) the late arrival of humans on the continent (c.1820), (ii) the overall low intensity of human activity and (iii) the concentration of most of that activity around a limited number of research stations and tourist sites, such as exist onthe Antarctic Peninsula. However, human activity is increasing, and Antarctica is increasingly vulnerable to the human-mediated importation of non-native species and the redistribution of indigenous Antarctic species. While the Antarctic Peninsula is one of the most rapidly warming regions on the planet, the Antarctic continent has, so far, experienced relatively little climatic change, but this is expected to change over the next century. Consequently, terrestrial communities are increasingly vulnerable, as climate change increases the risk of non-native species establishment and dispersal. This chapter describes non-native species in Antarctica that have already become established. Also described are the eradications that have been attempted and the practicality of minimizing microbial introductions. Finally, the chapter discusses recent policy developments relating to non-native species and suggests that more needs to be done by the Antarctic Treaty Parties to implement biosecurity practices and eradicate existing non-native colonists, before fragile Antarctic communities are changed irreversibly.</t>
  </si>
  <si>
    <t>[Hughes, Kevin A.; Convey, Peter] British Antarctic Survey, NERC, Cambridge CB3 0ET, England</t>
  </si>
  <si>
    <t>Hughes, KA (corresponding author), British Antarctic Survey, NERC, Madingley Rd, Cambridge CB3 0ET, England.</t>
  </si>
  <si>
    <t>kehu@bas.ac.uk; pcon@bas.ac.uk</t>
  </si>
  <si>
    <t>Hughes, Kevin/JVZ-0793-2024; Convey, Peter/AAV-5728-2020</t>
  </si>
  <si>
    <t>CABI PUBLISHING-C A B INT</t>
  </si>
  <si>
    <t>CABI PUBLISHING, WALLINGFORD 0X10 8DE, OXON, ENGLAND</t>
  </si>
  <si>
    <t>978-1-78064-164-5</t>
  </si>
  <si>
    <t>CABI INVASIVE SER</t>
  </si>
  <si>
    <t>10.1079/9781780641645.0000</t>
  </si>
  <si>
    <t>BC8DX</t>
  </si>
  <si>
    <t>WOS:000355559800007</t>
  </si>
  <si>
    <t>Du, FJ; Zhang, J; Wen, HK</t>
  </si>
  <si>
    <t>Navarro, R; Cunningham, CR; Barto, AA</t>
  </si>
  <si>
    <t>Du Fu-Jia; Zhang Jian; Wen Hai-Kun</t>
  </si>
  <si>
    <t>Analysis, testing and control of telescope's high-precision drive system in low-temperature environment</t>
  </si>
  <si>
    <t>ADVANCES IN OPTICAL AND MECHANICAL TECHNOLOGIES FOR TELESCOPES AND INSTRUMENTATION</t>
  </si>
  <si>
    <t>Conference on Advances in Optical and Mechanical Technologies for Telescopes and Instrumentation</t>
  </si>
  <si>
    <t>JUN 23-27, 2014</t>
  </si>
  <si>
    <t>Montreal, CANADA</t>
  </si>
  <si>
    <t>Low temperature environment; Lubricating; Precision driving; Friction feedforward</t>
  </si>
  <si>
    <t>Antarctic is perfect site for astronomic observatory. But Antarctic also challenge the telescope design because of low temperature. The low temperature can impact characterization of telescope control system, especially for drive system. The following phenomenon can be produced due to low temperature. 1. The viscosity of grease will increase. 2. The clearance of bearing and gear will decrease. These two factors can lead to the increase in load torque of drive system with temperature drop. This would cause the bad tracking accuracy and low speed creeping. In order to overcome the impact of low temperature and improve the telescope's track accuracy. In this paper, we describe some methods to overcome the effect of low temperature. First, the motor's electromagnetism and lubrication in low temperature are analyzed. It shows that motor's electromagnetism is little affected by temperature if the suitable material is selected. But the characterization of grease change dramatically with temperature. Second, the other lubricant material, solid lubricant, instead of lubricating grease is proposed. Contrasting experiment on two lubricant material proved that the solid lubricant is better than lubricating grease in low temperature environment. Third, besides the mechanical solution, a method from control point view is proposed to reduce the temperature influence. In this paper, the friction feedforward algorithm is used to compensate the torque change. Laboratory testing results will be presented verifying that friction feedforward can increase the tracking accuracy in low temperature environment.</t>
  </si>
  <si>
    <t>[Du Fu-Jia; Zhang Jian; Wen Hai-Kun] Chinese Acad Sci, Natl Astron Observ, Nanjing Inst Astron Opt &amp; Technol, Nanjing 210042, Jiangsu, Peoples R China; [Du Fu-Jia; Zhang Jian; Wen Hai-Kun] Chinese Acad Sci, Nanjing Inst Astron Opt &amp; Technol, Key Lab Astron Opt &amp; Technol, Nanjing 210042, Jiangsu, Peoples R China; [Zhang Jian; Wen Hai-Kun] Univ Chinese Acad Sci, Beijing 100049, Peoples R China</t>
  </si>
  <si>
    <t>Chinese Academy of Sciences; National Astronomical Observatory, CAS; Nanjing Institute of Astronomical Optics &amp; Technology, NAOC, CAS; Chinese Academy of Sciences; Nanjing Institute of Astronomical Optics &amp; Technology, NAOC, CAS; Chinese Academy of Sciences; University of Chinese Academy of Sciences, CAS</t>
  </si>
  <si>
    <t>Du, FJ (corresponding author), Chinese Acad Sci, Natl Astron Observ, Nanjing Inst Astron Opt &amp; Technol, Nanjing 210042, Jiangsu, Peoples R China.</t>
  </si>
  <si>
    <t>fjdu@niaot.ac.cn</t>
  </si>
  <si>
    <t>978-0-8194-9619-5</t>
  </si>
  <si>
    <t>91513B</t>
  </si>
  <si>
    <t>10.1117/12.2054422</t>
  </si>
  <si>
    <t>Astronomy &amp; Astrophysics; Instruments &amp; Instrumentation; Optics</t>
  </si>
  <si>
    <t>BC6WJ</t>
  </si>
  <si>
    <t>WOS:000354525500098</t>
  </si>
  <si>
    <t>Han, XL; Gu, BZ; Ye, Y</t>
  </si>
  <si>
    <t>Han, Xiaolong; Gu, Bozhong; Ye, Yu</t>
  </si>
  <si>
    <t>The design of the force actuator used in extreme low temperature environment</t>
  </si>
  <si>
    <t>force actuator; active support; passive support; low temperature environment; Piezoelectric ceramic</t>
  </si>
  <si>
    <t>The existing force actuators cannot work properly in the Antarctic under the condition of low temperature. In this paper, a new design scheme of force actuator is put forward. Combined with the actual situation and the requirement of thin mirror active optical experiment system, we design the force actuator structure which combined the active support and passive support, and use a s-shaped load-cell to realize the force feedback controlling. Passive support part is responsible for the adjustment of large travel with low precision, and active support part driven by PZT is responsible for the adjustment with high accuracy. Finally, test was carried out through the open loop and closed loop experiment in low temperature environment. The experimental results show that: The force actuator's output force is 120 similar to 280N, the accuracy is better than 0.05 N, meeting the requirement for the high precision under low temperature. The new kind of force actuator can be applied to the active optical support system in the Antarctic, and at the same time can also be applied to other structures of precision adjustment.</t>
  </si>
  <si>
    <t>[Gu, Bozhong; Ye, Yu] Chinese Acad Sci, Nanjing Inst Astron Opt &amp; Technol, Natl Astron Observ, Nanjing 210042, Jiangsu, Peoples R China; [Gu, Bozhong; Ye, Yu] Chinese Acad Sci, Nanjing Inst Astron Opt &amp; Technol, Key Lab Astron Opt &amp; Technol, Nanjing 210042, Jiangsu, Peoples R China; [Han, Xiaolong] Univ Chinese Acad Sci, Beijing 100049, Peoples R China</t>
  </si>
  <si>
    <t>Chinese Academy of Sciences; Nanjing Institute of Astronomical Optics &amp; Technology, NAOC, CAS; National Astronomical Observatory, CAS; Chinese Academy of Sciences; Nanjing Institute of Astronomical Optics &amp; Technology, NAOC, CAS; Chinese Academy of Sciences; University of Chinese Academy of Sciences, CAS</t>
  </si>
  <si>
    <t>Han, XL (corresponding author), Univ Chinese Acad Sci, Beijing 100049, Peoples R China.</t>
  </si>
  <si>
    <t>10.1117/12.2055461</t>
  </si>
  <si>
    <t>WOS:000354525500068</t>
  </si>
  <si>
    <t>Zhang, J; Du, FJ</t>
  </si>
  <si>
    <t>Zhang Jian; Du Fujia</t>
  </si>
  <si>
    <t>The Servo Control System of KDUST Telescope</t>
  </si>
  <si>
    <t>KDUST; servo control; high-precision control; expert PID; cryogenic; low-speed</t>
  </si>
  <si>
    <t>The KDUST telescope would be installed in Antarctic Dome A, where is extremely cold, high, dry, but have a very stable, calm atmosphere for astronomical observation. According to project requirement, the position following error should be less than 1''. To achieve project target, a direct drive method is used in the project. Normal PID control algorithm is used in controller. It can meet the target in the room temperature. But the following error increased too significantly in the cryogenic environment. In this paper, the expert PID algorithm is applied to control system. The control parameter can be adjusted by amplitude and variation of following error. Experiment proved that expert PID has an obvious advantage in both start-up and tracking process under different temperature. Moreover expert PID also can improve the stability of whole system.</t>
  </si>
  <si>
    <t>[Zhang Jian; Du Fujia] Chinese Acad Sci, Nanjing Inst Astron Opt &amp; Technol, Natl Astron Observ, Nanjing 210042, Jiangsu, Peoples R China</t>
  </si>
  <si>
    <t>Chinese Academy of Sciences; National Astronomical Observatory, CAS; Nanjing Institute of Astronomical Optics &amp; Technology, NAOC, CAS</t>
  </si>
  <si>
    <t>Zhang, J (corresponding author), Chinese Acad Sci, Nanjing Inst Astron Opt &amp; Technol, Natl Astron Observ, Nanjing 210042, Jiangsu, Peoples R China.</t>
  </si>
  <si>
    <t>91513J</t>
  </si>
  <si>
    <t>10.1117/12.2055303</t>
  </si>
  <si>
    <t>WOS:000354525500106</t>
  </si>
  <si>
    <t>Pulido, J; da Silva, RD; Sumner, D; Pedrini, H; Hamann, B</t>
  </si>
  <si>
    <t>Bebis, G; Boyle, R; Parvin, B; Koracin, D; McMahan, R; Jerald, J; Zhang, H; Drucker, SM; Kambhamettu, C; ElChoubassi, M; Deng, Z; Carlson, M</t>
  </si>
  <si>
    <t>Pulido, Jesus; da Silva, Ricardo Dutra; Sumner, Dawn; Pedrini, Helio; Hamann, Bernd</t>
  </si>
  <si>
    <t>Constructing Point Clouds from Underwater Stereo Movies</t>
  </si>
  <si>
    <t>ADVANCES IN VISUAL COMPUTING (ISVC 2014), PT 1</t>
  </si>
  <si>
    <t>Lecture Notes in Computer Science</t>
  </si>
  <si>
    <t>10th International Symposium on Visual Computing (ISVC)</t>
  </si>
  <si>
    <t>DEC 08-10, 2014</t>
  </si>
  <si>
    <t>Las Vegas, NV</t>
  </si>
  <si>
    <t>ENVIRONMENTAL-CHANGE; MODEL</t>
  </si>
  <si>
    <t>Processing images of underwater environments of Antarctic lakes is challenging due to poor lighting conditions, low saturation and noise. This paper presents a novel pipeline for dense point cloud scene reconstruction from underwater stereo images and video obtained with low-cost consumer recording hardware. Features in stereo frames are selected and matched at high density. Putative matches are triangulated to produce point clouds in 3D space. Temporal feature tracking is performed to produce and merge point clouds. We demonstrate that this framework produces dense and accurate reconstructions for several tests.</t>
  </si>
  <si>
    <t>[Pulido, Jesus; Hamann, Bernd] Univ Calif Davis, Inst Data Anal &amp; Visualizat, Davis, CA 95616 USA; [da Silva, Ricardo Dutra] Fed Univ Technol, Dept Informat, BR-80230901 Curitiba, PR, Brazil; [Sumner, Dawn] Univ Calif Davis, Dept Earth &amp; Planetary Sci, Davis, CA 95616 USA; [Pedrini, Helio] Univ Estadual Campinas, Inst Comp, BR-13083852 Campinas, SP, Brazil</t>
  </si>
  <si>
    <t>University of California System; University of California Davis; Universidade Tecnologica Federal do Parana; University of California System; University of California Davis; Universidade Estadual de Campinas</t>
  </si>
  <si>
    <t>Pulido, J (corresponding author), Univ Calif Davis, Inst Data Anal &amp; Visualizat, Davis, CA 95616 USA.</t>
  </si>
  <si>
    <t>Pedrini, Helio/A-7556-2012; SILVA, EDUARDO/IQS-1403-2023; da Silva, Ricardo Dutra/AAS-9618-2020; Sumner, Dawn/E-8744-2011</t>
  </si>
  <si>
    <t>Sumner, Dawn/0000-0002-7343-2061</t>
  </si>
  <si>
    <t>0302-9743</t>
  </si>
  <si>
    <t>1611-3349</t>
  </si>
  <si>
    <t>978-3-319-14249-4; 978-3-319-14248-7</t>
  </si>
  <si>
    <t>LECT NOTES COMPUT SC</t>
  </si>
  <si>
    <t>Computer Science, Artificial Intelligence; Computer Science, Theory &amp; Methods; Imaging Science &amp; Photographic Technology</t>
  </si>
  <si>
    <t>Computer Science; Imaging Science &amp; Photographic Technology</t>
  </si>
  <si>
    <t>BC6ZR</t>
  </si>
  <si>
    <t>WOS:000354694000040</t>
  </si>
  <si>
    <t>Galitzki, N; Ade, PAR; Angilè, FE; Benton, SJ; Devlin, MJ; Dober, B; Fissel, LM; Fukui, Y; Gandilo, NN; Klein, J; Korotkov, AL; Matthews, TG; Moncelsi, L; Netterfield, CB; Novak, G; Nutter, D; Pascale, E; Poidevin, F; Savini, G; Scott, D; Shariff, JA; Soler, JD; Tucker, CE; Tucker, GS; Ward-Thompson, D</t>
  </si>
  <si>
    <t>Stepp, LM; Gilmozzi, R; Hall, HJ</t>
  </si>
  <si>
    <t>Galitzki, N.; Ade, P. A. R.; Angile, F. E.; Benton, S. J.; Devlin, M. J.; Dober, B.; Fissel, L. M.; Fukui, Y.; Gandilo, N. N.; Klein, J.; Korotkov, A. L.; Matthews, T. G.; Moncelsi, L.; Netterfield, C. B.; Novak, G.; Nutter, D.; Pascale, E.; Poidevin, F.; Savini, G.; Scott, D.; Shariff, J. A.; Soler, J. D.; Tucker, C. E.; Tucker, G. S.; Ward-Thompson, D.</t>
  </si>
  <si>
    <t>The Balloon-borne Large Aperture Submillimeter Telescope for Polarimetry-BLASTPol: Performance and results from the 2012 Antarctic flight</t>
  </si>
  <si>
    <t>GROUND-BASED AND AIRBORNE TELESCOPES V</t>
  </si>
  <si>
    <t>Conference on Ground-Based and Airborne Telescopes V</t>
  </si>
  <si>
    <t>JUN 22-27, 2014</t>
  </si>
  <si>
    <t>balloons; submillimeter; telescopes; star formation; polarization; dust emission</t>
  </si>
  <si>
    <t>STAR-FORMATION; BOLOMETER ARRAYS; PRESTELLAR CORES; MAGNETIC-FIELDS; MASS FUNCTION; GALAXIES; SPIRE; CLOUDS; HALF</t>
  </si>
  <si>
    <t>The Balloon-borne Large Aperture Submillimeter Telescope for Polarimetry (BLASTPol) is a suborbital mapping experiment, designed to study the role played by magnetic fields in the star formation process. BLASTPol observes polarized light using a total power instrument, photolithographic polarizing grids, and an achromatic half-wave plate to modulate the polarization signal. During its second flight from Antarctica in December 2012, BLASTPol made degree scale maps of linearly polarized dust emission from molecular clouds in three wavebands, centered at 250, 350, and 500 mu m. The instrumental performance was an improvement over the 2010 BLASTPol flight, with decreased systematics resulting in a higher number of confirmed polarization vectors. The resultant dataset allows BLASTPol to trace magnetic fields in star-forming regions at scales ranging from cores to entire molecular cloud complexes.</t>
  </si>
  <si>
    <t>[Galitzki, N.; Angile, F. E.; Devlin, M. J.; Dober, B.; Klein, J.] Univ Penn, Dept Phys &amp; Astron, Philadelphia, PA 19104 USA; [Ade, P. A. R.; Nutter, D.; Pascale, E.; Tucker, C. E.] Cardiff Univ, Sch Phys &amp; Astron, Cardiff CF24 3AA, S Glam, Wales; [Benton, S. J.; Fissel, L. M.; Gandilo, N. N.; Netterfield, C. B.; Shariff, J. A.; Soler, J. D.] Univ Toronto, Dept Astron &amp; Astrophys, Toronto, ON M5S 3H4, Canada; [Fissel, L. M.; Scott, D.] Northwestern Univ, Ctr Interdisciplinary Explorat &amp; Res Astrophys, Evanston, IL 60208 USA; [Fukui, Y.] Nagoya Univ, Grad Sch Sci, Nagoya, Aichi 4648602, Japan; [Korotkov, A. L.; Tucker, G. S.] Brown Univ, Dept Phys, Providence, RI 02912 USA; [Matthews, T. G.; Novak, G.] Northwestern Univ, Dept Phys &amp; Astron, Evanston, IL 60208 USA; [Moncelsi, L.] CALTECH, Pasadena, CA 91125 USA; [Netterfield, C. B.] Univ Toronto, Dept Phys, Toronto, ON M5S 1A7, Canada; [Netterfield, C. B.] Canadian Inst Adv Res, Toronto, ON M5G 1Z8, Canada; [Poidevin, F.] Inst Astrofis Canarias, E-38200 Tenerife, Spain; [Poidevin, F.] Univ La Laguna, Dept Astrofis, E-38206 Tenerife, Spain; [Savini, G.] UCL, Dept Phys &amp; Astron, London WC1E 6BT, England; [Soler, J. D.] Inst Astrophys Spatiale, F-91405 Orsay, France; [Ward-Thompson, D.] Univ Cent Lancashire, Jeremiah Horrocks Inst, Preston PR1 2HE, Lancs, England</t>
  </si>
  <si>
    <t>University of Pennsylvania; Cardiff University; University of Toronto; Northwestern University; Nagoya University; Brown University; Northwestern University; California Institute of Technology; University of Toronto; Canadian Institute for Advanced Research (CIFAR); Instituto de Astrofisica de Canarias; Universidad de la Laguna; University of London; University College London; Sorbonne Universite; Universite Paris Saclay; University of Central Lancashire</t>
  </si>
  <si>
    <t>Galitzki, N (corresponding author), Univ Penn, Dept Phys &amp; Astron, 209 South 33rd St, Philadelphia, PA 19104 USA.</t>
  </si>
  <si>
    <t>galitzki@sas.upenn.edu</t>
  </si>
  <si>
    <t>Moncelsi, Lorenzo/AAU-1009-2020; Savini, Gianluca/C-1188-2009; Pascale, Enzo/A-3665-2012; Poidevin, Frédérick/Z-3492-2019; Savini, Giorgio/F-5753-2019</t>
  </si>
  <si>
    <t>Moncelsi, Lorenzo/0000-0002-4242-3015; Pascale, Enzo/0000-0002-3242-8154; Poidevin, Frédérick/0000-0002-5391-5568; Tucker, Carole/0000-0002-1851-3918; Ward-Thompson, Derek/0000-0003-1140-2761; Savini, Giorgio/0000-0003-4449-9416; Scott, Douglas/0000-0002-6878-9840; Soler, Juan Diego/0000-0002-0294-4465</t>
  </si>
  <si>
    <t>978-0-8194-9613-3</t>
  </si>
  <si>
    <t>91450R</t>
  </si>
  <si>
    <t>10.1117/12.2054759</t>
  </si>
  <si>
    <t>BC6QE</t>
  </si>
  <si>
    <t>WOS:000354375800025</t>
  </si>
  <si>
    <t>Ishii, S; Seta, M; Nagasaki, T; Nakai, N; Nagai, M; Miyamoto, Y; Imada, H; Doihata, K; Saito, K; Sekimoto, Y</t>
  </si>
  <si>
    <t>Ishii, S.; Seta, M.; Nagasaki, T.; Nakai, N.; Nagai, M.; Miyamoto, Y.; Imada, H.; Doihata, K.; Saito, K.; Sekimoto, Y.</t>
  </si>
  <si>
    <t>Development of a 30-cm submillimeter-wave telescope for the operation at Dome Fuji in Antarctica</t>
  </si>
  <si>
    <t>Dome Fuji; Antarctica; submillimeter-wave astronomy; The Milky Way; Galactic survey</t>
  </si>
  <si>
    <t>MOLECULAR CLOUDS; MILKY-WAY; CO SURVEY; CALIBRATION</t>
  </si>
  <si>
    <t>We have developed a 30-cm submillimeter-wave telescope intended to survey the Milky Way in 500 GHz emission lines at the Dome Fuji station in Antarctic plateau. Transportability and low power consumption are required while keeping low system noise temperature for the operation in Antarctica. The telescope is designed to be divided into five components and to operate with less than 2.5 kW of electric power. Its receiver noise temperature is less than 85 K in SSB at 461 and 492 GHz. We succeeded in operating the telescope at -30 degrees C in laboratory that is a typical temperature of the Dome Fuji in summer.</t>
  </si>
  <si>
    <t>[Ishii, S.; Seta, M.; Nagasaki, T.; Nakai, N.; Nagai, M.; Imada, H.; Doihata, K.; Saito, K.] Univ Tsukuba, Tsukuba, Ibaraki, Japan; [Ishii, S.] Univ Tokyo, Mitaka, Tokyo, Japan; [Miyamoto, Y.] Ibaraki Univ, Mito, Ibaraki, Japan; [Sekimoto, Y.] Natl Inst Nat Sci, Natl Astron Observ Japan, Mitaka, Tokyo, Japan</t>
  </si>
  <si>
    <t>University of Tsukuba; University of Tokyo; Ibaraki University; National Institutes of Natural Sciences (NINS) - Japan; National Astronomical Observatory of Japan (NAOJ)</t>
  </si>
  <si>
    <t>Ishii, S (corresponding author), Univ Tsukuba, 1-1-1 Ten Nodai, Tsukuba, Ibaraki, Japan.</t>
  </si>
  <si>
    <t>sishii@ioa.s.u-tokyo.ac.jp</t>
  </si>
  <si>
    <t>Ishii, Shoken/0000-0002-5814-5494; Nagai, Makoto/0000-0002-1705-9610; Ishii, Shun/0000-0001-8337-4961</t>
  </si>
  <si>
    <t>1996-756X</t>
  </si>
  <si>
    <t>10.1117/12.2055748</t>
  </si>
  <si>
    <t>WOS:000354375800104</t>
  </si>
  <si>
    <t>Yuan, XY; Cui, XQ; Gu, BZ; Yang, SH; Du, FJ; Li, XY; Wang, DX; Li, XN; Gong, XF; Wen, HK; Li, ZY; Lu, HP; Xu, LZ; Zhang, R; Zhang, Y; Wang, LF; Shang, ZH; Hu, Y; Ma, B; Liu, Q; Wei, P</t>
  </si>
  <si>
    <t>Yuan, Xiangyan; Cui, Xiangqun; Gu, Bozhong; Yang, Shihai; Du, Fujia; Li, Xiaoyan; Wang, Daxing; Li, Xinnan; Gong, Xuefei; Wen, Haikun; Li, Zhengyang; Lu, Haiping; Xu, Lingzhe; Zhang, Ru; Zhang, Yi; Wang, Lifan; Shang, Zhaohui; Hu, Yi; Ma, Bin; Liu, Qiang; Wei, Peng</t>
  </si>
  <si>
    <t>The AST3 project: Antarctic Survey Telescopes for Dome A</t>
  </si>
  <si>
    <t>Dome A; AST3; Survey telescope; winterization observation; extrasolar planets searching; supernovas</t>
  </si>
  <si>
    <t>The AST3 project consists of three large field of view survey telescopes with 680mm primary mirror, mainly for observations of supernovas and extrasolar planets searching from Antarctic Dome A where is very likely to be the best astronomical site on earth for astronomical observations from optical wavelength to thermal infrared and beyond, according to the four years site testing works by CCAA, UNSW and PRIC. The first AST3 was mounted on Dome A in Jan. 2012 and automatically run from March to May 2012. Based on the onsite winterization performance of the first AST3, some improvements such as the usage of high resolution encoders, defrosting method, better thermal control and easier onsite assembly et al were done for the second one. The winterization observation of AST3-2 in Mohe was carried on from Nov. 2013 to Apr. 2014, where is the most northern and coldest part of China with the lowest temperature around -50 degrees. The technical modifications and testing observation results will be given in this paper. The third AST3 will be optimized from optical to thermal infrared aiming diffraction limited imaging with K band. Thus the whole AST3 project will be a good test bench for the development of future larger aperture optical/infrared Antarctic telescopes such as the proposed 2.5m Kunlun Dark Universe Survey Telescope project.</t>
  </si>
  <si>
    <t>[Yuan, Xiangyan; Cui, Xiangqun; Gu, Bozhong; Yang, Shihai; Du, Fujia; Li, Xiaoyan; Wang, Daxing; Li, Xinnan; Gong, Xuefei; Wen, Haikun; Li, Zhengyang; Lu, Haiping; Xu, Lingzhe; Zhang, Ru; Zhang, Yi] Chinese Acad Sci, Nanjing Inst Astron Opt &amp; Technol, Natl Astron Observ, Nanjing 210042, Jiangsu, Peoples R China; [Yuan, Xiangyan; Cui, Xiangqun; Gong, Xuefei; Wang, Lifan; Shang, Zhaohui] Chinese Ctr Antarctic Astron, Beijing, Peoples R China; [Wang, Lifan] Chinese Acad Sci, Purple Mt Observ, Nanjing 210008, Jiangsu, Peoples R China; [Shang, Zhaohui; Hu, Yi; Ma, Bin; Liu, Qiang; Wei, Peng] Chinese Acad Sci, Natl Astron Observ, Beijing 100012, Peoples R China; [Shang, Zhaohui] Tianjin Normal Univ, Tianjin, Peoples R China</t>
  </si>
  <si>
    <t>Chinese Academy of Sciences; Nanjing Institute of Astronomical Optics &amp; Technology, NAOC, CAS; National Astronomical Observatory, CAS; Purple Mountain Observatory, CAS; Chinese Academy of Sciences; Nanjing Institute of Astronomical Optics &amp; Technology, NAOC, CAS; Chinese Academy of Sciences; National Astronomical Observatory, CAS; Tianjin Normal University</t>
  </si>
  <si>
    <t>Yuan, XY (corresponding author), Chinese Acad Sci, Nanjing Inst Astron Opt &amp; Technol, Natl Astron Observ, 188 Bancang St, Nanjing 210042, Jiangsu, Peoples R China.</t>
  </si>
  <si>
    <t>xyyuan@niaot.ac.cn</t>
  </si>
  <si>
    <t>Lu, Haiping/T-8153-2019; ZHANG, YIFEI/GRO-0728-2022; Yang, Shihai/J-1593-2012; wei, peng/IVH-1711-2023</t>
  </si>
  <si>
    <t>Lu, Haiping/0000-0002-0349-2181; hu, yi/0000-0003-3317-4771</t>
  </si>
  <si>
    <t>91450F</t>
  </si>
  <si>
    <t>10.1117/12.2055624</t>
  </si>
  <si>
    <t>WOS:000354375800014</t>
  </si>
  <si>
    <t>Zhu, YT; Wang, LF; Yuan, XY; Gu, BZ; Li, XN; Yang, SH; Gong, XF; Du, FJ; Qi, YJ; Xu, LZ</t>
  </si>
  <si>
    <t>Zhu, Yongtian; Wang, Lifan; Yuan, Xiangyan; Gu, Bozhong; Li, Xinnan; Yang, Shihai; Gong, Xuefei; Du, Fujia; Qi, Yongjun; Xu, Linzhe</t>
  </si>
  <si>
    <t>Kunlun Dark Universe Survey Telescope</t>
  </si>
  <si>
    <t>Ground-based Telescopes; Optics/IR; Antarctic</t>
  </si>
  <si>
    <t>PILOT</t>
  </si>
  <si>
    <t>Chinese Antarctic Observatory has been listed as National large research infrastructure during twelfth five-year plan. Kunlun Dark Universe Survey Telescope, one of two major facility of Chinese Antarctic Observatory, is a 2.5-meter optic/infrared telescope and will be built at the Chinese Antarctic Kunlun Station. It is intended to take advantage of the exceptional seeing conditions, as well as the low temperature reducing background for infrared observations. KDUST will adopt an innovative optical system, which can deliver very good image quality over a 2 square degree flat field of view. All of parts of it have been designed carefully to endure the extremely harsh environment. KDUST will be perched on a 14.5-meter-high tower to lift it above the turbulence layer. In this paper, preliminary design and key technology pre-research of KDUST will be introduced.</t>
  </si>
  <si>
    <t>[Zhu, Yongtian; Yuan, Xiangyan; Gu, Bozhong; Li, Xinnan; Yang, Shihai; Gong, Xuefei; Du, Fujia; Qi, Yongjun; Xu, Linzhe] Chinese Acad Sci, Nanjing Inst Astron Opt &amp; Technol, Natl Astron Observ, Nanjing 210042, Jiangsu, Peoples R China; [Zhu, Yongtian; Yuan, Xiangyan; Gu, Bozhong; Li, Xinnan; Yang, Shihai; Gong, Xuefei; Du, Fujia; Qi, Yongjun; Xu, Linzhe] Chinese Acad Sci, Nanjing Inst Astron Opt &amp; Technol, Key Lab Astron Opt &amp; Technol, Nanjing 210042, Jiangsu, Peoples R China; [Wang, Lifan] Chinese Acad Sci, Purple Mt Observ, Beijing 100864, Peoples R China; [Wang, Lifan] Texas A&amp;M Univ, College Stn, TX 77843 USA</t>
  </si>
  <si>
    <t>Chinese Academy of Sciences; Nanjing Institute of Astronomical Optics &amp; Technology, NAOC, CAS; National Astronomical Observatory, CAS; Chinese Academy of Sciences; Nanjing Institute of Astronomical Optics &amp; Technology, NAOC, CAS; Chinese Academy of Sciences; Nanjing Institute of Astronomical Optics &amp; Technology, NAOC, CAS; Purple Mountain Observatory, CAS; Texas A&amp;M University System; Texas A&amp;M University College Station</t>
  </si>
  <si>
    <t>Zhu, YT (corresponding author), Chinese Acad Sci, Nanjing Inst Astron Opt &amp; Technol, Natl Astron Observ, Nanjing 210042, Jiangsu, Peoples R China.</t>
  </si>
  <si>
    <t>Yang, Shihai/J-1593-2012</t>
  </si>
  <si>
    <t>91450E</t>
  </si>
  <si>
    <t>10.1117/12.2055768</t>
  </si>
  <si>
    <t>WOS:000354375800013</t>
  </si>
  <si>
    <t>Liu, JC; Hua, LY; Ma, J; Xu, ZL; Jiang, PG</t>
  </si>
  <si>
    <t>Zhang, X; Liu, H; Chen, Z; Wang, N</t>
  </si>
  <si>
    <t>Liu, Jicheng; Hua, Lingyun; Ma, Jie; Xu, Zili; Jiang, Pange</t>
  </si>
  <si>
    <t>A Long Distance Polar Rover with Multifunctional Wind Energy Unit</t>
  </si>
  <si>
    <t>INTELLIGENT ROBOTICS AND APPLICATIONS, ICIRA 2014, PT II</t>
  </si>
  <si>
    <t>Lecture Notes in Artificial Intelligence</t>
  </si>
  <si>
    <t>7th International Conference on Intelligent Robotics and Applications (ICIRA)</t>
  </si>
  <si>
    <t>DEC 17-20, 2014</t>
  </si>
  <si>
    <t>Guangzhou, PEOPLES R CHINA</t>
  </si>
  <si>
    <t>Antarctic; polar rover; wind energy; changing mass center; Long distance exploration</t>
  </si>
  <si>
    <t>Aimed at making full use of the Antarctic renewable wind energy, this paper presents a long distance polar rover installed a multifunctional wind energy unit. The multifunctional wind energy unit integrates the wind power driving and wind power generation, which can convert the force acting on the unit caused by the wind energy into the rover's driving force and the wind power at the same time. Meanwhile, assisted by the track diving subsystem, the polar rover can change the rover's motion direction and cross the obstacle. The track diving subsystem can move back and forth, which can change the center of mass of the rover and improve the mobility of the polar rover. Furthermore, on the basis of the aerodynamics and mechanics theory, the motion performance and automatic reset capability of the polar rover was investigated.</t>
  </si>
  <si>
    <t>[Liu, Jicheng; Hua, Lingyun; Ma, Jie; Xu, Zili; Jiang, Pange] Shanghai Univ, Sch Mechatron Engn &amp; Automat, Shanghai 200072, Peoples R China</t>
  </si>
  <si>
    <t>Shanghai University</t>
  </si>
  <si>
    <t>Liu, JC (corresponding author), Shanghai Univ, Sch Mechatron Engn &amp; Automat, Shanghai 200072, Peoples R China.</t>
  </si>
  <si>
    <t>liujicheng@shu.edu.cn; hualingyun@shu.edu.cn; robomark@shu.edu.cn; zilixu@shu.edu.cn; jpg123@shu.edu.cn</t>
  </si>
  <si>
    <t>978-3-319-13963-0; 978-3-319-13962-3</t>
  </si>
  <si>
    <t>LECT NOTES ARTIF INT</t>
  </si>
  <si>
    <t>Computer Science, Artificial Intelligence; Engineering, Electrical &amp; Electronic; Robotics</t>
  </si>
  <si>
    <t>Computer Science; Engineering; Robotics</t>
  </si>
  <si>
    <t>BC7GZ</t>
  </si>
  <si>
    <t>WOS:000354873500055</t>
  </si>
  <si>
    <t>Kok, Y; Ireland, MJ; Rizzuto, AC; Tuthill, PG; Robertson, JG; Warrington, BA; Tango, WJ</t>
  </si>
  <si>
    <t>Rajagopal, JK; CreechEakman, MJ; Malbet, F</t>
  </si>
  <si>
    <t>Kok, Yitping; Ireland, Michael J.; Rizzuto, Aaron C.; Tuthill, Peter G.; Robertson, J. Gordon; Warrington, Benjamin A.; Tango, William J.</t>
  </si>
  <si>
    <t>Alternative approach to precision narrow-angle astrometry for Antarctic long baseline interferometry</t>
  </si>
  <si>
    <t>OPTICAL AND INFRARED INTERFEROMETRY IV</t>
  </si>
  <si>
    <t>Conference on Optical and Infrared Interferometry IV</t>
  </si>
  <si>
    <t>astrometry; techniques: interferometric; methods: observational; binaries: close</t>
  </si>
  <si>
    <t>UNIVERSITY STELLAR INTERFEROMETER; SPECKLE INTERFEROMETRY; ALPHA-CENTAURI; ORBITS; PARAMETERS; RESOLUTION; DISTANCE; MASSES; SOAR</t>
  </si>
  <si>
    <t>The conventional approach to high-precision narrow-angle astrometry using a long baseline interferometer is to directly measure the fringe packet separation of a target and a nearby reference star. This is done by means of a technique known as phase-referencing which requires a network of dual beam combiners and laser metrology systems. Using an alternative approach that does not rely on phase-referencing, the narrow-angle astrometry of several closed binary stars (with separation less than 2''), as described in this paper, was carried out by observing the fringe packet crossing event of the binary systems. Such an event occurs twice every sidereal day when the line joining the two stars of the binary is is perpendicular to the projected baseline of the interferometer. Observation of these events is well suited for an interferometer in Antarctica. Proof of concept observations were carried out at the Sydney University Stellar Interferometer (SUSI) with targets selected according to its geographical location. Narrow-angle astrometry using this indirect approach has achieved sub-100 micro-arcsecond precision.</t>
  </si>
  <si>
    <t>[Kok, Yitping] MPE, D-85748 Garching, Germany; [Ireland, Michael J.] Australian Natl Univ, RSAA, Canberra, ACT 2611, Australia; [Ireland, Michael J.; Robertson, J. Gordon] Australian Astron Observ, N Ryde, NSW 1670, Australia; [Rizzuto, Aaron C.] Macquarie Univ, Dept Phys &amp; Astron, N Ryde, NSW 2109, Australia; [Tuthill, Peter G.; Robertson, J. Gordon; Tango, William J.] Univ Sydney, Sch Phys, SIfA, Sydney, NSW 2006, Australia; [Warrington, Benjamin A.] USRA SOFIA, Palmdale, CA 93550 USA</t>
  </si>
  <si>
    <t>Max Planck Society; Australian National University; Macquarie University; University of Sydney</t>
  </si>
  <si>
    <t>Kok, Y (corresponding author), MPE, Giessenbachstr 1, D-85748 Garching, Germany.</t>
  </si>
  <si>
    <t>yitping@mpe.mpg.de</t>
  </si>
  <si>
    <t>Rizzuto, Aaron/0000-0001-9982-1332; Tuthill, Peter/0000-0001-7026-6291; Warrington, Benjamin/0000-0001-8374-7932; Ireland, Michael/0000-0002-6194-043X</t>
  </si>
  <si>
    <t>978-0-8194-9614-0</t>
  </si>
  <si>
    <t>91462R</t>
  </si>
  <si>
    <t>10.1117/12.2055295</t>
  </si>
  <si>
    <t>Optics; Physics, Applied</t>
  </si>
  <si>
    <t>Optics; Physics</t>
  </si>
  <si>
    <t>BC6QF</t>
  </si>
  <si>
    <t>WOS:000354379200082</t>
  </si>
  <si>
    <t>LaybournParry, J; Wadham, JL</t>
  </si>
  <si>
    <t>Antarctic Lakes</t>
  </si>
  <si>
    <t>ANTARCTIC LAKES</t>
  </si>
  <si>
    <t>Book</t>
  </si>
  <si>
    <t>Wadham, Jemma L/G-3138-2014</t>
  </si>
  <si>
    <t>198 MADISON AVENUE, NEW YORK, NY 10016 USA</t>
  </si>
  <si>
    <t>978-0-19-967050-5; 978-0-19-967049-9</t>
  </si>
  <si>
    <t>10.1093/acprof:oso/9780199670499.001.0001</t>
  </si>
  <si>
    <t>Ecology; Limnology</t>
  </si>
  <si>
    <t>BC6ET</t>
  </si>
  <si>
    <t>WOS:000353836700010</t>
  </si>
  <si>
    <t>Laybourn-Parry, J; Wadham, JL</t>
  </si>
  <si>
    <t>Laybourn-Parry, Johanna; Wadham, Jemma L.</t>
  </si>
  <si>
    <t>Freshwater lakes</t>
  </si>
  <si>
    <t>[Laybourn-Parry, Johanna; Wadham, Jemma L.] Univ Bristol, Bristol BS8 1TH, Avon, England</t>
  </si>
  <si>
    <t>University of Bristol</t>
  </si>
  <si>
    <t>Laybourn-Parry, J (corresponding author), Univ Bristol, Bristol BS8 1TH, Avon, England.</t>
  </si>
  <si>
    <t>WOS:000353836700003</t>
  </si>
  <si>
    <t>Saline lakes</t>
  </si>
  <si>
    <t>WOS:000353836700004</t>
  </si>
  <si>
    <t>Epishelf lakes</t>
  </si>
  <si>
    <t>WOS:000353836700005</t>
  </si>
  <si>
    <t>Lakes and ponds on glaciers and ice shelves</t>
  </si>
  <si>
    <t>WOS:000353836700006</t>
  </si>
  <si>
    <t>Subglacial lakes</t>
  </si>
  <si>
    <t>WOS:000353836700007</t>
  </si>
  <si>
    <t>Janik, T; Grad, M; Guterch, A</t>
  </si>
  <si>
    <t>Bialik, R; Majdanski, M; Moskalik, M</t>
  </si>
  <si>
    <t>Janik, Tomasz; Grad, Marek; Guterch, Aleksander</t>
  </si>
  <si>
    <t>Five Polish Seismic Expeditions to the West Antarctica (1979-2007)</t>
  </si>
  <si>
    <t>ACHIEVEMENTS, HISTORY AND CHALLENGES IN GEOPHYSICS</t>
  </si>
  <si>
    <t>GeoPlanet-Earth and Planetary Sciences</t>
  </si>
  <si>
    <t>Jubilee Conference on the Occasion of the 60th Anniversary of the Institute-of-Geophysics, Polish-Academy-of-Sciences (PAS)</t>
  </si>
  <si>
    <t>JUN 14, 2013</t>
  </si>
  <si>
    <t>Jachranka, POLAND</t>
  </si>
  <si>
    <t>Antarctic Peninsula; Bransfield Strait; West Antarctica; Crustal structure; Moho depth; Subduction zone</t>
  </si>
  <si>
    <t>CRUSTAL STRUCTURE; BRANSFIELD STRAIT; ISLAND; LITHOSPHERE; MARGIN; BASIN; PLATE; MODEL; AREA; RIFT</t>
  </si>
  <si>
    <t>The chapter presents results of five Polish expeditions which realised an extensive programme of wide-angle refraction experiments in the northern Antarctic Peninsula region in the period of 1979-2007. The main achievement was the interpretation of materials collected along 20 deep seismic sounding profiles located along western part of the Antarctic Peninsula. Additionally, few shallow profiles in the area of Deception Island and the net of 10 reflection profiles from the Bransfield Strait and Drake Passage, and 3D experiment in the Admiralty Bay (King George Island) were carried out. Crustal velocity models extending across the Antarctic continental shelf between Adelaide Island and Bransfield Strait show typical continental crustal structure, with crustal thicknesses of 36-42 km near the coast, decreasing to 25-28 km beneath the outer continental shelf. Farther north, in the Bransfield Strait region, the models describe a crustal structure with the Moho dipping southeastward from a depth of 10 km beneath the South Shetland Trench to 40 km under the northern tip of the Antarctic Peninsula. Beneath the trough of the Bransfield Strait, the presence of a high-velocity body, with compressional-wave velocities exceeding 7.0 km/s, was detected at a depth range of 6-32 km.</t>
  </si>
  <si>
    <t>[Janik, Tomasz; Guterch, Aleksander] Polish Acad Sci, Inst Geophys, PL-01452 Warsaw, Poland; [Grad, Marek] Univ Warsaw, Inst Geophys, Fac Phys, PL-02093 Warsaw, Poland</t>
  </si>
  <si>
    <t>Polish Academy of Sciences; Institute of Geophysics of the Polish Academy of Sciences; University of Warsaw</t>
  </si>
  <si>
    <t>Janik, T (corresponding author), Polish Acad Sci, Inst Geophys, Ksiecia Janusza 64, PL-01452 Warsaw, Poland.</t>
  </si>
  <si>
    <t>janik@igf.edu.pl</t>
  </si>
  <si>
    <t>Janik, Tomasz/AAZ-8460-2021</t>
  </si>
  <si>
    <t>2190-5193</t>
  </si>
  <si>
    <t>978-3-319-07599-0; 978-3-319-07598-3</t>
  </si>
  <si>
    <t>GEOPLANET-EARTH PLAN</t>
  </si>
  <si>
    <t>10.1007/978-3-319-07599-0_8</t>
  </si>
  <si>
    <t>Geochemistry &amp; Geophysics; Geosciences, Multidisciplinary</t>
  </si>
  <si>
    <t>Geochemistry &amp; Geophysics; Geology</t>
  </si>
  <si>
    <t>BC4YE</t>
  </si>
  <si>
    <t>WOS:000353015500008</t>
  </si>
  <si>
    <t>Górski, M</t>
  </si>
  <si>
    <t>Gorski, Marek</t>
  </si>
  <si>
    <t>Department of Polar and Marine Research: The Hornsund Station and Other Activities in the Arctic and Antarctic Regions</t>
  </si>
  <si>
    <t>Polish polar research; Polish Polar Station Hornsund</t>
  </si>
  <si>
    <t>SPITSBERGEN; HANSBREEN; SVALBARD; GLACIER</t>
  </si>
  <si>
    <t>The activity of the Department of Polar and Marine Research at the Institute of Geophysics PAS has been briefly outlined by a participant and witness of the reported events, working there over the years 1977-2002.</t>
  </si>
  <si>
    <t>Polish Acad Sci, Inst Geophys, PL-01452 Warsaw, Poland</t>
  </si>
  <si>
    <t>Polish Academy of Sciences; Institute of Geophysics of the Polish Academy of Sciences</t>
  </si>
  <si>
    <t>Górski, M (corresponding author), Polish Acad Sci, Inst Geophys, Ksiecia Janusza 64, PL-01452 Warsaw, Poland.</t>
  </si>
  <si>
    <t>mgorski@igf.edu.pl</t>
  </si>
  <si>
    <t>10.1007/978-3-319-07599-0_9</t>
  </si>
  <si>
    <t>WOS:000353015500009</t>
  </si>
  <si>
    <t>Kuhl, TW; Johnson, JA; Shturmakov, AJ; Goetz, JJ; Gibson, CJ; Lebar, DA</t>
  </si>
  <si>
    <t>Kuhl, Tanner W.; Johnson, Jay A.; Shturmakov, Alexander J.; Goetz, Joshua J.; Gibson, Chris J.; Lebar, Donald A.</t>
  </si>
  <si>
    <t>A new large-diameter ice-core drill: the Blue Ice Drill</t>
  </si>
  <si>
    <t>ANNALS OF GLACIOLOGY</t>
  </si>
  <si>
    <t>blue ice; ice engineering</t>
  </si>
  <si>
    <t>The Blue Ice Drill (BID) is a large-diameter agile drill system designed by the Ice Drilling Design and Operations group of the University of Wisconsin Madison to quickly core-clean 241 mm diameter ice samples from near-surface sites. It consists of a down-hole motor/gear reducer rotating a coring cutter and core barrel inside an outer barrel for efficient cuttings transport in solid ice. A variable-frequency drive and custom control box regulates electrical power to the drill. Torque reaction is accomplished on the surface via handles attached to a torsion stem. Core recovery is achieved with either core dogs in the sonde or with a separate core recovery tool. All down-hole tools are suspended on a collapsible tripod via ropes running on a capstan winch. The BID is operated by a minimum of two people and has been used successfully during two seasons of coring on a blue ice area of Taylor Glacier, Antarctica. An updated version of the drill system, BID-Deep, has been designed to recover cores to depths up to 200m.</t>
  </si>
  <si>
    <t>[Kuhl, Tanner W.; Johnson, Jay A.; Shturmakov, Alexander J.; Goetz, Joshua J.; Gibson, Chris J.; Lebar, Donald A.] Univ Wisconsin, Ctr Space Sci &amp; Engn, Ice Drilling Design &amp; Operat Grp IDDO, Madison, WI 53706 USA</t>
  </si>
  <si>
    <t>University of Wisconsin System; University of Wisconsin Madison</t>
  </si>
  <si>
    <t>Kuhl, TW (corresponding author), Univ Wisconsin, Ctr Space Sci &amp; Engn, Ice Drilling Design &amp; Operat Grp IDDO, 1225 W Dayton St, Madison, WI 53706 USA.</t>
  </si>
  <si>
    <t>alex.shturmakov@ssec.wisc.edu</t>
  </si>
  <si>
    <t>NSF [OPP-0841135, CA 1327315]</t>
  </si>
  <si>
    <t>NSF(National Science Foundation (NSF))</t>
  </si>
  <si>
    <t>IDDO benefits from the exceptional support of many organizations in developing new drill systems, and this development effort was no exception. All merit acknowledgement and our sincere appreciation. In particular, we thank the members of the Ice Drilling Program Office (IDPO) and the IDDO Technical Advisory Board (TAB) for ongoing advice and assistance; University of Wisconsin-Madison, particularly the Space Science and Engineering Center, for providing exceptional support; and the Arctic and Antarctic support contractors and the US National Science Foundation (NSF) Office of Polar Programs for making it all possible. This work was supported under NSF Cooperative Agreement OPP-0841135 and CA 1327315.</t>
  </si>
  <si>
    <t>INT GLACIOL SOC</t>
  </si>
  <si>
    <t>LENSFIELD RD, CAMBRIDGE CB2 1ER, ENGLAND</t>
  </si>
  <si>
    <t>0260-3055</t>
  </si>
  <si>
    <t>1727-5644</t>
  </si>
  <si>
    <t>ANN GLACIOL</t>
  </si>
  <si>
    <t>Ann. Glaciol.</t>
  </si>
  <si>
    <t>10.3189/2014AoG68A009</t>
  </si>
  <si>
    <t>CE5QB</t>
  </si>
  <si>
    <t>WOS:000351889600002</t>
  </si>
  <si>
    <t>McCallum, A</t>
  </si>
  <si>
    <t>McCallum, Adrian</t>
  </si>
  <si>
    <t>A brief introduction to cone penetration testing (CPT) in frozen geomaterials</t>
  </si>
  <si>
    <t>applied glaciology; glaciological instruments and methods; ice engineering; snow mechanics</t>
  </si>
  <si>
    <t>SNOW; PERMAFROST</t>
  </si>
  <si>
    <t>The cone penetration test has been successfully used to classify soil for similar to 100 years. However, it has received only limited contemporary use in frozen geomaterials. The historical and contemporary use of the cone penetration test in various frozen geomaterials is considered here and contemporary data from recent work in polar snow are examined. It is probable that many material physical properties (e.g. density, strength and microstructure) can be obtained directly from cone penetration testing. It appears under-utilized as a contemporary scientific and engineering investigative tool in frozen geomaterials.</t>
  </si>
  <si>
    <t>Univ Sunshine Coast, Maroochydore, Qld, Australia</t>
  </si>
  <si>
    <t>McCallum, A (corresponding author), Univ Sunshine Coast, Maroochydore, Qld, Australia.</t>
  </si>
  <si>
    <t>Menzies Foundation</t>
  </si>
  <si>
    <t>McCallum's research described in this paper was possible due to the generous assistance of Lankelma and Gardline Geosciences and the British Antarctic Survey, both in Cambridge, UK, and Halley Research Station, Antarctica. Additional financial support was received from the Menzies Foundation.</t>
  </si>
  <si>
    <t>10.3189/2014AoG68A005</t>
  </si>
  <si>
    <t>WOS:000351889600003</t>
  </si>
  <si>
    <t>Souney, JM; Twickler, MS; Hargreaves, GM; Bencivengo, BM; Kippenhan, MJ; Johnson, JA; Cravens, ED; Neff, PD; Nunn, RM; Orsi, AJ; Popp, TJ; Rhoades, JF; Vaughn, BH; Voigt, DE; Wong, GJ; Taylor, KC</t>
  </si>
  <si>
    <t>Souney, Joseph M.; Twickler, Mark S.; Hargreaves, Geoffrey M.; Bencivengo, Brian M.; Kippenhan, Matthew J.; Johnson, Jay A.; Cravens, Eric D.; Neff, Peter D.; Nunn, Richard M.; Orsi, Anais J.; Popp, Trevor J.; Rhoades, John F.; Vaughn, Bruce H.; Voigt, Donald E.; Wong, Gifford J.; Taylor, Kendrick C.</t>
  </si>
  <si>
    <t>Core handling and processing for the WAIS Divide ice-core project</t>
  </si>
  <si>
    <t>glaciological instruments and methods; ice core; ice coring</t>
  </si>
  <si>
    <t>MM ELECTROMECHANICAL DRILL; LAST GLACIAL PERIOD; WEST ANTARCTICA; GREENLAND; DESIGN; SYSTEM; SITE</t>
  </si>
  <si>
    <t>On 1 December 2011 the West Antarctic Ice Sheet (WAIS) Divide ice-core project reached its final depth of 3405 m. The WAIS Divide ice core is not only the longest US ice core to date, but is also the highest-quality deep ice core, including ice from the brittle ice zone, that the US has ever recovered. The methods used at WAIS Divide to handle and log the drilled ice, the procedures used to safely retrograde the ice back to the US National Ice Core Laboratory (NICL) and the methods used to process and sample the ice at the NICL are described and discussed.</t>
  </si>
  <si>
    <t>[Souney, Joseph M.; Twickler, Mark S.] Univ New Hampshire, Inst Study Earth Oceans &amp; Space, Durham, NH 03824 USA; [Hargreaves, Geoffrey M.; Bencivengo, Brian M.; Nunn, Richard M.; Rhoades, John F.] US Geol Survey, Natl Ice Core Lab, Denver, CO 80225 USA; [Kippenhan, Matthew J.] US Antarct Program, Antarct Support Contract, Denver, CO USA; [Johnson, Jay A.] Univ Wisconsin, Ice Drilling Design &amp; Operat, Madison, WI USA; [Cravens, Eric D.] ADC Management Serv Inc, Lakewood, CO USA; [Neff, Peter D.] Victoria Univ Wellington, Antarct Res Ctr, Wellington, New Zealand; [Orsi, Anais J.] CEA CNRS UVSQ IPSL, Lab Sci Climat &amp; Environm, Gif Sur Yvette, France; [Popp, Trevor J.] Univ Copenhagen, Niels Bohr Inst, DK-2100 Copenhagen, Denmark; [Vaughn, Bruce H.] Univ Colorado, Inst Arct &amp; Alpine Res, Boulder, CO 80309 USA; [Voigt, Donald E.] Penn State Univ, Dept Geosci, University Pk, PA 16802 USA; [Wong, Gifford J.] Dartmouth Coll, Dept Earth Sci, Hanover, NH 03755 USA; [Taylor, Kendrick C.] Nevada Syst Higher Educ, Desert Res Inst, Reno, NV USA</t>
  </si>
  <si>
    <t>University System Of New Hampshire; University of New Hampshire; United States Department of the Interior; United States Geological Survey; University of Wisconsin System; University of Wisconsin Madison; Victoria University Wellington; Universite Paris Saclay; CEA; Centre National de la Recherche Scientifique (CNRS); University of Copenhagen; Niels Bohr Institute; University of Colorado System; University of Colorado Boulder; Pennsylvania Commonwealth System of Higher Education (PCSHE); Pennsylvania State University; Pennsylvania State University - University Park; Dartmouth College; Nevada System of Higher Education (NSHE); Desert Research Institute NSHE</t>
  </si>
  <si>
    <t>Souney, JM (corresponding author), Univ New Hampshire, Inst Study Earth Oceans &amp; Space, Durham, NH 03824 USA.</t>
  </si>
  <si>
    <t>joseph.souney@unh.edu</t>
  </si>
  <si>
    <t>Neff, Peter David/ABB-7688-2021; Vaughn, Bruce/AAO-8867-2020; Taylor, Kendrick/A-3469-2016</t>
  </si>
  <si>
    <t>Neff, Peter/0000-0003-1697-0936; VAUGHN, BRUCE/0000-0001-6503-957X; Taylor, Kendrick/0000-0001-8535-1261; Souney, Joseph/0000-0002-1492-6432</t>
  </si>
  <si>
    <t>NSF [0440817, 0944348, 0944266]; Directorate For Geosciences; Division Of Polar Programs [0440817, 0944191] Funding Source: National Science Foundation; Directorate For Geosciences; Office of Polar Programs (OPP) [0944348] Funding Source: National Science Foundation; Office of Polar Programs (OPP); Directorate For Geosciences [0944266, 1043528] Funding Source: National Science Foundation</t>
  </si>
  <si>
    <t>NSF(National Science Foundation (NSF)); Directorate For Geosciences; Division Of Polar Programs(National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</si>
  <si>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by NSF grants 0440817, 0944348 and 0944266. We appreciate the support of the Ice Drilling Program Office and Ice Drilling Design and Operations group for drilling the ice core; the National Ice Core Laboratory for designing and building the core-handling systems at WAIS Divide and at the NICL, and for curating the ice core; the Antarctic Support Contractor for logistics support in Antarctica; the 109th New York Air National Guard for airlift support in Antarctica; the dozens of core handlers who handled and processed the ice core at WAIS Divide and at the NICL; M. Davis for his cargo support; S. Mikel for his SAFECORE refrigeration support; and J. Fitzpatrick for her core-handling development. This project would not have been possible without the dedication and support of J. Palais, B. Stone and G. Blaisdell.</t>
  </si>
  <si>
    <t>10.3189/2014AoG68A008</t>
  </si>
  <si>
    <t>WOS:000351889600004</t>
  </si>
  <si>
    <t>Johnson, JA; Shturmakov, AJ; Kuhl, TW; Mortensen, NB; Gibson, CJ</t>
  </si>
  <si>
    <t>Johnson, Jay A.; Shturmakov, Alexander J.; Kuhl, Tanner W.; Mortensen, Nicolai B.; Gibson, Chris J.</t>
  </si>
  <si>
    <t>Next generation of an intermediate depth drill</t>
  </si>
  <si>
    <t>ice coring; ice engineering</t>
  </si>
  <si>
    <t>ICE</t>
  </si>
  <si>
    <t>Many of the ice-coring objectives in the Ice Drilling Program Office (IDPO) Long Range Science Plan, such as those in the International Partnerships in Ice Core Sciences (IPICS) 2k array and 40k network, are attainable in many locations with an intermediate depth drill (IDD) that can collect core from a fluid-filled hole down to 1500m depth. The Ice Drilling Design and Operations (IDDO) group has designed and is in the process of building an agile IDD to meet this objective. The drill tent, power distribution and core-processing systems are an integral part of the IDD, which can be deployed by small aircraft and assembled by hand to minimize logistic requirements. The new drill system will be ready for testing in Greenland beginning in late spring 2014. The first production drilling is scheduled for the 2014/15 field season at the South Pole.</t>
  </si>
  <si>
    <t>[Johnson, Jay A.; Shturmakov, Alexander J.; Kuhl, Tanner W.; Mortensen, Nicolai B.; Gibson, Chris J.] Univ Wisconsin, Ctr Space Sci &amp; Engn, Ice Drilling Design &amp; Operat, Madison, WI 53706 USA</t>
  </si>
  <si>
    <t>Johnson, JA (corresponding author), Univ Wisconsin, Ctr Space Sci &amp; Engn, Ice Drilling Design &amp; Operat, 1225 W Dayton St, Madison, WI 53706 USA.</t>
  </si>
  <si>
    <t>jay.johnson@ssec.wisc.edu</t>
  </si>
  <si>
    <t>US National Science Foundation (NSF) Office of Polar Programs; NSF [OPP-0841135, 1327315]; Directorate For Geosciences; Office of Polar Programs (OPP) [1327315] Funding Source: National Science Foundation</t>
  </si>
  <si>
    <t>US National Science Foundation (NSF) Office of Polar Programs(National Science Foundation (NSF)); NSF(National Science Foundation (NSF)); Directorate For Geosciences; Office of Polar Programs (OPP)(National Science Foundation (NSF)NSF - Directorate for Geosciences (GEO))</t>
  </si>
  <si>
    <t>We thank the Center for Ice and Climate, Copenhagen, Denmark, and the Antarctic Research Center, Victoria University of Wellington, New Zealand, for their collaboration and input on the drill design. The Ice Drilling Program Office (IDPO) was instrumental in establishing this project. We thank the numerous machine shops and custom parts vendors, without whom this project would just be a pile of paper. Funding from the US National Science Foundation (NSF) Office of Polar Programs made this all possible. This work was supported under NSF Cooperative Agreement OPP-0841135 and CA# 1327315.</t>
  </si>
  <si>
    <t>10.3189/2014AoG68A011</t>
  </si>
  <si>
    <t>WOS:000351889600005</t>
  </si>
  <si>
    <t>Zhang, N; An, CL; Fan, XP; Shi, GT; Li, CJ; Liu, JF; Hu, ZY; Talalay, P; Sun, YH; Li, YS</t>
  </si>
  <si>
    <t>Zhang, Nan; An, Chunlei; Fan, Xiaopeng; Shi, Guitao; Li, Chuanjin; Liu, Jingfeng; Hu, Zhengyi; Talalay, Pavel; Sun, Youhong; Li, Yuansheng</t>
  </si>
  <si>
    <t>Chinese First Deep Ice-Core Drilling Project DK-1 at Dome A, Antarctica (2011-2013): progress and performance</t>
  </si>
  <si>
    <t>CYCLES</t>
  </si>
  <si>
    <t>The Chinese First Deep Ice-Core Drilling Project DK-1 has commenced at Kunlun station in the Dome A region, the highest plateau in Antarctica. During the first season, within the 28th Chinese National Antarctic Research Expedition (CHINARE) 2011/12 the pilot hole was drilled and reamed in order to install a 100 m deep fiberglass casing. In the next season, 29th CHINARE 2012/13, the deep ice-core drilling system was installed, and all the auxiliary equipment was connected and commissioned. After filling the hole with drilling fluid (n-butyl acetate), three runs of 'wet' ice-core drilling were carried out and a depth of 131.24 m was reached. Drilling to the bedrock at the target depth of similar to 3100 m is planned to be completed during a further four seasons. We describe the work in progress and the status of equipment for the Dome A drilling project.</t>
  </si>
  <si>
    <t>[Zhang, Nan; Fan, Xiaopeng; Hu, Zhengyi; Talalay, Pavel; Sun, Youhong] Jilin Univ, Polar Res Ctr, Changchun 130023, Peoples R China; [An, Chunlei; Shi, Guitao; Li, Yuansheng] Polar Res Inst China, SOA Key Lab Polar Sci, Shanghai, Peoples R China; [Li, Chuanjin; Liu, Jingfeng] Chinese Acad Sci, State Key Lab Cryospher Sci, Cold &amp; Arid Reg Environm &amp; Engn Res Inst, Lanzhou, Peoples R China</t>
  </si>
  <si>
    <t>Jilin University; Polar Research Institute of China; Chinese Academy of Sciences; Cold &amp; Arid Regions Environmental &amp; Engineering Research Institute, CAS</t>
  </si>
  <si>
    <t>Zhang, N (corresponding author), Jilin Univ, Polar Res Ctr, Changchun 130023, Peoples R China.</t>
  </si>
  <si>
    <t>liyuansheng@pric.gov.cn</t>
  </si>
  <si>
    <t>Talalay, Pavel/AAH-2908-2020; Zhang, Nan/GXH-0361-2022</t>
  </si>
  <si>
    <t>Talalay, Pavel/0000-0002-8230-4600;</t>
  </si>
  <si>
    <t>Chinese Polar Environment Comprehensive Investigation and Assessment Programmes [CHINARE2014-02-02, CHINARE2014-94-02-07]; Public Science and Technology Research Funds Projects of Ocean [200805001]; National Nature Science Foundation of China [41327804]; Chinese Polar Science Strategy Research Fund Young Talent Fund [20120313]</t>
  </si>
  <si>
    <t>Chinese Polar Environment Comprehensive Investigation and Assessment Programmes; Public Science and Technology Research Funds Projects of Ocean; National Nature Science Foundation of China(National Natural Science Foundation of China (NSFC)); Chinese Polar Science Strategy Research Fund Young Talent Fund</t>
  </si>
  <si>
    <t>The fieldwork and research introduced in the paper were supported by various funds, including Chinese Polar Environment Comprehensive Investigation and Assessment Programmes (No. CHINARE2014-02-02 and No. CHINARE2014-94-02-07), Public Science and Technology Research Funds Projects of Ocean (No. 200805001), National Nature Science Foundation of China (No. 41327804) and Chinese Polar Science Strategy Research Fund Young Talent Fund (No. 20120313). The field personnel overcame the major difficulties of lack of oxygen and extremely low temperatures in inland Antarctica. We thank H. Motoyama of the National Institute of Polar Research, Japan, and Japanese drilling experts Y. Tanaka, M. Miyahara and A. Takahashi for help with the drilling technology design and training. Authors also thank the teammates and machinists of the 28th and 29th CHINARE team who provided excellent logistic support for the fieldwork of the Chinese Deep Ice-Core Drilling Project. We also acknowledge David Blake of the British Antarctic Survey for editing the paper.</t>
  </si>
  <si>
    <t>10.3189/2014AoG68A006</t>
  </si>
  <si>
    <t>WOS:000351889600013</t>
  </si>
  <si>
    <t>Slawny, KR; Johnson, JA; Mortensen, NB; Gibson, CJ; Goetz, JJ; Shturmakov, AJ; Lebar, DA; Wendricks, AW</t>
  </si>
  <si>
    <t>Slawny, Kristina R.; Johnson, Jay A.; Mortensen, Nicolai B.; Gibson, Christopher J.; Goetz, Joshua J.; Shturmakov, Alexander J.; Lebar, Donald A.; Wendricks, Anthony W.</t>
  </si>
  <si>
    <t>Production drilling at WAIS Divide</t>
  </si>
  <si>
    <t>Antarctic glaciology; ice and climate</t>
  </si>
  <si>
    <t>MM ELECTROMECHANICAL DRILL; DESIGN</t>
  </si>
  <si>
    <t>The deep ice-sheet coring (DISC) drill was used for production ice-core drilling at WAIS Divide in Antarctica for six field seasons between 2007 and 2013. Continuous ice-core samples were obtained between the snow surface and 3405 m depth. During the 2012/13 austral summer, the DISC drill's newly designed replicate ice-coring system was utilized to collect nearly 285 m of additional high-quality core samples at depths of high scientific interest. Annual progress graphs are described, as well as milestones achieved over the course of the project. Drilling operations, challenges encountered, drill fluid usage, drilling results, and the drill crew's experiences with the DISC drill and replicate coring system during production drilling are described and discussed in detail. Core-processing operations are described briefly, as well as the logistical undertaking of the DISC drill's deployment to Antarctica.</t>
  </si>
  <si>
    <t>[Slawny, Kristina R.; Johnson, Jay A.; Mortensen, Nicolai B.; Gibson, Christopher J.; Goetz, Joshua J.; Shturmakov, Alexander J.; Lebar, Donald A.; Wendricks, Anthony W.] Univ Wisconsin, Space Sci &amp; Engn Ctr, Ice Drilling Design &amp; Operat, Madison, WI 53718 USA</t>
  </si>
  <si>
    <t>Slawny, KR (corresponding author), Univ Wisconsin, Space Sci &amp; Engn Ctr, Ice Drilling Design &amp; Operat, Madison, WI 53718 USA.</t>
  </si>
  <si>
    <t>kristina.slawny@ssec.wisc.edu</t>
  </si>
  <si>
    <t>NSF; NSF Office of Polar Programs (OPP) [0841135]; Directorate For Geosciences; Office of Polar Programs (OPP) [0841135] Funding Source: National Science Foundation</t>
  </si>
  <si>
    <t>NSF(National Science Foundation (NSF)); NSF Office of Polar Programs (OPP)(National Science Foundation (NSF)); Directorate For Geosciences; Office of Polar Programs (OPP)(National Science Foundation (NSF)NSF - Directorate for Geosciences (GEO))</t>
  </si>
  <si>
    <t>IDDO has benefited from the assistance, advice and hard work of countless people and organizations. IDDO would like to express its gratitude to the engineers and project managers who spent the better part of a decade designing and refining one of the world's most technologically advanced deep ice-coring drills. Throughout the project, the core quality remained excellent and this is a testament to the quality engineering behind this system. IDDO thanks the drill team for their hard work and perseverance throughout the project, complete with long shifts, little sleep and many holidays away from family and friends. IDDO would also like to acknowledge the great spirit of cooperation with our international partners, including engineers and drillers from the Centre for Ice and Climate, Copenhagen, Denmark, the University of Bern, Switzerland, the Antarctic Research Centre, Wellington, New Zealand, and many, many others. Insight and direction provided by and collaboration with our colleagues, as well as opportunities provided for IDDO personnel to visit and participate in foreign drilling efforts, were of tremendous benefit to IDDO drill design and operation. Our mission also could not have been accomplished without the support of countless others, including the NSF, logistics support provided by RPSC and the ASC, WAIS Divide Chief Scientist Kendrick Taylor and Replicate Coring Chief Scientist Jeff Severinghaus, the WAIS Divide Executive Committee, the NICL, the SCO and the graduate student core handlers, the 109th New York Air National Guard, IDDO's Technical Advisory Board and their invaluable and continued advice and direction and many others, far too many to mention. This work was supported under NSF Office of Polar Programs (OPP) Award No. 0841135.</t>
  </si>
  <si>
    <t>10.3189/2014AoG68A018</t>
  </si>
  <si>
    <t>WOS:000351889600020</t>
  </si>
  <si>
    <t>Gibson, CJ; Johnson, JA; Shturmakov, AJ; Mortensen, NB; Goetz, JJ</t>
  </si>
  <si>
    <t>Gibson, Christopher J.; Johnson, Jay A.; Shturmakov, Alexander J.; Mortensen, Nicolai B.; Goetz, Joshua J.</t>
  </si>
  <si>
    <t>Replicate ice-coring system architecture: mechanical design</t>
  </si>
  <si>
    <t>glaciological instruments and methods; ice and climate; ice core; ice coring; ice engineering</t>
  </si>
  <si>
    <t>MM ELECTROMECHANICAL DRILL</t>
  </si>
  <si>
    <t>The replicate ice-coring system was developed by Ice Drilling Design and Operations (IDDO) for the US National Science Foundation. The design of the system leverages the existing infrastructure of the deep ice-sheet coring (DISC) drill to create a steerable drill capable of recovering replicate core at any targeted depth in an existing borehole. Critical requirements of the system include: collecting up to 400 m of core from the high side of an open hole; maintaining access to the entire borehole for logging tools; collecting up to four cores at a single depth; and operating to a depth of 4000 m at -55 degrees C and 34 MPa. The system was developed and tested from 2010 through 2012 and integrates several new mechanical subsystems, including two electromechanical actuators capable of pushing the sonde to any targeted azimuth, new reduced diameter core and screen barrels made from off-the-shelf casing tube, and new cutter heads optimized for the multiple stages of the replicate coring procedure. The system was successfully deployed at West Antarctic Ice Sheet (WAIS) Divide in the 2012/13 field season, recovering 285 m of core from five intentional deviations at four target depths.</t>
  </si>
  <si>
    <t>[Gibson, Christopher J.; Johnson, Jay A.; Shturmakov, Alexander J.; Mortensen, Nicolai B.; Goetz, Joshua J.] Univ Wisconsin, Space Sci &amp; Engn Ctr, Ice Drilling Design &amp; Operat, Madison, WI 53718 USA</t>
  </si>
  <si>
    <t>Gibson, CJ (corresponding author), Univ Wisconsin, Space Sci &amp; Engn Ctr, Ice Drilling Design &amp; Operat, Madison, WI 53718 USA.</t>
  </si>
  <si>
    <t>chris.gibson@ssec.wisc.edu</t>
  </si>
  <si>
    <t>Ice Drilling Program Office (IDPO); IDDO Technical Advisory Board; US National Science Foundation (NSF) Office of Polar Programs; NSF [OPP-0841135]</t>
  </si>
  <si>
    <t>Ice Drilling Program Office (IDPO); IDDO Technical Advisory Board; US National Science Foundation (NSF) Office of Polar Programs(National Science Foundation (NSF)); NSF(National Science Foundation (NSF))</t>
  </si>
  <si>
    <t>The successful development of this new tool for climate science is the result of the imagination, dedication and hard work of a very large number of people, with significant contributions from across the globe. All deserve acknowledgement for their contributions. In particular we thank: the Ice Drilling Program Office (IDPO) and the IDDO Technical Advisory Board for providing continuing advice and support; Mike Gerasimoff for early contributions to the lower sonde design; the University of Wisconsin-Madison for ongoing support and expert technical help; the Antarctic support contractors Raytheon and Lockheed Martin for planning, construction and logistical support; and the US National Science Foundation (NSF) Office of Polar Programs for strong support and funding. This work was supported under NSF Cooperative Agreement OPP-0841135.</t>
  </si>
  <si>
    <t>10.3189/2014AoG68A019</t>
  </si>
  <si>
    <t>WOS:000351889600022</t>
  </si>
  <si>
    <t>Litvinenko, VS; Vasiliev, NI; Lipenkov, VY; Dmitriev, AN; Podoliak, AV</t>
  </si>
  <si>
    <t>Litvinenko, V. S.; Vasiliev, N. I.; Lipenkov, V. Ya.; Dmitriev, A. N.; Podoliak, A. V.</t>
  </si>
  <si>
    <t>Special aspects of ice drilling and results of 5G hole drilling at Vostok station, Antarctica</t>
  </si>
  <si>
    <t>ice core; ice coring; subglacial lakes</t>
  </si>
  <si>
    <t>This paper documents the drilling of the 5G deep hole at the Russian Vostok station, Antarctica. The hole construction is described and the specifications of the drill and surface drilling equipment are given. The peculiarities of drilling at various depths are considered. Based on the extensive experimental data collected at Vostok station, the processes occurring at the hole bottom are investigated: ice breaking and cutting, bottom cleaning and chip transport, and accumulation of the chips in the screen. The main factors affecting ice-drilling efficiency are the coarseness of ice crystals and the ice temperature. When ice crystal size exceeds 10 mm the cutting efficiency sharply decreases, and when ice temperature exceeds -5 degrees C the chip transport from the hole bottom and the chip density in the screen are reduced. The drill advance then becomes irregular, slows down and may even be terminated in some cases. Optimal values of the basic drilling parameters (e.g. cutter head rotation rate and drilling fluid flow rate in the circulation system) have been deduced empirically. The designs of the cutter head and circulation system including screens have been significantly modified, allowing the drilling process to proceed at a normal rate even in the vicinity of the subglacial lake surface.</t>
  </si>
  <si>
    <t>[Litvinenko, V. S.; Vasiliev, N. I.; Dmitriev, A. N.; Podoliak, A. V.] Natl Mineral Resources Univ, St Petersburg, Russia; [Lipenkov, V. Ya.] Arctic &amp; Antarctic Res Inst, St Petersburg 199226, Russia</t>
  </si>
  <si>
    <t>Saint Petersburg Mining University; Arctic &amp; Antarctic Research Institute</t>
  </si>
  <si>
    <t>Litvinenko, VS (corresponding author), Natl Mineral Resources Univ, St Petersburg, Russia.</t>
  </si>
  <si>
    <t>vasilev_n@mail.ru</t>
  </si>
  <si>
    <t>Litvinenko, Vladimir/P-9755-2019; Vasilyev, Nikolay I./AAS-2261-2020; Lipenkov, Vladimir/Q-8262-2016</t>
  </si>
  <si>
    <t>Litvinenko, Vladimir/0000-0002-4295-7535; Vasilyev, Nikolay I./0000-0002-2279-699X; Dmitriev, Andrey/0000-0003-4615-3179; Lipenkov, Vladimir/0000-0003-4221-5440</t>
  </si>
  <si>
    <t>Russian Science Foundation [14-27-00030]; Russian Science Foundation [14-27-00030] Funding Source: Russian Science Foundation</t>
  </si>
  <si>
    <t>Russian Science Foundation(Russian Science Foundation (RSF)); Russian Science Foundation(Russian Science Foundation (RSF))</t>
  </si>
  <si>
    <t>The Russian Antarctic Expedition provided the logistic support for drilling operations at Vostok station. The work was financially supported by the Russian Science Foundation, grant 14-27-00030. We thank two anonymous reviewers for valuable comments.</t>
  </si>
  <si>
    <t>10.3189/2014AoG68A040</t>
  </si>
  <si>
    <t>WOS:000351889600023</t>
  </si>
  <si>
    <t>Shturmakov, AJ; Lebar, DA; Bentley, CR</t>
  </si>
  <si>
    <t>Shturmakov, Alexander J.; Lebar, Donald A.; Bentley, Charles R.</t>
  </si>
  <si>
    <t>DISC drill and replicate coring system: a new era in deep ice drilling engineering</t>
  </si>
  <si>
    <t>The deep ice sheet coring (DISC) drill and replicate coring system (RCS) were designed and manufactured by Ice Coring and Drilling Services/Ice Drilling Design and Operations group of the University of Wisconsin-Madison. The DISC/RCS is an electromechanical system designed to take 122 mm diameter ice cores from the main borehole and 108 mm diameter replicate ice cores to depths of 4000 m. Detailed design of the DISC drill began in 2003, and the completed drill was tested in Greenland in 2006. During five consecutive field seasons at West Antarctic Ice Sheet (WAIS) Divide, 3405 m of ice core were drilled, setting the US deep ice drilling record. The RCS, based on the DISC drill, was developed and built in 2010/11, tested in Antarctica during the 2011/12 WAIS Divide field season and tested further in Madison, WI, during summer-fall 2012. During the 2012/13 Antarctic field season, the system produced five azimuth and depth-controlled deviations at four target depth levels. A total of 285 m of replicate ice core was recovered in the first coring of its kind. The entire main/replicate ice core, including ductile, brittle and warm ice, had excellent quality and satisfied the needs of the ice science community.</t>
  </si>
  <si>
    <t>[Shturmakov, Alexander J.; Lebar, Donald A.; Bentley, Charles R.] Univ Wisconsin, Space Sci &amp; Engn Ctr, Ice Drilling Design &amp; Operat, Madison, WI 53718 USA</t>
  </si>
  <si>
    <t>Shturmakov, AJ (corresponding author), Univ Wisconsin, Space Sci &amp; Engn Ctr, Ice Drilling Design &amp; Operat, Madison, WI 53718 USA.</t>
  </si>
  <si>
    <t>NSF [OPP-0841135]</t>
  </si>
  <si>
    <t>During the design, construction, laboratory and field testing and production use of the DISC/RCS, IDDO has had exceptional help and support from many people and organizations. We express our sincere gratitude to them all. In particular, we thank the members of the Ice Drilling Program Office (IDPO) and the IDDO Technical Advisory Board for ongoing advice and assistance; the University of Wisconsin Madison, particularly the Space Science and Engineering Center, for providing the services of a number of fine engineers, technicians and support staff; the outstanding people of Lockheed Martin (ASC) - the Antarctic Support Contractor for the Replicate Coring Production Season - and Raytheon Polar Services Corporation for all the planning, construction and maintenance of the WAIS Divide facilities; and the NSF Office of Polar Programs for making it all possible. This work was supported under NSF Cooperative Agreement OPP-0841135.</t>
  </si>
  <si>
    <t>10.3189/2014AoG68A017</t>
  </si>
  <si>
    <t>WOS:000351889600025</t>
  </si>
  <si>
    <t>Alemany, O; Chappellaz, J; Triest, J; Calzas, M; Cattani, O; Chemin, JF; Desbois, Q; Desbois, T; Duphil, R; Falourd, S; Grilli, R; Guillerme, C; Kerstel, E; Laurent, B; Lefebvre, E; Marrocco, N; Pascual, O; Piard, L; Possenti, P; Romanini, D; Thiebaut, V; Yamani, R</t>
  </si>
  <si>
    <t>Alemany, O.; Chappellaz, J.; Triest, J.; Calzas, M.; Cattani, O.; Chemin, J. F.; Desbois, Q.; Desbois, T.; Duphil, R.; Falourd, S.; Grilli, R.; Guillerme, C.; Kerstel, E.; Laurent, B.; Lefebvre, E.; Marrocco, N.; Pascual, O.; Piard, L.; Possenti, P.; Romanini, D.; Thiebaut, V.; Yamani, R.</t>
  </si>
  <si>
    <t>The SUBGLACIOR drilling probe: concept and design</t>
  </si>
  <si>
    <t>climate change; glaciological instruments and methods; ice coring</t>
  </si>
  <si>
    <t>In response to the 'oldest ice' challenge initiated by the International Partnerships in Ice Core Sciences (IPICS), new rapid-access drilling technologies through glacier ice need to be developed. These will provide the information needed to qualify potential sites on the Antarctic ice sheet where the deepest section could include ice that is &gt;1 Ma old and still in good stratigraphic order. Identifying a suitable site will be a prerequisite for deploying a multi-year deep ice-core drilling operation to elucidate the cause and mechanisms of the mid-Pleistocene transition from 40 ka glacial interglacial cycles to 100 ka cycles. As part of the ICE&amp;LASERS/SUBGLACIOR projects, we have designed an innovative probe, SUBGLACIOR, with the aim of perforating the ice sheet down to the bedrock in a single season and continuously measuring in situ the isotopic composition of the melted water and the methane concentration in trapped gases. Here we present the general concept of the probe, as well as the various technological solutions that we have favored so far to reach this goal.</t>
  </si>
  <si>
    <t>[Alemany, O.; Chappellaz, J.; Triest, J.; Chemin, J. F.; Duphil, R.; Laurent, B.; Lefebvre, E.; Pascual, O.; Piard, L.; Possenti, P.] Univ Grenoble Alpes, Lab Glaciol &amp; Geophys Environm, Grenoble, France; [Alemany, O.; Chappellaz, J.; Triest, J.; Chemin, J. F.; Desbois, Q.; Desbois, T.; Duphil, R.; Grilli, R.; Kerstel, E.; Laurent, B.; Lefebvre, E.; Marrocco, N.; Pascual, O.; Piard, L.; Possenti, P.; Romanini, D.] CNRS, Grenoble, France; [Calzas, M.; Guillerme, C.] Div Tech INSU, Plouzane, France; [Cattani, O.; Falourd, S.; Thiebaut, V.; Yamani, R.] CEA CNRS UVSQ, IPSL, LSCE, Gif Sur Yvette, France; [Desbois, Q.; Desbois, T.; Grilli, R.; Kerstel, E.; Marrocco, N.; Romanini, D.] Univ Grenoble Alpes, Lab Interdisciplinaire Phys LIPHY, Grenoble, France</t>
  </si>
  <si>
    <t>Communaute Universite Grenoble Alpes; Universite Grenoble Alpes (UGA); Centre National de la Recherche Scientifique (CNRS); CEA; Centre National de la Recherche Scientifique (CNRS); Universite Paris Saclay; Universite Paris Cite; Communaute Universite Grenoble Alpes; Universite Grenoble Alpes (UGA)</t>
  </si>
  <si>
    <t>Alemany, O (corresponding author), Univ Grenoble Alpes, Lab Glaciol &amp; Geophys Environm, Grenoble, France.</t>
  </si>
  <si>
    <t>alemany@lgge.obs.ujf-grenoble.fr</t>
  </si>
  <si>
    <t>Kerstel, Erik/AAG-3042-2020; Chappellaz, Jérôme A./A-4872-2011</t>
  </si>
  <si>
    <t>Kerstel, Erik/0000-0001-5325-7860; Grilli, Roberto/0000-0001-5636-264X</t>
  </si>
  <si>
    <t>European Community [291062]; French Agence Nationale de la Recherche (ANR) [SIM15-6ANR-11-BS56-0019]; BNP Paribas Foundation; 'Equipement d'Excellence' EquipEX CLIMCOR [ANR-11-EQPX-0009-CLIMCOR]; IPEV (the French polar institute, through the 'SUBGLACIOR' project) [1119]; Agence Nationale de la Recherche (ANR) [ANR-11-EQPX-0009] Funding Source: Agence Nationale de la Recherche (ANR)</t>
  </si>
  <si>
    <t>European Community; French Agence Nationale de la Recherche (ANR)(Agence Nationale de la Recherche (ANR)); BNP Paribas Foundation; 'Equipement d'Excellence' EquipEX CLIMCOR(Agence Nationale de la Recherche (ANR)); IPEV (the French polar institute, through the 'SUBGLACIOR' project); Agence Nationale de la Recherche (ANR)(Agence Nationale de la Recherche (ANR))</t>
  </si>
  <si>
    <t>The research leading to these results has received funding from the European Community's Seventh Framework Programme ERC2011 under grant agreement No. 291062 (ERC Ice&amp;Lasers) and from the French Agence Nationale de la Recherche (ANR) under grant agreement No. SIM15-6ANR-11-BS56-0019 (ANR SUBGLACIOR). This project has been conducted thanks to the technical support of the French Drilling and Coring Facility (C2FN - Ice). Additional funding support was provided by the BNP Paribas Foundation as well as 'Equipement d'Excellence' EquipEX CLIMCOR (ANR-11-EQPX-0009-CLIMCOR). Fieldwork is supported by IPEV (the French polar institute, through the 'SUBGLACIOR' project No. 1119) and PNRA (the Italian Antarctic programme) at Concordia Station. We thank the two anonymous reviewers and the editor, Pavel Talalay, for helpful comments.</t>
  </si>
  <si>
    <t>10.3189/2014AoG68A026</t>
  </si>
  <si>
    <t>WOS:000351889600029</t>
  </si>
  <si>
    <t>Sheldon, SG; Popp, TJ; Hansen, SB; Steffensen, JGP</t>
  </si>
  <si>
    <t>Sheldon, Simon G.; Popp, Trevor J.; Hansen, Steffen B.; Steffensen, Jorgen P.</t>
  </si>
  <si>
    <t>Promising new borehole liquids for ice-core drilling on the East Antarctic high plateau</t>
  </si>
  <si>
    <t>glaciological instruments and methods; ice coring; ice engineering</t>
  </si>
  <si>
    <t>A drill liquid is essential for the purpose of recovering good-quality scientifically useful ice cores at intermediate to deep depths, i.e. &gt;similar to 100 m. The pressure produced by the liquid helps to eliminate the detrimental effects of the abrupt release of isostatic pressure in the ice during the drilling process, prevents consequential fractures within the ice core, and is essential to produce an even distribution of hydrostatic pressure to balance the ice isostatic pressure and so minimize borehole deformation. To perform these tasks, while minimizing risks to health and the environment, the liquid needs to exhibit specific physical, chemical and biological characteristics. Here we report on two promising candidate drill liquids, ESTISOL (TM) 140 and ESTISOL (TM) 165, for use in the extreme conditions found within the ice sheets of Greenland and Antarctica, where the temperature can range from close to 0 degrees C to below -57 degrees C and pressures can exceed 40 MPa. From both the manufacturer's data and our laboratory tests and observations we report on the physical, chemical and biological characteristics that both liquids exhibit. We also report on how one of the candidates was field-tested on the Greenland ice sheet and the East Antarctic high plateau.</t>
  </si>
  <si>
    <t>[Sheldon, Simon G.; Popp, Trevor J.; Hansen, Steffen B.; Steffensen, Jorgen P.] Univ Copenhagen, Niels Bohr Inst, Ctr Ice &amp; Climate, DK-1168 Copenhagen, Denmark</t>
  </si>
  <si>
    <t>University of Copenhagen; Niels Bohr Institute</t>
  </si>
  <si>
    <t>Sheldon, SG (corresponding author), Univ Copenhagen, Niels Bohr Inst, Ctr Ice &amp; Climate, DK-1168 Copenhagen, Denmark.</t>
  </si>
  <si>
    <t>sheldon@nbi.ku.dk</t>
  </si>
  <si>
    <t>Steffensen, Jorgen Peder/JFS-7831-2023</t>
  </si>
  <si>
    <t>Steffensen, Jorgen Peder/0000-0002-5516-1093</t>
  </si>
  <si>
    <t>Belgium (FNRS-CFB); Belgium (FWO); Canada (NRCan/GSC); China (CAS); Denmark (FIST); France (IPEV); France (CNRS/INSU); France (CEA); France (ANR); Germany (AWI); Iceland (RannIs); Japan (NIPR); Korea (KOPRI); The Netherlands (NWO/ALW); Sweden (VR); Switzerland (SNF); United Kingdom (NERC); USA (US NSF, Office of Polar Programs)</t>
  </si>
  <si>
    <t>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The Netherlands (NWO/ALW)(Netherlands Organization for Scientific Research (NWO)Netherlands Government); Sweden (VR)(Swedish Research Council); Switzerland (SNF); United Kingdom (NERC)(UK Research &amp; Innovation (UKRI)Natural Environment Research Council (NERC)); USA (US NSF, Office of Polar Programs)</t>
  </si>
  <si>
    <t>We are greatly indebted to the various funding agencies for supporting the NEEM ice-core drilling projects. NEEM is directed and organized by the Center for Ice and Climate at the Niels Bohr Institute and the US National Science Foundation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USA (US NSF, Office of Polar Programs). We thank all contributors to the ABN project for their support. We also thank EstiChem A/S for data and helpful discussions regarding the properties of the many candidate drill liquids initially tested and specifically for ESTISOL (TM) 240, ESTISOL (TM) 140 and ESTISOL (TM) 165.</t>
  </si>
  <si>
    <t>10.3189/2014AoG68A043</t>
  </si>
  <si>
    <t>WOS:000351889600032</t>
  </si>
  <si>
    <t>Sheldon, SG; Popp, TJ; Hansen, SB; Hedegaard, TM; Mortensen, C</t>
  </si>
  <si>
    <t>Sheldon, Simon G.; Popp, Trevor J.; Hansen, Steffen B.; Hedegaard, Thomas M.; Mortensen, Carsten</t>
  </si>
  <si>
    <t>A new intermediate-depth ice-core drilling system</t>
  </si>
  <si>
    <t>ice core; ice coring; ice engineering</t>
  </si>
  <si>
    <t>Several recent projects associated with the IPICS (International Partnerships in Ice Core Sciences) 2k array have demanded the recovery of ice core to depths in excess of several hundred metres (e.g. Flade Isblink, Greenland (2006), Aurora Basin, Antarctica (2008/09), NEEM, Greenland (2011), Aurora Basin North (2013/14) and Renland ice cap, Greenland (2015)). These projects require that the overall system weight is low, that the ability to set up and operate are within the limitations of a small-camp environment and that the overall logistical and transportation costs are kept to a minimum. Using these criteria, a new drilling system capable of drilling &gt;400 m depth was seen as a useful future development. Here we report on a new intermediate-depth drilling system designed to recover high-quality 98 mm diameter ice cores from close to surface down to depths of 1000 m by two or more operators in a small deep-field camp environment. The total weight of the system on the snow surface is similar to 490 kg, of which the intermediate-depth winch is the single heaviest component at 305 kg with 1000 m of cable.</t>
  </si>
  <si>
    <t>[Sheldon, Simon G.; Popp, Trevor J.; Hansen, Steffen B.; Hedegaard, Thomas M.; Mortensen, Carsten] Univ Copenhagen, Niels Bohr Inst, Ctr Ice &amp; Climate, DK-1168 Copenhagen, Denmark</t>
  </si>
  <si>
    <t>Belgium (FNRS-CFB); Belgium (FWO); Canada (NRCan/GSC); China (CAS); Denmark (FIST); France (IPEV); France (CNRS/INSU); France (CEA); France (ANR); Germany (AWI); Iceland (RannIs); Japan (NIPR); Korea (KOPRI); The Netherlands (NWO/ALW); Sweden (VR); Switzerland (SNF); United Kingdom (NERC); USA (US NSF, Office of Polar Programs); Australian Antarctic Division</t>
  </si>
  <si>
    <t>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The Netherlands (NWO/ALW)(Netherlands Organization for Scientific Research (NWO)Netherlands Government); Sweden (VR)(Swedish Research Council); Switzerland (SNF); United Kingdom (NERC)(UK Research &amp; Innovation (UKRI)Natural Environment Research Council (NERC)); USA (US NSF, Office of Polar Programs); Australian Antarctic Division</t>
  </si>
  <si>
    <t>We thank the various funding agencies for supporting this project including the development costs and cost of field tests. Special thanks goes to the Niels Bohr Institute for mechanical manufacturing and engineering support, and to the NEEM Project for field trial support. We also thank all the logistical people for organizing the field camps and for bringing us there along with our equipment, and the numerous drillers for their vital contribution to improving the drills and drilling techniques. We are greatly indebted to the various funding agencies for supporting the NEEM ice-core drilling projects. NEEM is directed and organized by the Centre for Ice and Climate at the Niels Bohr Institute, and the US National Science Foundation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USA (US NSF, Office of Polar Programs). We thank the Australian Antarctic Division and all contributors to the Aurora Basin North project for their support.</t>
  </si>
  <si>
    <t>10.3189/2014AoG68A038</t>
  </si>
  <si>
    <t>WOS:000351889600033</t>
  </si>
  <si>
    <t>Rack, FR; Duling, D; Blythe, D; Burnett, J; Gibson, D; Roberts, G; Carpenter, C; Lemery, J; Fischbein, S</t>
  </si>
  <si>
    <t>Rack, Frank R.; Duling, Dennis; Blythe, Daren; Burnett, Justin; Gibson, Dar; Roberts, Graham; Carpenter, Chad; Lemery, Jeff; Fischbein, Steve</t>
  </si>
  <si>
    <t>Developing a hot-water drill system for the WISSARD project: 1. Basic drill system components and design</t>
  </si>
  <si>
    <t>Antarctic glaciology; glaciological instruments and methods; subglacial lakes; subglacial processes; subglacial sediments</t>
  </si>
  <si>
    <t>ICE; WHILLANS</t>
  </si>
  <si>
    <t>A new, clean, hot-water drill system (HWDS) was developed by the Science Management Office, University of Nebraska-Lincoln, for use in the Whillans Ice Stream Subglacial Access Research Drilling (WISSARD) project to gain access to Subglacial Lake Whillans beneath similar to 800 m of ice in West Antarctica. One primary borehole was drilled into the basal ice environment of Subglacial Lake Whillans during the initial field season in 2012/13. This paper describes the process of designing, fabricating, assembling, shipping, testing, commissioning and traversing the WISSARD HWDS leading up to the first scientific use of the system.</t>
  </si>
  <si>
    <t>[Rack, Frank R.; Duling, Dennis; Blythe, Daren; Burnett, Justin; Gibson, Dar; Roberts, Graham; Carpenter, Chad; Lemery, Jeff; Fischbein, Steve] Univ Nebraska, ANDRILL Sci Management Off, Lincoln, NE 68588 USA</t>
  </si>
  <si>
    <t>University of Nebraska System; University of Nebraska Lincoln</t>
  </si>
  <si>
    <t>Rack, FR (corresponding author), Univ Nebraska, ANDRILL Sci Management Off, Lincoln, NE 68588 USA.</t>
  </si>
  <si>
    <t>frack2@unl.edu</t>
  </si>
  <si>
    <t>Roberts, Gareth M/H-4496-2011</t>
  </si>
  <si>
    <t>NSF research grant Lake Ice Stream Subglacial Access Research Drilling (LISSARD) based at the University of California, Santa Cruz (UCSC) [NSF-OPP-ANT-0839142]; NSF research grant Robotic Access to Grounding-zones for Exploration and Science (RAGES) based at Northern Illinois University [NSF-OPP ANT-0839107]; NSF research grant Geomicrobiology of Antarctic Subglacial Environments (GBASE) based at Montana State University [NSF-OPP-ANT-0838933]; NSF Division of Polar Programs, Section for Antarctic Sciences, Antarctic Integrated System Science program; Office of Polar Programs (OPP); Directorate For Geosciences [1346249, 1146554] Funding Source: National Science Foundation</t>
  </si>
  <si>
    <t>NSF research grant Lake Ice Stream Subglacial Access Research Drilling (LISSARD) based at the University of California, Santa Cruz (UCSC); NSF research grant Robotic Access to Grounding-zones for Exploration and Science (RAGES) based at Northern Illinois University; NSF research grant Geomicrobiology of Antarctic Subglacial Environments (GBASE) based at Montana State University; NSF Division of Polar Programs, Section for Antarctic Sciences, Antarctic Integrated System Science program(National Science Foundation (NSF)NSF - Directorate for Geosciences (GEO)); Office of Polar Programs (OPP); Directorate For Geosciences(National Science Foundation (NSF)NSF - Directorate for Geosciences (GEO))</t>
  </si>
  <si>
    <t>The development of the WISSARD HWDS was funded through three sub-awards to the University of Nebraska Lincoln from three primary NSF research grants, namely: (1) Lake Ice Stream Subglacial Access Research Drilling (LISSARD) based at the University of California, Santa Cruz (UCSC, NSF-OPP-ANT-0839142), (2) Robotic Access to Grounding-zones for Exploration and Science (RAGES) based at Northern Illinois University (NSF-OPP ANT-0839107), and (3) Geomicrobiology of Antarctic Subglacial Environments (GBASE) based at Montana State University (NSF-OPP-ANT-0838933). This material is based upon work supported by the NSF Division of Polar Programs, Section for Antarctic Sciences, Antarctic Integrated System Science program as part of the interdisciplinary WISSARD project.</t>
  </si>
  <si>
    <t>10.3189/2014AoG68A031</t>
  </si>
  <si>
    <t>WOS:000351889600034</t>
  </si>
  <si>
    <t>Blythe, DS; Duling, DV; Gibson, DE</t>
  </si>
  <si>
    <t>Blythe, Daren S.; Duling, Dennis V.; Gibson, Dar E.</t>
  </si>
  <si>
    <t>Developing a hot-water drill system for the WISSARD project: 2. In situ water production</t>
  </si>
  <si>
    <t>subglacial lakes</t>
  </si>
  <si>
    <t>Successful hot-water drilling in the Antarctic is predicated on utilization of the abundant water supply available in the form of the Antarctic ice sheet. For WISSARD (Whillans Ice Stream Subglacial Access Research Drilling) field operations, a snowmelting system was developed that could adequately provide water for a 1000 kW hot-water drill. The system employs similar to 100 kW of waste heat from a 225 kW generator to melt snow for initial water (known as seed water) to prime the drill's high-pressure pumps and water heaters; once the water heaters can be engaged in snowmelting, enough water can be supplied directly to the WISSARD drill to successfully melt a 40 cm diameter hole through 800 m of ice.</t>
  </si>
  <si>
    <t>[Blythe, Daren S.; Duling, Dennis V.; Gibson, Dar E.] Univ Nebraska, ANDRILL Sci Management Off, Lincoln, NE 68588 USA</t>
  </si>
  <si>
    <t>Blythe, DS (corresponding author), Univ Nebraska, ANDRILL Sci Management Off, Lincoln, NE 68588 USA.</t>
  </si>
  <si>
    <t>dblythe@andrill.org</t>
  </si>
  <si>
    <t>US National Science Foundation (NSF), Division of Polar Programs [NSF-OPP ANT-0839142, NSF-OPP ANT-0839107]; NSF, Division of Polar Programs, Section for Antarctic Sciences; Directorate For Geosciences; Office of Polar Programs (OPP) [1146554] Funding Source: National Science Foundation; Office of Polar Programs (OPP); Directorate For Geosciences [1346249] Funding Source: National Science Foundation</t>
  </si>
  <si>
    <t>US National Science Foundation (NSF), Division of Polar Programs(National Science Foundation (NSF)NSF - Directorate for Geosciences (GEO)); NSF, Division of Polar Programs, Section for Antarctic Sciences(National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</si>
  <si>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The hot-water drill system (HWDS) development for the WISSARD project was funded through sub-awards to the University of Nebraska Lincoln originating from three primary research grants issued by the US National Science Foundation (NSF), Division of Polar Programs, namely: (1) Lake Ice Stream Subglacial Access Research Drilling (LISSARD) based at the University of California, Santa Cruz (UCSC, NSF-OPP ANT-0839142), (2) Robotic Access to Grounding-zones for Exploration and Science (RAGES) based at Northern Illinois University (NSF-OPP ANT-0839107), and (3) Geomicrobiology of Antarctic Subglacial Environments (GBASE) based at Montana State University (NSF-OPP ANT-0839142). This material is based upon work supported by the NSF, Division of Polar Programs, Section for Antarctic Sciences, as part of the interdisciplinary WISSARD (Whillans Ice Stream Subglacial Access Research Drilling) project.</t>
  </si>
  <si>
    <t>10.3189/2014AoG68A037</t>
  </si>
  <si>
    <t>WOS:000351889600035</t>
  </si>
  <si>
    <t>Johnson, JA; Mortensen, NB; Gibson, CJ; Goetz, JJ; Shturmakov, AJ</t>
  </si>
  <si>
    <t>Johnson, Jay A.; Mortensen, Nicolai B.; Gibson, Christopher J.; Goetz, Joshua J.; Shturmakov, Alexander J.</t>
  </si>
  <si>
    <t>Replicate ice-coring system testing</t>
  </si>
  <si>
    <t>Antarctic glaciology; ice and climate; ice coring; ice engineering</t>
  </si>
  <si>
    <t>Drilling the WDC06A borehole at the West Antarctic Ice Sheet (WAIS) Divide with the Deep Ice Sheet Coring (DISC) drill began in December 2007 and was successfully completed in December 2011 to a depth of 3405 m. The design and construction of a replicate coring system for use with the existing DISC drill began in 2010. In January 2012, the new replicate coring system was tested in the parent borehole at WAIS Divide. While a full deviation was not completed during the test period, much was learned about the mechanical, electrical and operational aspects of the system. Extensive testing and modifications were done over the northern/boreal summer to prepare the system for the upcoming and final season of the project. Further tuning of the system continued during the 2012/13 field season at WAIS Divide. This paper identifies the issues found with the system during the initial test season and discusses solutions, methods and testing done to arrive at an operational system.</t>
  </si>
  <si>
    <t>[Johnson, Jay A.; Mortensen, Nicolai B.; Gibson, Christopher J.; Goetz, Joshua J.; Shturmakov, Alexander J.] Univ Wisconsin, SSEC, IDDO, Madison, WI 53718 USA</t>
  </si>
  <si>
    <t>Johnson, JA (corresponding author), Univ Wisconsin, SSEC, IDDO, Madison, WI 53718 USA.</t>
  </si>
  <si>
    <t>US National Science Foundation (NSF) Office of Polar Programs (OPP); NSF OPP Award [0841135]</t>
  </si>
  <si>
    <t>US National Science Foundation (NSF) Office of Polar Programs (OPP)(National Science Foundation (NSF)); NSF OPP Award</t>
  </si>
  <si>
    <t>A tremendous amount of work and planning went into testing and refining the replicate coring system, which led to the success of the 2012/13 replicate coring season at WAIS Divide. Ice Drilling Design and Operations expresses our sincere gratitude to the numerous people and organizations that helped make this happen. We express special gratitude to SSEC staff, IDDO's Technical Advisory Board (TAB), the Ice Drilling Program Office (IDPO) and Bjorksten vertical bar bit 7 for their strong support. We thank the US National Science Foundation (NSF) Office of Polar Programs (OPP) for ongoing support and funding. This work was supported under NSF OPP Award No. 0841135.</t>
  </si>
  <si>
    <t>10.3189/2014AoG68A034</t>
  </si>
  <si>
    <t>WOS:000351889600038</t>
  </si>
  <si>
    <t>Duphil, R; Possenti, P; Hard, L</t>
  </si>
  <si>
    <t>Duphil, Romain; Possenti, Philippe; Hard, Luc</t>
  </si>
  <si>
    <t>A new leak-tight borehole casing at Dome Concordia station, Antarctica, for the SUBGLACIOR project</t>
  </si>
  <si>
    <t>ice coring</t>
  </si>
  <si>
    <t>In the frame of the SUBGLACIOR project, a new type of casing has been installed for testing during the 2013/14 austral summer season at Dome Concordia station, Antarctica. The SUBGLACIOR probe requires a full fluid column up to the surface, in order to circulate fluid for ice-chips recovery. This makes it essential that the casing is leak-tight through the porous firn column. We have evaluated existing solutions before opting to test a new method. This new system is made of polyethylene pipes which are welded together at the surface while the casing pipes are lowered into the reamed borehole. It is simple and lightweight and allows the casing to be installed quickly with optimum chance of being leak-tight. The installed casing has been tested both with compressed air and drilling fluids and has proven to work.</t>
  </si>
  <si>
    <t>[Duphil, Romain] Univ Grenoble Alpes, LGGE, Grenoble, France; CNRS, Grenoble, France</t>
  </si>
  <si>
    <t>Communaute Universite Grenoble Alpes; Universite Grenoble Alpes (UGA); Centre National de la Recherche Scientifique (CNRS)</t>
  </si>
  <si>
    <t>Duphil, R (corresponding author), Univ Grenoble Alpes, LGGE, Grenoble, France.</t>
  </si>
  <si>
    <t>duphil@lgge.obs.ujf-grenoble.fr</t>
  </si>
  <si>
    <t>European Community [291062]; French Agence Nationale de la Recherche [SIM15-6-ANR-11-BS56-0019]; BNP Paribas Foundation; 'Equipement d'Excellence' EquipEX CLIMCOR [ANR-11-EQPX-0009-CLIMCOR]; IPEV (Paul-Emile Victor Institute, erstwhile French Polar Institute) (France) [1119]; Agence Nationale de la Recherche (ANR) [ANR-11-EQPX-0009] Funding Source: Agence Nationale de la Recherche (ANR)</t>
  </si>
  <si>
    <t>European Community; French Agence Nationale de la Recherche(Agence Nationale de la Recherche (ANR)); BNP Paribas Foundation; 'Equipement d'Excellence' EquipEX CLIMCOR(Agence Nationale de la Recherche (ANR)); IPEV (Paul-Emile Victor Institute, erstwhile French Polar Institute) (France); Agence Nationale de la Recherche (ANR)(Agence Nationale de la Recherche (ANR))</t>
  </si>
  <si>
    <t>The research leading to these results has received funding from the European Community's Seventh Framework Programme ERC2011 under grant agreement No. 291062 (ERC ICE&amp;LASERS) and from the French Agence Nationale de la Recherche under grant agreement No. SIM15-6-ANR-11-BS56-0019 (ANR SUBGLACIOR). This project was conducted with the technical support of the French Drilling and Coring Facility (C2FN - Ice). Additional funding support was provided by the BNP Paribas Foundation as well as 'Equipement d'Excellence' EquipEX CLIMCOR (ANR-11-EQPX-0009-CLIMCOR). Fieldwork is supported by IPEV (Paul-Emile Victor Institute, erstwhile French Polar Institute) (France, through 'SUBGLACIOR' project No. 1119) and PNRA (the Italian Antarctic programme) at Concordia station. We thank Olivier Alemany and Jack Triest for advice on this work, and Jerome Chappellaz for help with the writing.</t>
  </si>
  <si>
    <t>10.3189/2014AoG68A022</t>
  </si>
  <si>
    <t>WOS:000351889600040</t>
  </si>
  <si>
    <t>Wilhelms, F; Miller, H; Gerasimoff, MD; Drücker, C; Frenzel, A; Fritzsche, D; Grobe, H; Hansen, SB; Hilmarsson, S&amp;Aelig;; Hoffmann, G; Hörnby, K; Jaeschke, A; Jakobsdóttir, SS; Juckschat, P; Karsten, A; Karsten, L; Kaufmann, PR; Karlin, T; Kohlberg, E; Kleffel, G; Lambrecht, A; Lambrecht, A; Lawer, G; Schärmeli, I; Schmitt, J; Sheldon, SG; Takata, M; Trenke, M; Twarloh, B; Valero-Delgado, F; Wilhelms-Dick, D</t>
  </si>
  <si>
    <t>Wilhelms, Frank; Miller, Heinrich; Gerasimoff, Michael D.; Druecker, Cord; Frenzel, Andreas; Fritzsche, Diedrich; Grobe, Hannes; Hansen, Steffen Bo; Hilmarsson, Sverrir A. E.; Hoffmann, Georg; Hornby, Kerstin; Jaeschke, Andrea; Jakobsdottir, Steinunn S.; Juckschat, Paul; Karsten, Achim; Karsten, Lorenz; Kaufmann, Patrik R.; Karlin, Torbjorn; Kohlberg, Eberhard; Kleffel, Guido; Lambrecht, Anja; Lambrecht, Astrid; Lawer, Gunther; Schaermeli, Ivan; Schmitt, Jochen; Sheldon, Simon G.; Takata, Morimasa; Trenke, Marcus; Twarloh, Birthe; Valero-Delgado, Fernando; Wilhelms-Dick, Dorothee</t>
  </si>
  <si>
    <t>The EPICA Dronning Maud Land deep drilling operation</t>
  </si>
  <si>
    <t>Antarctic glaciology; glaciological instruments and methods; ice-core drilling</t>
  </si>
  <si>
    <t>ICE-CORE; HISTORY; DESIGN</t>
  </si>
  <si>
    <t>We report on the EPICA Dronning Maud Land (East Antarctica) deep drilling operation. Starting with the scientific questions that led to the outline of the EPICA project, we introduce the setting of sister drillings at NorthGRIP and EPICA Dome C within the European ice-coring community. The progress of the drilling operation is described within the context of three parallel, deep-drilling operations, the problems that occurred and the solutions we developed. Modified procedures are described, such as the monitoring of penetration rate via cable weight rather than motor torque, and modifications to the system (e.g. closing the openings at the lower end of the outer barrel to reduce the risk of immersing the drill in highly concentrated chip suspension). Parameters of the drilling (e.g. corebreak force, cutter pitch, chips balance, liquid level, core production rate and piece number) are discussed. We also review the operational mode, particularly in the context of achieved core length and piece length, which have to be optimized for drilling efficiency and core quality respectively. We conclude with recommendations addressing the design of the chip-collection openings and strictly limiting the cable-load drop with respect to the load at the start of the run.</t>
  </si>
  <si>
    <t>[Wilhelms, Frank; Miller, Heinrich; Druecker, Cord; Frenzel, Andreas; Fritzsche, Diedrich; Grobe, Hannes; Hilmarsson, Sverrir A. E.; Jaeschke, Andrea; Jakobsdottir, Steinunn S.; Juckschat, Paul; Karsten, Achim; Karsten, Lorenz; Kohlberg, Eberhard; Kleffel, Guido; Lambrecht, Anja; Lambrecht, Astrid; Lawer, Gunther; Schmitt, Jochen; Trenke, Marcus; Twarloh, Birthe; Valero-Delgado, Fernando; Wilhelms-Dick, Dorothee] Helmholtz Zentrum Polar &amp; Meeresforsch AWI, Alfred Wegener Inst, Bremerhaven, Germany; [Gerasimoff, Michael D.] Dynam Devices, Lethbridge, AB, Canada; [Hansen, Steffen Bo; Sheldon, Simon G.] Univ Copenhagen, Niels Bohr Inst, Ctr Ice &amp; Climate, DK-2100 Copenhagen, Denmark; [Hoffmann, Georg] Lab Sci Climat &amp; Environm LSCE IPSL CEA CNRS UVSQ, Gif Sur Yvette, France; [Hoffmann, Georg] Univ Utrecht, Inst Marine &amp; Atmospher Res Utrecht IMAU, Utrecht, Netherlands; [Hornby, Kerstin; Karlin, Torbjorn] Stockholm Univ, Dept Phys Geog, S-10691 Stockholm, Sweden; [Kaufmann, Patrik R.; Schaermeli, Ivan] Univ Bern, Inst Phys, Climate &amp; Environm Phys, Bern, Switzerland; [Takata, Morimasa] Nagaoka Univ Technol, Dept Mech Engn, Nagaoka, Niigata 94021, Japan</t>
  </si>
  <si>
    <t>Helmholtz Association; Alfred Wegener Institute, Helmholtz Centre for Polar &amp; Marine Research; University of Copenhagen; Niels Bohr Institute; CEA; Centre National de la Recherche Scientifique (CNRS); Universite Paris Saclay; Utrecht University; Stockholm University; University of Bern; Nagaoka University of Technology</t>
  </si>
  <si>
    <t>Wilhelms, F (corresponding author), Univ Gottingen, Dept Crystallog, Geosci Ctr, D-37073 Gottingen, Germany.</t>
  </si>
  <si>
    <t>Frank.Wilhelms@awi.de</t>
  </si>
  <si>
    <t>Wilhelms, Frank/KEI-8426-2024; Schmitt, Jochen/B-7893-2009; Karlin, Torbjörn A/H-7839-2012; Jaeschke, Andrea/B-8799-2017</t>
  </si>
  <si>
    <t>Wilhelms, Frank/0000-0001-7688-3135; Schmitt, Jochen/0000-0003-4695-3029; Jaeschke, Andrea/0000-0003-2518-2739; Gerasimoff, Michael/0000-0001-5024-153X; Fritzsche, Diedrich/0000-0002-0018-8993; Miller, Heinrich/0000-0003-1015-2828</t>
  </si>
  <si>
    <t>European Union (EPICA-MIS)</t>
  </si>
  <si>
    <t>European Union (EPICA-MIS)(European Union (EU))</t>
  </si>
  <si>
    <t>We thank Pavel Talalay and Olivier Alemany for careful reviews and valuable comments that improved the clarity of the paper. We thank the late Niels Gundestrup, Laurent Augustin, Heinrich Rufli and Jakob Schwander for continuing support when preparing the drilling seasons. We thank the logistic staff, particularly Jens Kohler, Holger Wohltmann, Ralf Witt, Gunter Stoof, Adolf Ackermann, Holger Schubert, Andreas Brehme, Jochen Krischat and Markus Weynand, for providing a reliable camp infrastructure. We thank Hans Oerter for pre-site surveying of the area, coordinating the preparation and implementation of the EPICA DML drilling project and for his valuable comments that improved the paper. Marzena Kaszmarska participated in the drill team. This work is a contribution to the European Project for Ice Coring in Antarctica (EPICA), a joint European Science Foundation/European Commission scientific programme, funded by the the European Union (EPICA-MIS) and by national contributions from Belgium, Denmark, France, Germany, Italy, the Netherlands, Norway, Sweden, Switzerland and the United Kingdom. The main logistical support was provided by the French (IPEV) and Italian (PNRA) polar institutes (at Dome C) and AWI (at Dronning Maud Land).</t>
  </si>
  <si>
    <t>10.3189/2014AoG68A189</t>
  </si>
  <si>
    <t>Green Submitted, Bronze, Green Published</t>
  </si>
  <si>
    <t>WOS:000351889600041</t>
  </si>
  <si>
    <t>Yue, YC; Lai, SS</t>
  </si>
  <si>
    <t>Anonymous</t>
  </si>
  <si>
    <t>Yue, Ying-chun; Lai, Shuang-shang</t>
  </si>
  <si>
    <t>The Application of BP Neural Network Model and Grey Model to Predicting Atmospheric Precipitation</t>
  </si>
  <si>
    <t>INTERNATIONAL CONFERENCE ON INFORMATION TECHNOLOGY AND MANAGEMENT ENGINEERING (ITME 2014)</t>
  </si>
  <si>
    <t>International Conference on Information Technology and Management Engineering (ITME)</t>
  </si>
  <si>
    <t>APR 26-27, 2014</t>
  </si>
  <si>
    <t>Hong Kong, PEOPLES R CHINA</t>
  </si>
  <si>
    <t>BP neural network; Grey model; Atmospheric precipitation</t>
  </si>
  <si>
    <t>BP neural network model and Grey model were applied to the forecast of atmospheric precipitation, having their own advantages and disadvantages, and their accuracy had differences. Based on the principle of two models, using the atmospheric precipitation data of Antarctic Great Wall station and Zhongshan station with MATLAB to predict the atmospheric precipitation was studied. Comparing the results of the prediction to be drawn out: BP neural network model is more suitable for predicting the atmospheric precipitation of Antarctic Great Wall station and Zhongshan station.</t>
  </si>
  <si>
    <t>[Yue, Ying-chun; Lai, Shuang-shang] China Univ Geosci Wuhan, Fac Informat Engn, HongShan Area, Wuhan 430074, Hubei Province, Peoples R China</t>
  </si>
  <si>
    <t>China University of Geosciences</t>
  </si>
  <si>
    <t>Yue, YC (corresponding author), China Univ Geosci Wuhan, Fac Informat Engn, HongShan Area, 388 Lumo Rd, Wuhan 430074, Hubei Province, Peoples R China.</t>
  </si>
  <si>
    <t>DESTECH PUBLICATIONS, INC</t>
  </si>
  <si>
    <t>LANCASTER</t>
  </si>
  <si>
    <t>439 DUKE STREET, LANCASTER, PA 17602-4967 USA</t>
  </si>
  <si>
    <t>978-1-60595-182-9</t>
  </si>
  <si>
    <t>Computer Science, Interdisciplinary Applications; Management; Operations Research &amp; Management Science</t>
  </si>
  <si>
    <t>Computer Science; Business &amp; Economics; Operations Research &amp; Management Science</t>
  </si>
  <si>
    <t>BC3SN</t>
  </si>
  <si>
    <t>WOS:000351910600015</t>
  </si>
  <si>
    <t>Bruchkouski, I; Dziomin, V; Krasouski, A</t>
  </si>
  <si>
    <t>Bruchkouski, Ilya; Dziomin, Viktar; Krasouski, Aliaksandr</t>
  </si>
  <si>
    <t>SEASONAL VARIABILITY OF THE ATMOSPHERIC TRACE CONSTITUENTS IN ANTARCTICA</t>
  </si>
  <si>
    <t>2014 IEEE INTERNATIONAL GEOSCIENCE AND REMOTE SENSING SYMPOSIUM (IGARSS)</t>
  </si>
  <si>
    <t>IEEE International Symposium on Geoscience and Remote Sensing IGARSS</t>
  </si>
  <si>
    <t>IEEE Joint International Geoscience and Remote Sensing Symposium (IGARSS) / 35th Canadian Symposium on Remote Sensing</t>
  </si>
  <si>
    <t>JUL 13-18, 2014</t>
  </si>
  <si>
    <t>Quebec City, CANADA</t>
  </si>
  <si>
    <t>This paper investigates the variability of ozone and nitrogen dioxide over the eastern Antarctica. The measurements were made using the MAX-DOAS instrument, which has been developed in NOMREC BSU in 2010. The aim of this work was to test the possibility of retrieval of ozone and nitrogen dioxide in pure Antarctic atmosphere using the MAX-DOAS instrument.</t>
  </si>
  <si>
    <t>[Bruchkouski, Ilya; Krasouski, Aliaksandr] Belarusian State Univ, Minsk 220050, BELARUS</t>
  </si>
  <si>
    <t>Belarusian State University</t>
  </si>
  <si>
    <t>Bruchkouski, I (corresponding author), Belarusian State Univ, Minsk 220050, BELARUS.</t>
  </si>
  <si>
    <t>Krasouski, Aliaksandr/CAF-6133-2022; Ilya, Bruchkouski/JCE-5878-2023; Ilya, Bruchkouski/AAY-2293-2020</t>
  </si>
  <si>
    <t>Bruchkouski, Ilya/0000-0001-9162-4844</t>
  </si>
  <si>
    <t>2153-6996</t>
  </si>
  <si>
    <t>978-1-4799-5775-0</t>
  </si>
  <si>
    <t>INT GEOSCI REMOTE SE</t>
  </si>
  <si>
    <t>10.1109/IGARSS.2014.6947387</t>
  </si>
  <si>
    <t>Engineering, Electrical &amp; Electronic; Geosciences, Multidisciplinary; Remote Sensing</t>
  </si>
  <si>
    <t>Engineering; Geology; Remote Sensing</t>
  </si>
  <si>
    <t>BC0WG</t>
  </si>
  <si>
    <t>WOS:000349688105166</t>
  </si>
  <si>
    <t>Biscotti, MA; Canapa, A; Capriglione, T; Forconi, M; Odierna, G; Olmo, E; Petraccioli, A; Barucca, M</t>
  </si>
  <si>
    <t>Biscotti, Maria A.; Canapa, Adriana; Capriglione, Teresa; Forconi, Mariko; Odierna, Gaetano; Olmo, Ettore; Petraccioli, Agnese; Barucca, Marco</t>
  </si>
  <si>
    <t>Novel Repeated DNAs in the Antarctic Polyplacophoran Nuttallochiton mirandus (Thiele, 1906)</t>
  </si>
  <si>
    <t>CYTOGENETIC AND GENOME RESEARCH</t>
  </si>
  <si>
    <t>Nuttallochiton mirandus; Polyplacophora; Satellite DNA</t>
  </si>
  <si>
    <t>ALPHA-SATELLITE DNA; TRANSPOSABLE ELEMENTS; REPETITIVE DNA; MOLECULAR DRIVE; TANDEM REPEATS; TRNASCAN-SE; EVOLUTION; FAMILY; GENOME; HETEROCHROMATIN</t>
  </si>
  <si>
    <t>Within the scope of a project on the characterization of satellite DNAs in polar mollusks, the Antarctic chiton Nuttallochiton mirandus (Thiele, 1906) was analyzed. Two novel families of tandemly repeated DNAs, namely NmH and NmP, are described in their structure and chromosomal localization, and, furthermore, their presence was analyzed in related species. Data reported here display a particular variability in the structural organization of DNA satellites within this species. Processes driving satellite evolution, which are likely responsible for the intriguing variability of the identified satellite DNAs, are discussed. (C) 2015 S. Karger AG, Basel</t>
  </si>
  <si>
    <t>[Biscotti, Maria A.; Canapa, Adriana; Forconi, Mariko; Olmo, Ettore; Barucca, Marco] Univ Politecn Marche, Dipartimento Sci Vita &amp; Ambiente, IT-60131 Ancona, Italy; [Capriglione, Teresa; Odierna, Gaetano; Petraccioli, Agnese] Univ Naples Federico II, Dipartimento Biol, Naples, Italy</t>
  </si>
  <si>
    <t>Marche Polytechnic University; University of Naples Federico II</t>
  </si>
  <si>
    <t>Biscotti, MA (corresponding author), Univ Politecn Marche, Dipartimento Sci Vita &amp; Ambiente, Via Brecce Bianche, IT-60131 Ancona, Italy.</t>
  </si>
  <si>
    <t>m.a.biscotti@univpm.it</t>
  </si>
  <si>
    <t>This work was supported by a grant from Programma Nazionale di Ricerche in Antartide (PNRA). The authors from Universita Politecnica delle Marche are affiliated to the Istituto Nazionale Biostrutture e Biosistemi (INBB).</t>
  </si>
  <si>
    <t>KARGER</t>
  </si>
  <si>
    <t>ALLSCHWILERSTRASSE 10, CH-4009 BASEL, SWITZERLAND</t>
  </si>
  <si>
    <t>1424-8581</t>
  </si>
  <si>
    <t>1424-859X</t>
  </si>
  <si>
    <t>CYTOGENET GENOME RES</t>
  </si>
  <si>
    <t>Cytogenet. Genome Res.</t>
  </si>
  <si>
    <t>10.1159/000370054</t>
  </si>
  <si>
    <t>Cell Biology; Genetics &amp; Heredity</t>
  </si>
  <si>
    <t>CC6PU</t>
  </si>
  <si>
    <t>WOS:000350489100009</t>
  </si>
  <si>
    <t>Fern, S; Nash, K; Leane, E</t>
  </si>
  <si>
    <t>Burns, GL; Paterson, M</t>
  </si>
  <si>
    <t>Fern, Sophie; Nash, Kate; Leane, Elizabeth</t>
  </si>
  <si>
    <t>Encounters with Antarctic animals in ABC's Catalyst</t>
  </si>
  <si>
    <t>ENGAGING WITH ANIMALS: INTERPRETATIONS OF A SHARED EXISTENCE</t>
  </si>
  <si>
    <t>Animal Publics</t>
  </si>
  <si>
    <t>CONSERVATION; TELEVISION</t>
  </si>
  <si>
    <t>[Nash, Kate] Univ Leeds, Sch Media &amp; Commun, Leeds LS2 9JT, W Yorkshire, England; [Leane, Elizabeth] Univ Tasmania, Sch Humanities, Hobart, Tas 7001, Australia; [Leane, Elizabeth] Univ Tasmania, Inst Marine &amp; Antarct Studies, Hobart, Tas 7001, Australia</t>
  </si>
  <si>
    <t>University of Leeds; University of Tasmania; University of Tasmania</t>
  </si>
  <si>
    <t>Leane, Elizabeth M/J-7138-2014</t>
  </si>
  <si>
    <t>Leane, Elizabeth/0000-0002-7954-6529</t>
  </si>
  <si>
    <t>SYDNEY UNIV PRESS</t>
  </si>
  <si>
    <t>SYDNEY</t>
  </si>
  <si>
    <t>UNIV SYDNEY LIBRARY F03, SYDNEY, NSW 2006, AUSTRALIA</t>
  </si>
  <si>
    <t>978-1-74332-029-7</t>
  </si>
  <si>
    <t>ANIM PUB</t>
  </si>
  <si>
    <t>Social Sciences, Interdisciplinary</t>
  </si>
  <si>
    <t>Social Sciences - Other Topics</t>
  </si>
  <si>
    <t>BC0DH</t>
  </si>
  <si>
    <t>WOS:000348924700006</t>
  </si>
  <si>
    <t>Kearney, B; Farebrother, G</t>
  </si>
  <si>
    <t>Johnson, ML; Sandell, J</t>
  </si>
  <si>
    <t>Kearney, Bob; Farebrother, Graham</t>
  </si>
  <si>
    <t>Inadequate Evaluation and Management of Threats in Australia's Marine Parks, Including the Great Barrier Reef, Misdirect Marine Conservation</t>
  </si>
  <si>
    <t>MARINE MANAGED AREAS AND FISHERIES</t>
  </si>
  <si>
    <t>Advances in Marine Biology</t>
  </si>
  <si>
    <t>Review; Book Chapter</t>
  </si>
  <si>
    <t>Great Barrier Reef Management; Evidence-based marine conservation; Adaptive marine management; Poorly justified restriction of fishing in MPAs; Australian marine conservation strategy; Uncritical science used to underpin marine policy</t>
  </si>
  <si>
    <t>PROTECTED AREAS; DECLINE; SUSTAINABILITY; TERRESTRIAL; ISLAND; FISH</t>
  </si>
  <si>
    <t>The magnificence of the Great Barrier Reef and its worthiness of extraordinary efforts to protect it from whatever threats may arise are unquestioned. Yet almost four decades after the establishment of the Great Barrier Reef Marine Park, Australia's most expensive and intensely researched Marine Protected Area, the health of the Reef is reported to be declining alarmingly. The management of the suite of threats to the health of the reef has clearly been inadequate, even though there have been several notable successes. It is argued that the failure to prioritise correctly all major threats to the reef, coupled with the exaggeration of the benefits of calling the park a protected area and zoning subsets of areas as 'no-take', has distracted attention from adequately addressing the real causes of impact. Australia's marine conservation efforts have been dominated by commitment to a National Representative System of Marine Protected Areas. In so doing, Australia has displaced the internationally accepted primary priority for pursuing effective protection of marine environments with inadequately critical adherence to the principle of having more and bigger marine parks. The continuing decline in the health of the Great Barrier Reef and other Australian coastal areas confirms the limitations of current area management for combating threats to marine ecosystems. There is great need for more critical evaluation of how marine environments can be protected effectively and managed efficiently.</t>
  </si>
  <si>
    <t>[Kearney, Bob] Univ Canberra, Inst Appl Ecol, Bruce, ACT, Australia; [Farebrother, Graham] Sydney Fish Market, Pyrmont, NSW, Australia; [Farebrother, Graham] Univ Tasmania, Fisheries Aquaculture &amp; Coasts Ctr, Inst Marine &amp; Antarctic Studies, Hobart, Tas, Australia</t>
  </si>
  <si>
    <t>University of Canberra; Sydney Fish Market; University of Tasmania</t>
  </si>
  <si>
    <t>Kearney, B (corresponding author), Univ Canberra, Inst Appl Ecol, Bruce, ACT, Australia.</t>
  </si>
  <si>
    <t>bob.kearney@canberra.edu.au</t>
  </si>
  <si>
    <t>ELSEVIER ACADEMIC PRESS INC</t>
  </si>
  <si>
    <t>525 B STREET, SUITE 1900, SAN DIEGO, CA 92101-4495 USA</t>
  </si>
  <si>
    <t>0065-2881</t>
  </si>
  <si>
    <t>978-0-12-800214-8</t>
  </si>
  <si>
    <t>ADV MAR BIOL</t>
  </si>
  <si>
    <t>Adv. Mar. Biol.</t>
  </si>
  <si>
    <t>10.1016/B978-0-12-800214-8.00007-4</t>
  </si>
  <si>
    <t>Book Citation Index – Science (BKCI-S); Science Citation Index Expanded (SCI-EXPANDED)</t>
  </si>
  <si>
    <t>BC1AC</t>
  </si>
  <si>
    <t>WOS:000349890300008</t>
  </si>
  <si>
    <t>Doherty, TS; Bengsen, AJ; Davis, RA</t>
  </si>
  <si>
    <t>Doherty, Tim S.; Bengsen, Andrew J.; Davis, Robert A.</t>
  </si>
  <si>
    <t>A critical review of habitat use by feral cats and key directions for future research and management</t>
  </si>
  <si>
    <t>WILDLIFE RESEARCH</t>
  </si>
  <si>
    <t>Felis catus; habitat selection; home range; introduced predator; invasive predator; predator control</t>
  </si>
  <si>
    <t>HOME-RANGE BEHAVIOR; WILD-LIVING CATS; FELIS-CATUS; MESOPREDATOR RELEASE; INTRAGUILD INTERACTIONS; POPULATION-DYNAMICS; MAMMALIAN PREDATORS; INVASIVE CATS; TOP PREDATORS; BAIT UPTAKE</t>
  </si>
  <si>
    <t>Feral cats (Felis catus) have a wide global distribution and cause significant damage to native fauna. Reducing their impacts requires an understanding of how they use habitat and which parts of the landscape should be the focus of management. We reviewed 27 experimental and observational studies conducted around the world over the last 35 years that aimed to examine habitat use by feral and unowned cats. Our aims were to: (1) summarise the current body of literature on habitat use by feral and unowned cats in the context of applicable ecological theory (i.e. habitat selection, foraging theory); (2) develop testable hypotheses to help fill important knowledge gaps in the current body of knowledge on this topic; and (3) build a conceptual framework that will guide the activities of researchers and managers in reducing feral cat impacts. We found that feral cats exploit a diverse range of habitats including arid deserts, shrublands and grasslands, fragmented agricultural landscapes, urban areas, glacial valleys, equatorial to sub-Antarctic islands and a range of forest and woodland types. Factors invoked to explain habitat use by cats included prey availability, predation/competition, shelter availability and human resource subsidies, but the strength of evidence used to support these assertions was low, with most studies being observational or correlative. We therefore provide a list of key directions that will assist conservation managers and researchers in better understanding and ameliorating the impact of feral cats at a scale appropriate for useful management and research. Future studies will benefit from employing an experimental approach and collecting data on the relative abundance and activity of prey and other predators. This might include landscape-scale experiments where the densities of predators, prey or competitors are manipulated and then the response in cat habitat use is measured. Effective management of feral cat populations could target high-use areas, such as linear features and structurally complex habitat. Since our review shows often-divergent outcomes in the use of the same habitat components and vegetation types worldwide, local knowledge and active monitoring of management actions is essential when deciding on control programs.</t>
  </si>
  <si>
    <t>[Doherty, Tim S.; Davis, Robert A.] Edith Cowan Univ, Sch Nat Sci, Joondalup, WA 6027, Australia; [Bengsen, Andrew J.] New South Wales Dept Primary Ind, Vertebrate Pest Res Unit, Orange, NSW 2800, Australia</t>
  </si>
  <si>
    <t>Edith Cowan University; NSW Department of Primary Industries</t>
  </si>
  <si>
    <t>Doherty, TS (corresponding author), Edith Cowan Univ, Sch Nat Sci, 270 Joondalup Dr, Joondalup, WA 6027, Australia.</t>
  </si>
  <si>
    <t>t.doherty@ecu.edu.au</t>
  </si>
  <si>
    <t>Davis, Robert/F-6621-2012; Doherty, Tim S./G-9354-2015; Bengsen, Andrew/H-4844-2019</t>
  </si>
  <si>
    <t>Davis, Robert/0000-0002-9062-5754; Doherty, Tim S./0000-0001-7745-0251; Bengsen, Andrew/0000-0003-2205-4416</t>
  </si>
  <si>
    <t>Earthwatch Institute Australia; Edith Cowan University</t>
  </si>
  <si>
    <t>TSD was supported by scholarships from Earthwatch Institute Australia and Edith Cowan University while conducting this research. Mike Calver and four anonymous referees provided helpful comments on earlier versions of this paper.</t>
  </si>
  <si>
    <t>CSIRO PUBLISHING</t>
  </si>
  <si>
    <t>CLAYTON</t>
  </si>
  <si>
    <t>UNIPARK, BLDG 1, LEVEL 1, 195 WELLINGTON RD, LOCKED BAG 10, CLAYTON, VIC 3168, AUSTRALIA</t>
  </si>
  <si>
    <t>1035-3712</t>
  </si>
  <si>
    <t>1448-5494</t>
  </si>
  <si>
    <t>WILDLIFE RES</t>
  </si>
  <si>
    <t>Wildl. Res.</t>
  </si>
  <si>
    <t>10.1071/WR14159</t>
  </si>
  <si>
    <t>CC2DH</t>
  </si>
  <si>
    <t>WOS:000350154800006</t>
  </si>
  <si>
    <t>Alvarez, LM; Ruberto, L; Nizovoy, P; Hernández, E; Coria, S; Vázquez, S; Cormack, WM</t>
  </si>
  <si>
    <t>Martinez Alvarez, L.; Ruberto, L.; Nizovoy, P.; Hernandez, E.; Coria, S.; Vazquez, S.; Mac Cormack, W.</t>
  </si>
  <si>
    <t>BIOREMEDIATION OF HYDROCARBON-CONTAMINATED ANTARCTIC SOIL: OPTIMIZATION AND BIOPILE-SCALE FIELD ASSAY</t>
  </si>
  <si>
    <t>BIOCELL</t>
  </si>
  <si>
    <t>[Martinez Alvarez, L.; Nizovoy, P.; Hernandez, E.; Coria, S.; Mac Cormack, W.] UBA, Inst Nanobiotecnol, Catedra Biotecnol, Buenos Aires, DF, Argentina; [Ruberto, L.; Vazquez, S.] Consejo Nacl Invest Cient &amp; Tecn, RA-1033 Buenos Aires, DF, Argentina</t>
  </si>
  <si>
    <t>University of Buenos Aires; Consejo Nacional de Investigaciones Cientificas y Tecnicas (CONICET)</t>
  </si>
  <si>
    <t>lucasmartinezalv@gmail.com</t>
  </si>
  <si>
    <t>INST HISTOL EMBRIOL-CONICET</t>
  </si>
  <si>
    <t>MENDOZA</t>
  </si>
  <si>
    <t>FAC CIENCIAS MED-UNIV NAC CUYO CASILLA DE CORREO 56, 5500 MENDOZA, ARGENTINA</t>
  </si>
  <si>
    <t>0327-9545</t>
  </si>
  <si>
    <t>1667-5746</t>
  </si>
  <si>
    <t>Biocell</t>
  </si>
  <si>
    <t>BT-P12</t>
  </si>
  <si>
    <t>CB7BH</t>
  </si>
  <si>
    <t>WOS:000349780600114</t>
  </si>
  <si>
    <t>Shao, X; Cao, CY; Zhang, B; Qiu, S; Elvidge, C; Von Hendy, M</t>
  </si>
  <si>
    <t>Xiong, X; Shimoda, H</t>
  </si>
  <si>
    <t>Shao, Xi; Cao, Changyong; Zhang, Bin; Qiu, Shi; Elvidge, Christopher; Von Hendy, Michael</t>
  </si>
  <si>
    <t>Radiometric calibration of DMSP-OLS Sensor using VIIRS Day/Night Band</t>
  </si>
  <si>
    <t>EARTH OBSERVING MISSIONS AND SENSORS: DEVELOPMENT, IMPLEMENTATION, AND CHARACTERIZATION III</t>
  </si>
  <si>
    <t>Conference on Earth Observing Missions and Sensors - Development, Implementation, and Characterization III</t>
  </si>
  <si>
    <t>OCT 13-15, 2014</t>
  </si>
  <si>
    <t>Beijing, PEOPLES R CHINA</t>
  </si>
  <si>
    <t>DMSP-OLS; VIIRS-DNB; Dome C; lunar vicarious calibration; night time imaging; night light sensor calibration</t>
  </si>
  <si>
    <t>ANTARCTIC DOME C; NIGHTTIME; IMAGERY; LIGHT; EARTH</t>
  </si>
  <si>
    <t>Defense Meteorological Satellite Program (DMSP) Operational Linescan System (OLS) has been collecting global night light imaging data for more than 40 years. With the launch of Suomi-NPP satellite in 2011, the Day/Night Band (DNB) of the Visible Infrared Imaging Radiometer Suite (VIIRS) represents a major advancement in night time imaging capabilities because it surpasses DMSP-OLS in having broader radiometric measurement range, more accurate radiometric calibration, finer spatial resolution, and better geometric quality. DMSP-OLS sensor does not have on-board calibration and data is recorded as digital number (DN). Therefore, VIIRS-DNB provides opportunities to perform quantitative radiometric calibration of DMSP-OLS sensor. In this paper, vicarious radiometric calibration of DMSP-OLS at night under lunar illumination is performed. Events were selected when satellite flies above Dome C in Antarctic at night and the moon illuminates the site with lunar phase being more than quarter moon. Additional event selection criteria to limit solar and lunar zenith angle range have been applied to ensure no influence of stray light effects and adequate lunar illumination. The data from DMSP-OLS and VIIRS-DNB were analyzed to derive the characteristic radiance or DN for the region of interest. The scaling coefficient for converting DMSP-OLS DN values into radiance is determined to optimally merge the observation of DMSP-OLS into VIIRS-DNB radiance data as a function of lunar phases. Calibrating the nighttime light data collected by the DMSP-OLS sensors into radiance unit can enable applications of using both sensor data and advance the applications of night time imagery data.</t>
  </si>
  <si>
    <t>[Shao, Xi; Zhang, Bin; Qiu, Shi] Univ Maryland, College Pk, MD 20742 USA; [Cao, Changyong] NOAA NESDIS STAR, College Pk, MD 20742 USA; [Elvidge, Christopher; Von Hendy, Michael] NOAA Natl Geophys Data Ctr, Earth Observ Grp, Boulder, CO USA</t>
  </si>
  <si>
    <t>University System of Maryland; University of Maryland College Park; National Oceanic Atmospheric Admin (NOAA) - USA; National Oceanic Atmospheric Admin (NOAA) - USA</t>
  </si>
  <si>
    <t>Shao, X (corresponding author), Univ Maryland, College Pk, MD 20742 USA.</t>
  </si>
  <si>
    <t>Elvidge, Christopher D./C-3012-2009; Shao, Xi/H-9452-2016; Cao, Changyong/F-5578-2010</t>
  </si>
  <si>
    <t>Cao, Changyong/0000-0003-3572-6525</t>
  </si>
  <si>
    <t>978-1-62841-331-1</t>
  </si>
  <si>
    <t>92640A</t>
  </si>
  <si>
    <t>10.1117/12.2068999</t>
  </si>
  <si>
    <t>Remote Sensing; Optics</t>
  </si>
  <si>
    <t>BC0QN</t>
  </si>
  <si>
    <t>WOS:000349361500006</t>
  </si>
  <si>
    <t>Wu, AS; Wang, ZP; Li, YH; Madhavan, S; Wenny, BN; Chen, N; Xiong, XX</t>
  </si>
  <si>
    <t>Wu, Aisheng; Wang, Zhipeng (Ben); Li, Yonghong; Madhavan, Sriharsha; Wenny, Brian N.; Chen, Na; Xiong, Xiaoxiong (Jack)</t>
  </si>
  <si>
    <t>Adjusting Aqua MODIS TEB nonlinear calibration coefficients using iterative solution</t>
  </si>
  <si>
    <t>MODIS; calibration; blackbody; nonlinearity</t>
  </si>
  <si>
    <t>Radiometric calibration is important for continuity and reliability of any optical sensor data. The Moderate Resolution Imaging Spectroradiometer (MODIS) onboard NASA EOS (Earth Observing System) Aqua satellite has been nominally operating since its launch on May 4, 2002. The MODIS thermal emissive bands (TEB) are calibrated using a quadratic calibration algorithm and the dominant gain term is determined every scan by reference to a temperature-controlled blackbody (BB) with known emissivity. On a quarterly basis, a BB warm-up and cool-down (WUCD) process is scheduled to provide measurements to determine the offset and nonlinear coefficients used in the TEB calibration algorithm. For Aqua MODIS, the offset and nonlinear terms are based on the results from prelaunch thermal vacuum tests. However, on-orbit trending results show that they have small but noticeable drifts. To maintain data quality and consistency, an iterative approach is applied to adjust the prelaunch based nonlinear terms, which are currently used to produce Aqua MODIS Collection-6 L1B. This paper provides details on how to use an iterative solution to determine these calibration coefficients based on BB WUCD measurements. Validation is performed using simultaneous nadir overpasses (SNO) of Aqua MODIS and the Infrared Atmospheric Sounding Interferometer (IASI) onboard the Metop-A satellite and near surface temperature measurements at Dome C on the Antarctic Plateau.</t>
  </si>
  <si>
    <t>[Wu, Aisheng; Wang, Zhipeng (Ben); Li, Yonghong; Wenny, Brian N.; Chen, Na] Sigma Space Corp, 4801 Forbes Blvd, Lanham, MD 20706 USA; [Madhavan, Sriharsha] Sci &amp; Syst Applicat Inc, Lanham, MD 20706 USA; [Xiong, Xiaoxiong (Jack)] NASA GSFC, Sci &amp; Explorat Directorate, Greenbelt, MD 20771 USA</t>
  </si>
  <si>
    <t>Science Systems and Applications Inc; National Aeronautics &amp; Space Administration (NASA); NASA Goddard Space Flight Center</t>
  </si>
  <si>
    <t>Wu, AS (corresponding author), Sigma Space Corp, 4801 Forbes Blvd, Lanham, MD 20706 USA.</t>
  </si>
  <si>
    <t>Gu, Yucheng/GPX-1847-2022; Wang, Zhipeng/ABA-2900-2020</t>
  </si>
  <si>
    <t>Gu, Yucheng/0000-0002-6400-6167; Wang, Zhipeng/0000-0002-9108-9009</t>
  </si>
  <si>
    <t>92640R</t>
  </si>
  <si>
    <t>10.1117/12.2069246</t>
  </si>
  <si>
    <t>WOS:000349361500018</t>
  </si>
  <si>
    <t>Zimmerman, S; Barnes, ME</t>
  </si>
  <si>
    <t>Tatina, R</t>
  </si>
  <si>
    <t>Zimmerman, Sarah; Barnes, Michael E.</t>
  </si>
  <si>
    <t>USE OF A COMMERCIAL FEEDING STIMULANT DURING MCCONAUGHY RAINBOW TROUT REARING</t>
  </si>
  <si>
    <t>PROCEEDINGS OF THE SOUTH DAKOTA ACADEMY OF SCIENCE, VOL 93</t>
  </si>
  <si>
    <t>Proceedings of the South Dakota Academy of Science</t>
  </si>
  <si>
    <t>99th Annual Meeting of the South-Dakota-Academy-of-Science</t>
  </si>
  <si>
    <t>MAR 28-29, 2014</t>
  </si>
  <si>
    <t>S Dakota Sch Mines &amp; Technol, Rapid City, SD</t>
  </si>
  <si>
    <t>S Dakota Sch Mines &amp; Technol</t>
  </si>
  <si>
    <t>Rainbow trout; feeding stimulant; diet; krill; Oncorhynchus mykiss</t>
  </si>
  <si>
    <t>EUPHAUSIA-SUPERBA MEAL; FISH-MEAL; ONCORHYNCHUS-MYKISS; ANTARCTIC KRILL; GROWTH-PERFORMANCE; ATLANTIC SALMON; YEAST CULTURE; FED DIETS; REPLACEMENT; SUPPLEMENTATION</t>
  </si>
  <si>
    <t>This study examined the use of a commercial feeding stimulant, Bioflake (BioOregon, Longview, WA), during McConaughy strain rainbow trout (Oncorhynchus mykiss) rearing in two trials. The first trial began at the onset of feeding and lasted for 28 days, with the trout receiving either a commercial starter diet, or the same diet supplemented with 5% Bioflake for the first five days of feeding. Mean tank ending weights after 27 days of feeding were 112 g for the starter diet and 131 g for the Bioflake supplemented diet, but these means were not significantly different. There were also no significant differences between the diets in weight gain, feed conversion ratio, individual fish length and individual fish weight. A second trial occurred from rearing days 28 to 56, with trout fed either a commercial diet of #1 granules or the same diet with 5% Bioflake added during days 28 through 32. For this trial, mean tank ending weights were 267 g and 312 g for the #1 granule diet and the Bioflake supplemented diet respectively, but these means exhibited considerable variation and were not significantly different. There were also no significant differences between the diets in weight gain, feed conversion ratio, individual fish length and individual fish weight. While the results from these trials indicate no statistically-beneficial effects from the use of Bioflake supplementation during McConaughy strain rainbow trout feeding, interpretation of the data is hampered by considerable variation and small sample sizes.</t>
  </si>
  <si>
    <t>[Zimmerman, Sarah; Barnes, Michael E.] McNenny State Fish Hatchery, South Dakota Dept Game Fish &amp; Pk, Spearfish, SD 57783 USA</t>
  </si>
  <si>
    <t>Barnes, ME (corresponding author), McNenny State Fish Hatchery, South Dakota Dept Game Fish &amp; Pk, 19619 Trout Loop, Spearfish, SD 57783 USA.</t>
  </si>
  <si>
    <t>mike.barnes@state.sd.us</t>
  </si>
  <si>
    <t>SOUTH DAKOTA ACAD SCIENCE</t>
  </si>
  <si>
    <t>PIERRE</t>
  </si>
  <si>
    <t>HCR 531 BOX 97, PIERRE, SD 57501 USA</t>
  </si>
  <si>
    <t>0096-378X</t>
  </si>
  <si>
    <t>0096-1947</t>
  </si>
  <si>
    <t>PROC S D ACAD SCI</t>
  </si>
  <si>
    <t>Proc. South Dak. Acad. Sci.</t>
  </si>
  <si>
    <t>BC0ST</t>
  </si>
  <si>
    <t>WOS:000349496600006</t>
  </si>
  <si>
    <t>Shao, ZF; Hou, JH; Jiang, MM; Zhou, XR</t>
  </si>
  <si>
    <t>Im, E; Yang, S; Zhang, P</t>
  </si>
  <si>
    <t>Shao, Zhenfeng; Hou, Jihu; Jiang, Manman; Zhou, Xiran</t>
  </si>
  <si>
    <t>Cloud detection in Landsat imagery for Antarctic region using multispectral thresholds</t>
  </si>
  <si>
    <t>REMOTE SENSING OF THE ATMOSPHERE, CLOUDS, AND PRECIPITATION V</t>
  </si>
  <si>
    <t>Conference on Remote Sensing of the Atmosphere, Clouds, and Precipitation V</t>
  </si>
  <si>
    <t>cloud detection; Landsat; Antarctic; multispectral thresholds</t>
  </si>
  <si>
    <t>COVER ASSESSMENT</t>
  </si>
  <si>
    <t>Most of the Antarctic continent is covered with ice and snow. However, it's hard to distinguish clouds from ice and snow in remote sensing images because they both have similar characteristics in visible reflectances and infrared brightness temperatures. Thus there exist great difficulties in determining the precise locations and distribution of clouds in remote sensing images. To solve this problem, a new method is proposed to identify clouds for Landsat imagery over the Antarctic region. Top of atmosphere reflectance and brightness temperature of Landsat imagery are used as inputs. Several spectral tests combined with morphological operations are employed to highlight clouds, especially thin clouds. The results show that the new method can not only greatly eliminate the effects of snow and ice, but also extract thin clouds effectively, and thus improve cloud detection accuracy over the Antarctic region.</t>
  </si>
  <si>
    <t>[Shao, Zhenfeng; Hou, Jihu; Jiang, Manman] Wuhan Univ, State Key Lab Informat Engn Surveying Mapping &amp; R, 129 Luoyu Rd, Wuhan 430079, Peoples R China; [Zhou, Xiran] Arizona State Univ, GeoDa Ctr Geospatial Anal &amp; Computat, Tempe, AZ 85287 USA</t>
  </si>
  <si>
    <t>Wuhan University; Arizona State University; Arizona State University-Tempe</t>
  </si>
  <si>
    <t>Shao, ZF (corresponding author), Wuhan Univ, State Key Lab Informat Engn Surveying Mapping &amp; R, 129 Luoyu Rd, Wuhan 430079, Peoples R China.</t>
  </si>
  <si>
    <t>houjihu@whu.edu.cn</t>
  </si>
  <si>
    <t>978-1-62841-326-7</t>
  </si>
  <si>
    <t>10.1117/12.2070635</t>
  </si>
  <si>
    <t>Environmental Sciences; Meteorology &amp; Atmospheric Sciences; Optics</t>
  </si>
  <si>
    <t>Environmental Sciences &amp; Ecology; Meteorology &amp; Atmospheric Sciences; Optics</t>
  </si>
  <si>
    <t>BB9ZL</t>
  </si>
  <si>
    <t>WOS:000348833900011</t>
  </si>
  <si>
    <t>Schillings, P</t>
  </si>
  <si>
    <t>Ellis, H; Kirchberger, U</t>
  </si>
  <si>
    <t>Schillings, Pascal</t>
  </si>
  <si>
    <t>Anglo-German Networks of Antarctic Exploration around 1900</t>
  </si>
  <si>
    <t>ANGLO-GERMAN SCHOLARLY NETWORKS IN THE LONG NINETEENTH CENTURY</t>
  </si>
  <si>
    <t>History of Science and Medicine Library</t>
  </si>
  <si>
    <t>International Conference on Anglo-German Scholarly Networks in the Long Nineteenth Century</t>
  </si>
  <si>
    <t>AUG 19-20, 2011</t>
  </si>
  <si>
    <t>Humboldt Univ, Ctr British Studies, Berlin, GERMANY</t>
  </si>
  <si>
    <t>Humboldt Univ, Ctr British Studies</t>
  </si>
  <si>
    <t>EXPEDITION; SCIENTISTS</t>
  </si>
  <si>
    <t>[Schillings, Pascal] Univ Cologne, Dept Hist, Cologne, Germany</t>
  </si>
  <si>
    <t>University of Cologne</t>
  </si>
  <si>
    <t>BRILL</t>
  </si>
  <si>
    <t>PA LEIDEN</t>
  </si>
  <si>
    <t>PO BOX 9000, NL-2300 PA LEIDEN, NETHERLANDS</t>
  </si>
  <si>
    <t>1872-0684</t>
  </si>
  <si>
    <t>978-90-04-25311-7; 978-90-04-25312-4</t>
  </si>
  <si>
    <t>HIST SCI MED LIBR</t>
  </si>
  <si>
    <t>History &amp; Philosophy Of Science</t>
  </si>
  <si>
    <t>Conference Proceedings Citation Index - Social Science &amp; Humanities (CPCI-SSH)</t>
  </si>
  <si>
    <t>History &amp; Philosophy of Science</t>
  </si>
  <si>
    <t>BB9WB</t>
  </si>
  <si>
    <t>WOS:000348710900006</t>
  </si>
  <si>
    <t>Félix, F; Guzmán, HM</t>
  </si>
  <si>
    <t>Felix, Fernando; Guzman, Hector M.</t>
  </si>
  <si>
    <t>Satellite Tracking and Sighting Data Analyses of Southeast Pacific Humpback Whales (Megaptera novaeangliae): Is the Migratory Route Coastal or Oceanic?</t>
  </si>
  <si>
    <t>AQUATIC MAMMALS</t>
  </si>
  <si>
    <t>migratory route; Southeast Pacific; Breeding Stock G; humpback whale; Megaptera novaeangliae</t>
  </si>
  <si>
    <t>POPULATION-STRUCTURE; MOVEMENTS; ACCURACY; SYSTEM</t>
  </si>
  <si>
    <t>This paper presents an analysis of the migration movements of Southeast Pacific humpback whales (Megaptera novaeangliae) based on satellite and sighting data. We used information obtained from six humpback whales tagged off the coast of Ecuador between August and September 2013, and sighting information from oceanographic cruises and seismic prospection studies. Tagged humpback whales were followed along the west coast of South America, and in one case off the Antarctic Peninsula, for between 11 and 72 d. Distance covered by tracked whales was between 920 and 8,670 km. While available sighting data indicated that humpback whales follow a coastal route, satellite tracking data show that single adults use a more direct offshore route and mother/calf pairs tend to follow the longer coastal route. A 4-d period of irregular movements by a mother with a calf off central Peru suggested foraging behavior in this area characterized by intense upwelling processes. On the other hand, the humpback whale that reached Antarctic waters by mid-October quickly moved 200 km off the Antarctic Peninsula, probably because the zone was still covered by ice. We also found differences in travel speed between age/sex classes of humpback whales with mother/calf pairs traveling about 30% slower than single adults. The average humpback whale swim speed ranged between 65.5 and 169 km.d(-1). Our information provides a first examination of potential routes used by this whale population and highlights the need for a regional approach in appropriately addressing the migratory behavior and threats to the species during its annual migration.</t>
  </si>
  <si>
    <t>[Felix, Fernando] Museo Ballenas, Salinas, Ecuador; [Felix, Fernando] Comis Permanente Pacifico Sur, Guayaquil, Ecuador; [Guzman, Hector M.] Smithsonian Trop Res Inst, Balboa, Ancon, Panama</t>
  </si>
  <si>
    <t>Smithsonian Institution; Smithsonian Tropical Research Institute</t>
  </si>
  <si>
    <t>Félix, F (corresponding author), Museo Ballenas, Ave Enriquez Gallo S-N, Salinas, Ecuador.</t>
  </si>
  <si>
    <t>fefelix90@hotmail.com</t>
  </si>
  <si>
    <t>Félix, Fernando/AGM-2677-2022</t>
  </si>
  <si>
    <t>Guzman, Hector M./0000-0001-9928-8523</t>
  </si>
  <si>
    <t>Smithsonian Tropical Research Institute; Secretaria Nacional de Ciencia y Tecnologia de Panama (SENACYT); International Community Foundation; Whale Museum</t>
  </si>
  <si>
    <t>Smithsonian Tropical Research Institute(Smithsonian InstitutionSmithsonian Tropical Research Institute); Secretaria Nacional de Ciencia y Tecnologia de Panama (SENACYT); International Community Foundation; Whale Museum</t>
  </si>
  <si>
    <t>The authors thank Catalina Gomez, Carlos Guevara, and Gabriela Escobar for preparing maps. Ben Haase, Xavier Avalos, Karla Pozo, and Miguel Jaramillo participated during fieldwork. The Permanent Commission for the South Pacific allowed us access to the SIBIMAP database. We thank the SEATURTLE Organization (www.seaturtle.org) and the Marine Research Turtle Group for permission to use the Satellite Tracking and Analysis Tool program. The Animal Care and Use Committee of the Smithsonian Tropical Research Institute approved tagging procedures. Two anonymous reviewers made valuable comments to improve an earlier version of this paper. This study was conducted under research permit No. 011-IC-FA-DPSE-MA-2013, issued by the Provincial Department of Environment of Santa Elena. This study was partially financed by the Smithsonian Tropical Research Institute, Secretaria Nacional de Ciencia y Tecnologia de Panama (SENACYT), The International Community Foundation, and The Whale Museum.</t>
  </si>
  <si>
    <t>EUROPEAN ASSOC AQUATIC MAMMALS</t>
  </si>
  <si>
    <t>MOLINE</t>
  </si>
  <si>
    <t>C/O DR JEANETTE THOMAS, BIOLOGICAL SCIENCES, WESTERN ILLIONIS UNIV-QUAD CITIES, 3561 60TH STREET, MOLINE, IL 61265 USA</t>
  </si>
  <si>
    <t>0167-5427</t>
  </si>
  <si>
    <t>AQUAT MAMM</t>
  </si>
  <si>
    <t>Aquat. Mamm.</t>
  </si>
  <si>
    <t>10.1578/AM.40.4.2014.329</t>
  </si>
  <si>
    <t>Marine &amp; Freshwater Biology; Zoology</t>
  </si>
  <si>
    <t>AZ6PG</t>
  </si>
  <si>
    <t>WOS:000348340700003</t>
  </si>
  <si>
    <t>Garcia, TM; Green, TL; De Miranda, MA; Pearson, LE; Cuevas, LM; Larson, AM; Kanatous, SB</t>
  </si>
  <si>
    <t>Garcia, Teresa M.; Green, Todd L.; De Miranda, Michael A., Jr.; Pearson, Linnea E.; Cuevas, Lauren M.; Larson, Ashley M.; Kanatous, Shane B.</t>
  </si>
  <si>
    <t>Consideration of Diet Was Necessary for the Successful Isolation and Culture of Weddell Seal (Leptonychotes weddellii) Myoblasts</t>
  </si>
  <si>
    <t>primary cell culture; Weddell seal; Leptonychotes weddellii; myotubes; diet; lipid</t>
  </si>
  <si>
    <t>SKELETAL-MUSCLES; METABOLIC CHARACTERISTICS; AEROBIC CAPACITIES; MCMURDO SOUND; CELL-LINES; ANTARCTICA; EXPRESSION; MYOGLOBIN; HYPOXIA</t>
  </si>
  <si>
    <t>We developed an isolation and culture method for Weddell seal (Leptonychotes weddellii) myoblasts and discovered that isolated Weddell seal cells proliferate poorly after initial plating and freezing without lipid supplementation in media, which is reflective of their high-fat diets. We tested the effects of media lipid concentrations ranging from 2.5 to 10% on the number of myotubes formed between days 1 and 7 of differentiation. We determined that the growth and differentiation media for cultured Weddell seal skeletal muscle cells must be supplemented with a lipid concentration between 2.5 and 5%. This modification to standard growth and differentiation media formulations illustrates the importance of considering the diet of non-model organisms in primary culture. The success of these techniques provides a unique opportunity to investigate molecular regulatory pathways essential to physiological responses seen in the whole animal.</t>
  </si>
  <si>
    <t>[Garcia, Teresa M.; Green, Todd L.; De Miranda, Michael A., Jr.; Cuevas, Lauren M.; Larson, Ashley M.; Kanatous, Shane B.] Colorado State Univ, Dept Biol, Ft Collins, CO 80523 USA; [Pearson, Linnea E.] Univ Alaska Fairbanks, Sch Fisheries &amp; Ocean Sci, Fairbanks, AK 99775 USA</t>
  </si>
  <si>
    <t>Colorado State University; University of Alaska System; University of Alaska Fairbanks</t>
  </si>
  <si>
    <t>Garcia, TM (corresponding author), Colorado State Univ, Dept Biol, Ft Collins, CO 80523 USA.</t>
  </si>
  <si>
    <t>shane.kanatous@colostate.edu</t>
  </si>
  <si>
    <t>National Science Foundation Office of Polar Programs [OPP-0125475, OPP-0440713]</t>
  </si>
  <si>
    <t>National Science Foundation Office of Polar Programs(National Science Foundation (NSF)NSF - Directorate for Geosciences (GEO))</t>
  </si>
  <si>
    <t>This study was funded by the National Science Foundation Office of Polar Programs (Grant #s OPP-0125475 and OPP-0440713) awarded to SBK. We would like to thank the members of the Antarctic Ice Team (2006): Joseph Davis, Shawn Noren, and Stephen Trumble. We would also like to thank all members of the Kanatous lab at Colorado State University who have assisted in the maintenance of these unique cells. In addition, we would like to acknowledge the Department of Biology and CSU for the facilities to perform these experiments.</t>
  </si>
  <si>
    <t>10.1578/AM.40.4.2014.412</t>
  </si>
  <si>
    <t>WOS:000348340700014</t>
  </si>
  <si>
    <t>Mugue, NS; Petrov, AF; Zelenina, DA; Gordeev, II; Sergeev, AA</t>
  </si>
  <si>
    <t>Mugue, N. S.; Petrov, A. F.; Zelenina, D. A.; Gordeev, I. I.; Sergeev, A. A.</t>
  </si>
  <si>
    <t>LOW GENETIC DIVERSITY AND TEMPORAL STABILITY IN THE ANTARCTIC TOOTHFISH (DISSOSTICHUS MAWSONI) FROM NEAR-CONTINENTAL SEAS OF ANTARCTICA</t>
  </si>
  <si>
    <t>CCAMLR SCIENCE</t>
  </si>
  <si>
    <t>MITOCHONDRIAL; INTRONS; PRIMERS; FISH</t>
  </si>
  <si>
    <t>This study presents data on the DNA analysis of recent (2011-2013) samplings of Antarctic toothfish (Dissostichus mawsoni) from CCAMLR Subarea 48.5 (2013) and SSRUs 486G (2011), 5841E and 5841FG (2011), 5842E (2011), 881C (2011), 882A (2011, 2012) and 883C (2012). No significant genetic differences between geographic locations, or between samples collected in consecutive years, were observed. These results, based on analysis of the most informative subset of nuclear genetic markers of SNP variation presented in Kuhn and Gaffney (2008), do not support genetic differentiation of samples from the Ross Sea. Discrepancies in the allelic frequencies for several loci compared to previously published data highlight the need for further study of the genetics of Antarctic toothfish.</t>
  </si>
  <si>
    <t>[Mugue, N. S.; Petrov, A. F.; Zelenina, D. A.; Gordeev, I. I.; Sergeev, A. A.] Russian Fed Res Inst Fisheries &amp; Oceanog VNIRO, Moscow 107140, Russia</t>
  </si>
  <si>
    <t>Research lnstitute of Fisheries &amp; Oceanography</t>
  </si>
  <si>
    <t>Mugue, NS (corresponding author), Russian Fed Res Inst Fisheries &amp; Oceanog VNIRO, 17 V Krasnoselskaya St, Moscow 107140, Russia.</t>
  </si>
  <si>
    <t>antarctica@vniro.ru</t>
  </si>
  <si>
    <t>Zelenina, Daria/AAK-2025-2021; Gordeev, Ilya/F-2972-2017; Mugue, Nikolai/H-3959-2015; Sergeev, Alexey/AAQ-2258-2021</t>
  </si>
  <si>
    <t>Gordeev, Ilya/0000-0002-6650-9120; Mugue, Nikolai/0000-0001-8957-1931; Sergeev, Alexey/0000-0003-3165-2290</t>
  </si>
  <si>
    <t>C C A M L R TI</t>
  </si>
  <si>
    <t>NORTH HOBART</t>
  </si>
  <si>
    <t>PO BOX 213, NORTH HOBART, TAS 7002, AUSTRALIA</t>
  </si>
  <si>
    <t>1023-4063</t>
  </si>
  <si>
    <t>CCAMLR SCI</t>
  </si>
  <si>
    <t>CCAMLR Sci.</t>
  </si>
  <si>
    <t>AZ4TG</t>
  </si>
  <si>
    <t>WOS:000348215300001</t>
  </si>
  <si>
    <t>Godo, OR; Reiss, C; Siegel, V; Watkins, JL</t>
  </si>
  <si>
    <t>Godo, O. R.; Reiss, C.; Siegel, V.; Watkins, J. L.</t>
  </si>
  <si>
    <t>COMMERCIAL FISHING VESSEL AS RESEARCH VESSELS IN THE ANTARCTIC - REQUIREMENTS AND SOLUTIONS EXEMPLIFIED WITH A NEW VESSEL</t>
  </si>
  <si>
    <t>TARGET-STRENGTH; SOUTHERN-OCEAN; KRILL; BIOMASS; STOCK; SEA</t>
  </si>
  <si>
    <t>The climate-induced changes presently seen in the ecosystems of the Antarctic region require a precautionary approach with respect to the human use of these ecosystems. In particular, resource harvesting requires enough basic knowledge, as well as adequate monitoring, to avoid unintended impacts on the harvested stocks and the associated ecosystem. Due to the vastness and remoteness of the Antarctic region, research vessel capacity is not readily available for conventional coverage of harvested stocks and their ecosystems. This paper describes the potential of using commercial fishing vessels to bridge the gap in research vessel capacity. The various tasks and required instrumentation are presented and discussed. To illustrate this concept a description of a Norwegian krill fishing vessel now under construction is presented. This type of combined fishing and research vessel could make a large amount of important data available for both management, through CCAMLR, and the broader scientific community and thus improve the basis for resource evaluation and management.</t>
  </si>
  <si>
    <t>[Godo, O. R.] Inst Marine Res, N-5817 Bergen, Norway; [Reiss, C.] NOAA, SW Fisheries Sci Ctr, Antarctic Ecosyst Res Div, La Jolla, CA 92037 USA; [Siegel, V.] Thunen Inst Seefischerei, D-22767 Hamburg, Germany; [Watkins, J. L.] British Antarctic Survey, NERC, Cambridge CB3 0ET, England</t>
  </si>
  <si>
    <t>Institute of Marine Research - Norway; National Oceanic Atmospheric Admin (NOAA) - USA; Johann Heinrich von Thunen Institute; UK Research &amp; Innovation (UKRI); Natural Environment Research Council (NERC); NERC British Antarctic Survey</t>
  </si>
  <si>
    <t>Godo, OR (corresponding author), Inst Marine Res, POB 1870, N-5817 Bergen, Norway.</t>
  </si>
  <si>
    <t>olavrune@imr.no</t>
  </si>
  <si>
    <t>Godo, Olav Rune/0000-0001-8826-8068</t>
  </si>
  <si>
    <t>Natural Environment Research Council [bas0100025] Funding Source: researchfish</t>
  </si>
  <si>
    <t>Natural Environment Research Council(UK Research &amp; Innovation (UKRI)Natural Environment Research Council (NERC))</t>
  </si>
  <si>
    <t>WOS:000348215300002</t>
  </si>
  <si>
    <t>Mormede, S; Dunn, A; Hanchet, S; Parker, S</t>
  </si>
  <si>
    <t>Mormede, S.; Dunn, A.; Hanchet, S.; Parker, S.</t>
  </si>
  <si>
    <t>SPATIALLY EXPLICIT POPULATION DYNAMICS MODELS FOR ANTARCTIC TOOTHFISH IN THE ROSS SEA REGION</t>
  </si>
  <si>
    <t>STOCK ASSESSMENT; DISSOSTICHUS-MAWSONI; TAGGING DATA; FISHERIES</t>
  </si>
  <si>
    <t>Population modelling software was developed that captures the dynamics of spatial heterogeneity of the population along with age structure, movement and reproductive stage transition in a holistic framework. Using this software, three spatially explicit age-structured models were developed for the Antarctic toothfish (Dissostichus mawsoni) population in the Ross Sea region and used as operating models to evaluate the performance of single-area assessments. The models were generalised Bayesian population models and were optimised by fitting to fishery observations. Movement was parameterised using preference functions based on spatially discrete environmental layers. The shapes of the preference functions were established through iterative model testing whilst the parameters defining the preference functions were estimated within each model. The spatial structure of the models divided the Ross Sea region into 189 equalarea (24 000 km(2)) cells. The underlying spatial distribution of the population was either restricted to the 65 cells historically fished, to the 120 cells containing habitable depths, or to the entire Ross Sea region (all 189 cells). Estimates of movement rates were consistent with the results of tagging studies and fits to the other observations (age, reproductive development) were adequate. These operating models were then used to investigate potential biases of the current single-area stock assessment. Simulations based on the three spatial distribution scenarios suggested that the current single-area stock assessment is biased low by 19-43%.</t>
  </si>
  <si>
    <t>[Mormede, S.; Dunn, A.] Natl Inst Water &amp; Atmospher Res NIWA Ltd, Wellington 6241, New Zealand; [Hanchet, S.; Parker, S.] Natl Inst Water &amp; Atmospher Res NIWA Ltd, Nelson 7040, New Zealand</t>
  </si>
  <si>
    <t>National Institute of Water &amp; Atmospheric Research (NIWA) - New Zealand; National Institute of Water &amp; Atmospheric Research (NIWA) - New Zealand</t>
  </si>
  <si>
    <t>Mormede, S (corresponding author), Natl Inst Water &amp; Atmospher Res NIWA Ltd, Private Bag 14901, Wellington 6241, New Zealand.</t>
  </si>
  <si>
    <t>sophie.mormede@niwa.co.nz</t>
  </si>
  <si>
    <t>New Zealand Ministry for Primary Industries [ANT2012/0]; Ministry of Business, Innovation and Employment [C01X1001]; National Institute of Water and Atmospheric Research Ltd. (NIWA) under the Fisheries Centre; New Zealand Ministry of Business, Innovation &amp; Employment (MBIE) [C01X1001] Funding Source: New Zealand Ministry of Business, Innovation &amp; Employment (MBIE)</t>
  </si>
  <si>
    <t>New Zealand Ministry for Primary Industries; Ministry of Business, Innovation and Employment(New Zealand Ministry of Business, Innovation and Employment (MBIE)); National Institute of Water and Atmospheric Research Ltd. (NIWA) under the Fisheries Centre; New Zealand Ministry of Business, Innovation &amp; Employment (MBIE)(New Zealand Ministry of Business, Innovation and Employment (MBIE))</t>
  </si>
  <si>
    <t>The authors would like to thank the scientific observers and fishers who collected the data used for this analysis. We would also like to thank the members of the New Zealand Antarctic Fisheries Stock Assessment Working Group for helpful discussions and input into this paper. We thank the CCAMLR Secretariat for providing the data extracts and assisting in the interpretation of the data. This project was funded by the New Zealand Ministry for Primary Industries under project ANT2012/0, the Ministry of Business, Innovation and Employment (Project C01X1001, Protecting Ross Sea Ecosystems) and the National Institute of Water and Atmospheric Research Ltd. (NIWA) under the Fisheries Centre Research Programmes 1 and 3.</t>
  </si>
  <si>
    <t>WOS:000348215300003</t>
  </si>
  <si>
    <t>Mormede, S; Dunn, A; Hanchet, SM</t>
  </si>
  <si>
    <t>Mormede, S.; Dunn, A.; Hanchet, S. M.</t>
  </si>
  <si>
    <t>A STOCK ASSESSMENT MODEL OF ANTARCTIC TOOTHFISH (DISSOSTICHUS MAWSONI) IN THE ROSS SEA REGION INCORPORATING MULTI-YEAR MARK-RECAPTURE DATA</t>
  </si>
  <si>
    <t>AGE; CATCH; ELEGINOIDES; LENGTH; SIMULATION; GROWTH; FISH</t>
  </si>
  <si>
    <t>An exploratory longline fishery for Antarctic toothfish (Dissostichus mawsoni) has been carried out in the Ross Sea region since the late 1990s. No fishery-independent methods of monitoring stock abundance were plausible, and hence a multi-year mark-recapture tagging program was initiated by New Zealand fishing vessels in 2001, and tagging has been an ongoing requirement for all vessels fishing in the fishery since 2004. Although tagging experiments are commonly used for assessing fish stocks, most rely on estimates of abundance from a single release and subsequent recapture events. An integrated Bayesian stock assessment model was developed for Antarctic toothfish in the Ross Sea region that incorporates multi-year release of tagged fish and subsequent multi-year data of recapture of tagged fish in conjunction with fishery catch-at-age data. This is the first published stock assessment of toothfish in the Ross Sea region. It demonstrates the value of multi-year mark-recapture programs to estimate fish stocks even where no fishery-independent estimates of adult biomass are available. Monte-Carlo Markov Chain (MCMC) estimates of initial (equilibrium) spawning stock abundance (B-0) were 68 790 tonnes (95% credible intervals 59 540-78 470), and current (B-2013) biomass was estimated as 74.8% B-0 (95% CIs 71-78). Sensitivity analyses carried out showed the data selection provided a precautionary estimate of biomass, and that these estimates were insensitive to selectivity assumptions regarding cryptic biomass of older fish. Results also suggested that a sub-adult survey series that started in 2012 will provide a useful signal indicative of recruitment fluctuations as the time series develops, a signal which is not present in the fishery-dependent data.</t>
  </si>
  <si>
    <t>[Mormede, S.; Dunn, A.] Natl Inst Water &amp; Atmospher Res NIWA Ltd, Private Bag 14901, Wellington, New Zealand; [Hanchet, S. M.] Natl Inst Water &amp; Atmospher Res NIWA Ltd, Nelson 7040, New Zealand</t>
  </si>
  <si>
    <t>Mormede, S (corresponding author), Natl Inst Water &amp; Atmospher Res NIWA Ltd, Private Bag 14901, Wellington, New Zealand.</t>
  </si>
  <si>
    <t>Mormede, Sophie/0000-0003-4668-2046</t>
  </si>
  <si>
    <t>New Zealand Ministry for Primary Industries [ANT201201]; Foundation of Research, Science and Technology project [CO1X0505]</t>
  </si>
  <si>
    <t>New Zealand Ministry for Primary Industries; Foundation of Research, Science and Technology project</t>
  </si>
  <si>
    <t>The authors would like to thank the scientific observers and fishing company staff who collected the data used for this analysis, as well as the reviewers who provided invaluable comments on earlier versions of the manuscript. This project was funded by New Zealand Ministry for Primary Industries project ANT201201 and by Foundation of Research, Science and Technology project CO1X0505.</t>
  </si>
  <si>
    <t>WOS:000348215300004</t>
  </si>
  <si>
    <t>Uprety, S; Cao, CY; Blonski, S; Wang, WH</t>
  </si>
  <si>
    <t>Butler, JJ; Xiong, X; Gu, X</t>
  </si>
  <si>
    <t>Uprety, Sirish; Cao, Changyong; Blonski, Slawomir; Wang, Wenhui</t>
  </si>
  <si>
    <t>Assessment of VIIRS Radiometric Performance using Vicarious Calibration Sites</t>
  </si>
  <si>
    <t>EARTH OBSERVING SYSTEMS XIX</t>
  </si>
  <si>
    <t>Conference on Earth Observing Systems XIX</t>
  </si>
  <si>
    <t>AUG 18-20, 2014</t>
  </si>
  <si>
    <t>San Diego, CA</t>
  </si>
  <si>
    <t>SNPP VIIRS; AQUA MODIS; calibration; radiometric stability; radiometric bias; Hyperion; Dome C; VIIRS reflectance over Libya 4</t>
  </si>
  <si>
    <t>ANTARCTIC DOME C; VALIDATION</t>
  </si>
  <si>
    <t>Radiometric performance of satellite instruments needs to be regularly monitored to determine if there is any drift in the instrument response over time despite the calibration with the best effort. If a drift occurs, it needs to be characterized in order to keep the radiometric accuracy and stability well within the specification. Instrument gain change over time can be validated independently using many techniques such as using stable earth targets (desert, ocean, snow sites etc), inter-comparison with other well calibrated radiometers (using SNO, SNO-x), deep convective clouds (DCC), lunar observations or other methods. This study focus on using vicarious calibration sites for the assessment of radiometric performance of Suomi National Polar-Orbiting Partnership (S-NPP) Visible Infrared Imaging Radiometer Suite (VIIRS) reflective solar bands. The calibration stability is primarily analyzed by developing the topof- atmosphere (TOA) reflectance time series over these sites. In addition, the radiometric bias relative to AQUA MODIS is estimated over these calibration sites and analyzed. The radiometric bias is quantified in terms of observed and spectral bias. The spectral characterization and bias analysis will be performed using hyperspectral measurements and radiative transfer models such as MODTRAN.</t>
  </si>
  <si>
    <t>[Uprety, Sirish] Colorado State Univ, CIRA, Ft Collins, CO 80523 USA; [Cao, Changyong] NOAA, NEDIS, STAR, Washington, DC USA; [Blonski, Slawomir] Univ Maryland, College Pk, MD 20742 USA; [Wang, Wenhui] ERT, Navarra, Spain</t>
  </si>
  <si>
    <t>Colorado State University; National Oceanic Atmospheric Admin (NOAA) - USA; University System of Maryland; University of Maryland College Park</t>
  </si>
  <si>
    <t>Uprety, S (corresponding author), Colorado State Univ, CIRA, Ft Collins, CO 80523 USA.</t>
  </si>
  <si>
    <t>Wang, Wenhui/D-3240-2012; Cao, Changyong/F-5578-2010</t>
  </si>
  <si>
    <t>978-1-62841-245-1</t>
  </si>
  <si>
    <t>92180I</t>
  </si>
  <si>
    <t>10.1117/12.2061855</t>
  </si>
  <si>
    <t>BB9HP</t>
  </si>
  <si>
    <t>WOS:000348319500014</t>
  </si>
  <si>
    <t>Wenny, BN; Wu, A; Madhavan, S; Xiong, X</t>
  </si>
  <si>
    <t>Wenny, B. N.; Wu, A.; Madhavan, S.; Xiong, X.</t>
  </si>
  <si>
    <t>Evaluation of Terra and Aqua MODIS Thermal Emissive Band Response Versus Scan Angle</t>
  </si>
  <si>
    <t>MODIS; calibration; thermal emissive bands</t>
  </si>
  <si>
    <t>Terra and Aqua MODIS have operated near-continuously for over 14 and 12 years, respectively, and are key instruments for NASA's Earth Observing System. Observations from the 16 thermal emissive bands (TEB), covering wavelengths from 3.5 to 14.4 mu m with a nadir spatial resolution of 1 km are used to regularly generate a variety of atmosphere, ocean and land science products. The TEB detectors are calibrated using scan-by-scan observations of an on-board blackbody (BB). The current response versus scan angle (RVS) of the scan mirror was derived using a spacecraft deep-space pitch maneuver for Terra MODIS and characterized during prelaunch for Aqua MODIS. Earth view (EV) data over the complete range of angles of incidence (AOI) can be used to evaluate the on-orbit performance of the TEB RVS over the mission lifetime. Three approaches for tracking the TEB RVS on-orbit using EV observations are formulated. The first approach uses the multiple daily observations of Dome C BT at different AOI and their trend relative to coincident measurements from a ground temperature sensor. The second approach uses brightness temperatures (BT) retrieved over the cloud-free ocean to derive the trends at 13 AOI over the mission lifetime. The third approach tracks the dn response (normalized to the BB AOI) across the full swath width for Antarctic granules with the Dome C site at nadir. The viability of the three approaches is assessed and the long-term stability of the TEB RVS for both MODIS instruments is determined.</t>
  </si>
  <si>
    <t>[Wenny, B. N.; Wu, A.] Sigma Space Corp, 4600 Forbes Blvd, Lanham, MD 20706 USA</t>
  </si>
  <si>
    <t>Wenny, BN (corresponding author), Sigma Space Corp, 4600 Forbes Blvd, Lanham, MD 20706 USA.</t>
  </si>
  <si>
    <t>92181L</t>
  </si>
  <si>
    <t>10.1117/12.2060728</t>
  </si>
  <si>
    <t>WOS:000348319500048</t>
  </si>
  <si>
    <t>Wu, AS; Angal, A; Xiong, XX</t>
  </si>
  <si>
    <t>Wu, Aisheng; Angal, Amit; Xiong, Xiaoxiong</t>
  </si>
  <si>
    <t>Comparison of coincident MODIS and MISR reflectances over the 15-year period of EOS Terra</t>
  </si>
  <si>
    <t>Terra; MODIS; MISR; reflectance; cross; sensor comparison</t>
  </si>
  <si>
    <t>RADIOMETRIC CALIBRATION; ANGLE</t>
  </si>
  <si>
    <t>Terra is the flagship of NASA's Earth observing systems (EOS), carrying five sensors (ASTER, CERES, MISR, MODIS, and MOPITT), which have been providing high-quality global observations for nearly 15 years. MODIS has 20 reflective solar bands (RSB) and are calibrated using a solar diffuser (SD) with its degradation tracked by a solar diffuser stability monitor (SDSM). Scheduled lunar roll observations and vicarious data from pseudo-invariant sites are used to characterize the scan-angle dependence of the MODIS RSB. The Multi-angle Imaging SpectroRadiometer (MISR) makes near simultaneous measurements with MODIS at nine view angles spreading out in the forward and backward directions along the flight path via four spectral bands (blue, green, red and near-infrared). MISR calibration efforts are based on a combination of preflight, onboard, and field vicarious measurements. This study compares coincident MODIS and MISR near-nadir reflectances over their entire mission, and examine the calibration stability and consistency of the two instruments. Reflectances from low to high signal levels are based on measurements obtained from ocean, desert and Antarctic snow surfaces. The absolute calibration differences between MODIS and MISR are examined after correction of their spectral response differences based on the SCIAMACHY measured hyperspectral data for the same sites.</t>
  </si>
  <si>
    <t>[Wu, Aisheng] Sigma Space Corp, 4601 Forbes Blvd, Lanham, MD 20706 USA; [Angal, Amit] Sci Syst &amp; Applicat Inc, Lanham, MD 20706 USA; [Xiong, Xiaoxiong] NASA, Goddard Space Flight Ctr, Greenbelt, MD 20771 USA</t>
  </si>
  <si>
    <t>Wu, AS (corresponding author), Sigma Space Corp, 4601 Forbes Blvd, Lanham, MD 20706 USA.</t>
  </si>
  <si>
    <t>92180W</t>
  </si>
  <si>
    <t>10.1117/12.2061117</t>
  </si>
  <si>
    <t>WOS:000348319500025</t>
  </si>
  <si>
    <t>Lolli, S; Welton, EJ; Benedetti, A; Jones, L; Suttie, M; Wang, SH</t>
  </si>
  <si>
    <t>Singh, UN; Pappalardo, G</t>
  </si>
  <si>
    <t>Lolli, Simone; Welton, Ellsworth J.; Benedetti, Angela; Jones, Luke; Suttie, Martin; Wang, Sheng-Hsiang</t>
  </si>
  <si>
    <t>MPLNET lidar data assimilation in the ECMWF MACC-II Aerosol system: evaluation of model performances at NCU lidar station</t>
  </si>
  <si>
    <t>LIDAR TECHNOLOGIES, TECHNIQUES, AND MEASUREMENTS FOR ATMOSPHERIC REMOTE SENSING X</t>
  </si>
  <si>
    <t>Conference on Lidar Technologies, Techniques, and Measurements for Atmospheric Remote Sensing X</t>
  </si>
  <si>
    <t>SEP 22-24, 2014</t>
  </si>
  <si>
    <t>Aerosol model; Macc-II; lidar; MPLNET; data assimilation</t>
  </si>
  <si>
    <t>NETWORK</t>
  </si>
  <si>
    <t>Atmospheric profiles of the optical aerosol properties through the retrieved backscattering or extinction coefficients by lidar measurements can improve drastically the MACC-II aerosol model performances on vertical dimension. Currently the MODIS Aerosol Optical Depth data (both from Terra and Aqua) are assimilated into the model. Being a column-integrated quantity, these data do not modify the model aerosol vertical profile, especially if the aerosols are not interactive with the meteorology. Since 1999, the MPLNET lidar network provides continuously lidar data measurements from worldwide permanent stations (currently 21), deployed from the Arctic to the Antarctic regions and in tropical and equatorial zones. The purpose of this study is to show the first preliminary results of the intercomparison of MPLNET lidar data against the ECWMF MACC-II aerosol model, for a selected MPLNET permanent observational site at National Central University of Taiwan. Assessing the model performances it is the first step for future near-real time lidar data assimilation into MACC-II aerosol model forecast.</t>
  </si>
  <si>
    <t>[Lolli, Simone] JCET NASA GSFC, 1000 Hilltop circle, Baltimore, MD 21228 USA; [Welton, Ellsworth J.] BNASA GSFC, Greenbelt, MD USA; [Benedetti, Angela; Jones, Luke; Suttie, Martin] ECMWF, Reading, Berks, England; [Wang, Sheng-Hsiang] Natl Cent Univ, Taoyuan, Taiwan</t>
  </si>
  <si>
    <t>National Aeronautics &amp; Space Administration (NASA); European Centre for Medium-Range Weather Forecasts (ECMWF); National Central University</t>
  </si>
  <si>
    <t>Lolli, S (corresponding author), JCET NASA GSFC, 1000 Hilltop circle, Baltimore, MD 21228 USA.</t>
  </si>
  <si>
    <t>Lolli, Simone/JPK-9609-2023; Wang, Sheng-Hsiang/AAA-3905-2021; Lolli, Simone/J-2292-2019; Jones, Luke/GWQ-5302-2022; Wang, Sheng-Hsiang/F-4532-2010</t>
  </si>
  <si>
    <t>Lolli, Simone/0000-0001-6111-152X; Wang, Sheng-Hsiang/0000-0001-9675-3135; Benedetti, Angela/0000-0002-9971-9976</t>
  </si>
  <si>
    <t>978-1-62841-309-0</t>
  </si>
  <si>
    <t>92460I</t>
  </si>
  <si>
    <t>10.1117/12.2068201</t>
  </si>
  <si>
    <t>BB9HH</t>
  </si>
  <si>
    <t>WOS:000348314400014</t>
  </si>
  <si>
    <t>Pitts, MC; Poole, LR</t>
  </si>
  <si>
    <t>Pitts, Michael C.; Poole, Lamont R.</t>
  </si>
  <si>
    <t>A Synopsis of CALIPSO Polar Stratospheric Cloud Observations from 2006-2014</t>
  </si>
  <si>
    <t>CALIPSO; polar stratospheric cloud; CALIOP; PSC; ozone</t>
  </si>
  <si>
    <t>LIDAR</t>
  </si>
  <si>
    <t>Polar stratospheric clouds (PSCs) are known to play key roles in the springtime chemical depletion of ozone at high latitudes. PSC particles provide sites for heterogeneous chemical reactions that transform stable chlorine and bromine reservoir species into highly reactive ozone-destructive forms. Furthermore, large nitric acid trihydrate (NAT) PSC particles can irreversibly redistribute odd nitrogen through gravitational sedimentation, which prolongs the ozone depletion process by slowing the reformation of the stable chlorine reservoirs. Spaceborne observations from the CALIOP (Cloud-Aerosol Lidar with Orthogonal Polarization) lidar on the CALIPSO (Cloud-Aerosol Lidar and Infrared Pathfinder Satellite Observations) satellite are providing a rich new dataset for studying PSCs. CALIOP began data collection in mid-June 2006 and has since acquired, on average, over 300,000 backscatter profiles daily at latitudes between 55 degrees and 82 degrees in both hemispheres. PSCs are detected in the CALIOP backscatter profiles as enhancements above the background aerosol in either 532-nm scattering ratio (the ratio of total-to-molecular backscatter) or 532-nm perpendicular-polarized backscatter. CALIOP PSCs are separated into composition classes based on the ensemble 532-nm scattering ratio and 532-nm particulate depolarization ratio (which is sensitive to the presence of non-spherical, i.e. NAT and ice particles). In this paper, we provide an overview of the CALIOP PSC measurements and then examine the vertical and spatial distribution of PSCs in the Arctic and Antarctic on vortex-wide scales for entire PSC seasons over the more than eight-year data record.</t>
  </si>
  <si>
    <t>[Pitts, Michael C.] NASA, Langley Res Ctr, 23A Langley Blvd, Hampton, VA 23681 USA; [Poole, Lamont R.] Sci Syst &amp; Applicat Inc, Hampton, VA 23666 USA</t>
  </si>
  <si>
    <t>National Aeronautics &amp; Space Administration (NASA); NASA Langley Research Center; Science Systems and Applications Inc</t>
  </si>
  <si>
    <t>Pitts, MC (corresponding author), NASA, Langley Res Ctr, 23A Langley Blvd, Hampton, VA 23681 USA.</t>
  </si>
  <si>
    <t>92460B</t>
  </si>
  <si>
    <t>10.1117/12.2068236</t>
  </si>
  <si>
    <t>WOS:000348314400007</t>
  </si>
  <si>
    <t>Jara, M; Mancilla, P</t>
  </si>
  <si>
    <t>Jara F, Mauricio; Mancilla G, Pablo</t>
  </si>
  <si>
    <t>A FIRST APROACH TO CHILEAN SCIENTIFIC VISION OF TIERRA DEL FUEGO, AUSTRAL ISLANDS AND ANTARCTICA, 1892-1906</t>
  </si>
  <si>
    <t>MAGALLANIA</t>
  </si>
  <si>
    <t>Tierra del Fuego; Austral Islands; Antarctica; Chilean science; Chilean Antarctic policy</t>
  </si>
  <si>
    <t>After the end of the independence process, different Chilean governments were concerned with the promotion for knowledge searching in the national territories and maritime areas, an interest that was reinforced over time by the systematic work carried out by science men and the Chilean navy personnel. The configuration of a first chilean scientific vision of Tierra del Fuego, the Austral Islands and Antarctica is demonstrated through the publication and edition of scientific journals and bulletins, books, press articles and the publication of conferences, as well as an extensive exchange of journals with foreign institutions during the period 1892-1906. In this article, this process is analyzed from a historical perspective, examining which were the first Chilean researchers and institutions, and the context in which they participated in these activities that gave the initial impulse to the Chilean Antarctic policy during the XXth century. The materials used are provided by printed sources, diaries and general and specialized works available in Chilean and Argentinean archives.</t>
  </si>
  <si>
    <t>[Jara F, Mauricio] Univ Playa Ancha, Fac Humanidades, Dept Hist, Valparaiso, Chile; [Mancilla G, Pablo] Univ Santo Tomas, Direcc Formac Gen, Vina Del Mar, Chile</t>
  </si>
  <si>
    <t>Universidad de Playa Ancha; Universidad Santo Tomas</t>
  </si>
  <si>
    <t>Jara, M (corresponding author), Univ Playa Ancha, Fac Humanidades, Dept Hist, Av Playa Ancha 850, Valparaiso, Chile.</t>
  </si>
  <si>
    <t>mjara@upla.cl; pmancillag@santotomas.cl</t>
  </si>
  <si>
    <t>UNIV MAGALLANES</t>
  </si>
  <si>
    <t>PUNTA ARENAS</t>
  </si>
  <si>
    <t>INST PAGAGONIA, AVDA BULNES 01890, CASILLA DE CORREOS 113-D, PUNTA ARENAS, MAGALLANES 00000, CHILE</t>
  </si>
  <si>
    <t>0718-2244</t>
  </si>
  <si>
    <t>Magallania</t>
  </si>
  <si>
    <t>10.4067/S0718-22442014000200004</t>
  </si>
  <si>
    <t>Anthropology</t>
  </si>
  <si>
    <t>AZ6RQ</t>
  </si>
  <si>
    <t>WOS:000348347200004</t>
  </si>
  <si>
    <t>Patil, S; Mohan, R; Shetye, S; Gazi, S; Jafar, SA</t>
  </si>
  <si>
    <t>Patil, Shramik; Mohan, Rahul; Shetye, Suhas; Gazi, Sahina; Jafar, Syed A.</t>
  </si>
  <si>
    <t>Prymnesium neolepis (Prymnesiaceae), a siliceous Haptophyte from the Southern Indian Ocean</t>
  </si>
  <si>
    <t>MICROPALEONTOLOGY</t>
  </si>
  <si>
    <t>Prymnesium neolepis; Siliceous Haptophyte; Southern Indian Ocean; Subtropical Front; Subantarctic Front</t>
  </si>
  <si>
    <t>AUSTRAL SUMMER; COCCOLITHOPHORES; SECTOR; CALCIFICATION; PRYMNESIOPHYCEAE; IMPACTS; ECOLOGY</t>
  </si>
  <si>
    <t>Prymnesium neolepis was collected from surface and sub-surface waters of the Southern Indian Ocean. It is characterized by the presence of broad 0.6 mu m-1 mu m, recurved poreless brim (collar), and small sized numerous pores (0.1-0.2 mu m size, 180-240 pores) in the bulging central area of hat-shaped siliceous scale. It was observed in the subtropical and subantarctic frontal regions (0-110m depth) and in surface waters up to 60 degrees S. It is neither recognizable in the fossil record nor bottom sediments and also shows close affinity with siliceous scales of extant Petasaria heterolepis. Further studies focusing on culture, accessory pigments and phylogenetic-molecular aspects could reveal better understanding of this rare siliceous and other unmineralized scale bearing Haptophyte.</t>
  </si>
  <si>
    <t>[Patil, Shramik; Mohan, Rahul; Shetye, Suhas; Gazi, Sahina] NCAOR, Vasco Da Gama 403804, Goa, India</t>
  </si>
  <si>
    <t>Patil, S (corresponding author), NCAOR, Vasco Da Gama 403804, Goa, India.</t>
  </si>
  <si>
    <t>shramikantsci@gmail.com</t>
  </si>
  <si>
    <t>Jafar, Syed A/G-2477-2010</t>
  </si>
  <si>
    <t>Secretary, Ministry of Earth Sciences (MoES), Government of India; National Centre for Antarctic and Ocean Research</t>
  </si>
  <si>
    <t>The authors are thankful to the Secretary, Ministry of Earth Sciences (MoES), Government of India and the Director, National Centre for Antarctic and Ocean Research for supporting the Southern Ocean expedition. We would also like to thank the Chief Scientist and the expedition members for the support extended for our sampling needs. We gratefully acknowledge Captain Satishraja Rangaraja and other crew members of ORV Sagar Nidhi, for their support during the expedition. This is NCAOR Contribution No. XXXX.</t>
  </si>
  <si>
    <t>MICRO PRESS</t>
  </si>
  <si>
    <t>FLUSHING</t>
  </si>
  <si>
    <t>6530 KISSENA BLVD, FLUSHING, NY 11367 USA</t>
  </si>
  <si>
    <t>0026-2803</t>
  </si>
  <si>
    <t>1937-2795</t>
  </si>
  <si>
    <t>Micropaleontology</t>
  </si>
  <si>
    <t>CA1CN</t>
  </si>
  <si>
    <t>WOS:000348650800004</t>
  </si>
  <si>
    <t>Córdoba-Jabonero, C; Larroza, EG; Landulfo, E; Nakaema, WM; Cuevas, E; Ochoa, H; Gil-Ojeda, M</t>
  </si>
  <si>
    <t>Comeron, A; Kassianov, EI; Schafer, K; Picard, RH; Stein, K; Gonglewski, JD</t>
  </si>
  <si>
    <t>Cordoba-Jabonero, Carmen; Larroza, Eliane G.; Landulfo, Eduardo; Nakaema, Walter M.; Cuevas, Emilio; Ochoa, Hector; Gil-Ojeda, Manuel</t>
  </si>
  <si>
    <t>Active remote sensing observations for Cirrus Clouds profiling at subtropical and polar latitudes</t>
  </si>
  <si>
    <t>REMOTE SENSING OF CLOUDS AND THE ATMOSPHERE XIX AND OPTICS IN ATMOSPHERIC PROPAGATION AND ADAPTIVE SYSTEMS XVII</t>
  </si>
  <si>
    <t>Conference on Remote Sensing of Clouds and the Atmosphere XIX and Optics in Atmospheric Propagation and Adaptive Systems XVII</t>
  </si>
  <si>
    <t>Cloud Optical Depth (COD); Cirrus clouds; LIDAR observations; Optical and Macrophysical properties; Polar Regions; Subtropical latitudes</t>
  </si>
  <si>
    <t>CLIMATOLOGY; FACILITY</t>
  </si>
  <si>
    <t>Cirrus clouds with several important and climate-related applications are product of weather processes, and hence their occurrence and macrophysical/optical properties can vary significantly over different regions of the world. In this sense, a few case studies of cirrus clouds observed at both subtropical and polar latitudes are examined. Observations are carried out in three stations: Sao Paulo (Brazil, 23.6 degrees S/46.8 degrees W) and Sta. Cruz de Tenerife (Spain, 28.5 degrees N/16.3 degrees W), being both subtropical sites, and the Belgrano II base (Argentina, 78 degrees S/35 degrees W) in the Antarctic continent. Active remote sensing (LIDAR) is used for profiling measurements, and cirrus clouds features are retrieved by using a recently proposed methodology. Local radiosounding profiles are also used for cirrus-temperature correlation analysis. Optical and macrophysical properties (COD-cloud optical depth, top/base heights and Lidar Ratio, mainly) of both the subtropical and polar cirrus clouds are reported. This study is focused on the classification of the daily cloud features into three Cirrus COD-related categories: svCi-subvisual (COD &lt; 0.06), stCi-semitransparent (0.06 &lt; COD &lt; 0.3), and opCi-opaque (COD &gt; 0.3) clouds. In general, subtropical Cirrus clouds present lower LR values and are found at higher altitudes than those detected at polar latitudes. In addition, a higher svCi presence is observed over the polar station along the day, since svCi clouds are formed at lower temperatures.</t>
  </si>
  <si>
    <t>[Cordoba-Jabonero, Carmen; Gil-Ojeda, Manuel] INTA, Atmospher Res &amp; Instrumentat Branch, Ctra Ajalvir Km 4, Madrid 28850, Spain; [Larroza, Eliane G.; Landulfo, Eduardo; Nakaema, Walter M.] IPEN, Sao Paulo, Brazil; [Cuevas, Emilio] AEMET, Atmospher Res Ctr Izana, Tenerife, Spain; [Ochoa, Hector] IAA DNA, Buenos Aires, DF, Argentina</t>
  </si>
  <si>
    <t>Consejo Superior de Investigaciones Cientificas (CSIC); CSIC - Centro de Astrobiologia (INTA); Comissao Nacional de Energia Nuclear (CNEN); Instituto de Pesquisas Energeticas e Nucleares (IPEN); Agencia Estatal de Meteorologia (AEMET); Centro de Investigacion Atmosferica de Izana (CIAI)</t>
  </si>
  <si>
    <t>Córdoba-Jabonero, C (corresponding author), INTA, Atmospher Res &amp; Instrumentat Branch, Ctra Ajalvir Km 4, Madrid 28850, Spain.</t>
  </si>
  <si>
    <t>cordobajc@inta.es</t>
  </si>
  <si>
    <t>Landulfo, Eduardo/I-4187-2019; Cuevas, Emilio/L-2109-2013; Nakaema, Walter WMN/B-7684-2012; Cordoba-Jabonero, Carmen/J-6331-2014</t>
  </si>
  <si>
    <t>Landulfo, Eduardo/0000-0002-9691-5306; Cuevas, Emilio/0000-0003-1843-8302; Cordoba-Jabonero, Carmen/0000-0003-4859-471X</t>
  </si>
  <si>
    <t>Spanish Ministerio de Economia y Competitividad (MINECO) [CGL201124891]; Fundacao de Amparo a Pesquisa do Estado de Sao Paulo (FAPESP) [2013/11836-2]; Instituto de Pesquisas Energeticas e Nucleares (IPEN)</t>
  </si>
  <si>
    <t>Spanish Ministerio de Economia y Competitividad (MINECO)(Spanish Government); Fundacao de Amparo a Pesquisa do Estado de Sao Paulo (FAPESP)(Fundacao de Amparo a Pesquisa do Estado de Sao Paulo (FAPESP)); Instituto de Pesquisas Energeticas e Nucleares (IPEN)</t>
  </si>
  <si>
    <t>This work is supported by the Spanish Ministerio de Economia y Competitividad (MINECO) under grant CGL201124891 (AMISOC project). Authors thank the staff of all the stations responsible for instrumentation maintenance and support. C. C.- J. thanks the Fundacao de Amparo a Pesquisa do Estado de Sao Paulo (FAPESP) for their support under grant 2013/11836-2 during her research stay in the Instituto de Pesquisas Energeticas e Nucleares (IPEN).</t>
  </si>
  <si>
    <t>978-1-62841-305-2</t>
  </si>
  <si>
    <t>10.1117/12.2067306</t>
  </si>
  <si>
    <t>BB9HJ</t>
  </si>
  <si>
    <t>WOS:000348316100003</t>
  </si>
  <si>
    <t>Boccolari, M; Guerrieri, L; Parmiggiani, F</t>
  </si>
  <si>
    <t>Bostater, CR; Mertikas, SP; Neyt, X</t>
  </si>
  <si>
    <t>Boccolari, Mauro; Guerrieri, Lorenzo; Parmiggiani, Flavio</t>
  </si>
  <si>
    <t>Sea-ice distribution and variability in the East Greenland Sea, 2003-13</t>
  </si>
  <si>
    <t>REMOTE SENSING OF THE OCEAN, SEA ICE, COASTAL WATERS, AND LARGE WATER REGIONS 2014</t>
  </si>
  <si>
    <t>Conference on Remote Sensing of the Ocean, Sea Ice, Coastal Waters, and Large Water Regions</t>
  </si>
  <si>
    <t>SEP 24-25, 2014</t>
  </si>
  <si>
    <t>sea-ice; Greenland Sea; AMSR-E; SSM/I; AMSR-2; air temperature; surface wind; cloud cover</t>
  </si>
  <si>
    <t>This study presents an analysis of the sea-ice area time series for the East Greenland Sea for the period January 2003 - December 2013. The data used are a subset of the Arctic Sea Ice Concentration data set derived from the observations of the passive microwave sensors AMSR-E and AMSR-2 and produced, on a daily basis, by the Inst. of Environ. Physics of the University of Bremen. The area of interest goes, approximately, from 57 degrees N to 84 degrees N and from 53 degrees W to 15 degrees E. On the basis of previous studies, the parameter Sea Ice Area as the sum of all pixels whose sea ice concentration is above 70%, was introduced for measuring sea-ice extent. A first survey of the Greenland Sea data set showed a large anomaly in year 2012; this anomaly, clearly linked with the transition period from AMSR-E to AMSR-2 when re-sampled SSM/I data were used, was partially corrected with a linear regression procedure. The correlation between monthly mean Sea Ice Area and other geophysical parameters, like air temperature, surface wind and cloud cover, was further investigated. High anti-correlation coefficients between air temperature, at sea level and in five different tropospheric layers, and observed ice cover is confirmed. Our analysis shows that the strong decline of Arctic sea-ice area in the last 10 years is not observed in the East Greenland Sea; this implies that large reductions have occurred in the Canadian and Russian Arctic. This result confirms a hypothesis recently postulated to explain the different sea-ice decline in the Arctic and Antarctic regions.</t>
  </si>
  <si>
    <t>[Boccolari, Mauro; Guerrieri, Lorenzo] Univ Modena &amp; Reggio E, Dept Chem &amp; Geol Sci, Modena, MO, Italy; [Parmiggiani, Flavio] ISAC CNR, I-40129 Bologna, Italy</t>
  </si>
  <si>
    <t>Universita di Modena e Reggio Emilia; Consiglio Nazionale delle Ricerche (CNR); Istituto di Scienze dell'Atmosfera e del Clima (ISAC-CNR)</t>
  </si>
  <si>
    <t>Boccolari, M (corresponding author), Univ Modena &amp; Reggio E, Dept Chem &amp; Geol Sci, Modena, MO, Italy.</t>
  </si>
  <si>
    <t>f.parmiggiani@isac.cnr.it</t>
  </si>
  <si>
    <t>Boccolari, Mauro/H-2098-2016</t>
  </si>
  <si>
    <t>Boccolari, Mauro/0000-0003-1837-5081; Guerrieri, Lorenzo/0000-0003-1894-5048</t>
  </si>
  <si>
    <t>Italian National Program for Antarctic Research (PNRA)</t>
  </si>
  <si>
    <t>This work was supported by the Italian National Program for Antarctic Research (PNRA). The authors are grateful to:</t>
  </si>
  <si>
    <t>978-1-62841-303-8</t>
  </si>
  <si>
    <t>10.1117/12.2066489</t>
  </si>
  <si>
    <t>BB9CT</t>
  </si>
  <si>
    <t>WOS:000348196100001</t>
  </si>
  <si>
    <t>Balensiefer, DC; Marcondes, MCC; Pretto, DJ; Cypriano-Souza, AL; Luna, FO</t>
  </si>
  <si>
    <t>Balensiefer, Deisi C.; Marcondes, Milton C. C.; Pretto, Dan J.; Cypriano-Souza, Ana L.; Luna, Fabia O.</t>
  </si>
  <si>
    <t>Antarctic Minke Whale (Balaenoptera bonaerensis, Burmeister, 1867) in the Tapajos River, Amazon Basin, Brazil</t>
  </si>
  <si>
    <t>MEGAPTERA-NOVAEANGLIAE; POPULATION-STRUCTURE</t>
  </si>
  <si>
    <t>[Balensiefer, Deisi C.; Pretto, Dan J.; Luna, Fabia O.] Inst Biodivers Conservat CMA ICMBio, Natl Ctr Res &amp; Conservat Aquat Mammals, BR-53900000 Itamaraca, PE, Brazil; [Marcondes, Milton C. C.] Humpback Whale Inst, BR-45900000 Caravelas, BA, Brazil; [Cypriano-Souza, Ana L.] Pontificia Univ Catolica Rio Grande do Sul, Fac Biosc, BR-90619900 Porto Alegre, RS, Brazil</t>
  </si>
  <si>
    <t>Pontificia Universidade Catolica Do Rio Grande Do Sul</t>
  </si>
  <si>
    <t>Balensiefer, DC (corresponding author), Inst Biodivers Conservat CMA ICMBio, Natl Ctr Res &amp; Conservat Aquat Mammals, Estr Forte Orange S-N CP 01, BR-53900000 Itamaraca, PE, Brazil.</t>
  </si>
  <si>
    <t>deisi.balensiefer@icmbio.gov.br</t>
  </si>
  <si>
    <t>Balensiefer, Deisi/KHW-5148-2024</t>
  </si>
  <si>
    <t>Petroleo Brasileiro S.A. (Petrobras)</t>
  </si>
  <si>
    <t>Petroleo Brasileiro S.A. (Petrobras)(Fundacao de Amparo a Pesquisa do Amapa (FAPEAP)Petrobras)</t>
  </si>
  <si>
    <t>We would like to thank J. Moura and A. E. Mello for participating in the necropsy, and S. P. Matos for the field support during the period in which the minke whale was in the Tapajos River. We thank Tapajos National Forest and Tapajos-Arapiuns Extractive Reserve (ICMBio), Brazilian National Environmental Institute for Conservation of the Natural Resources (IBAMA), Fire Department form Santarem/PA, and Tapajos Integrated Faculty Zoo (ZOOFIT) for the logistical support during the minke whale's rescue. The Humpback Whale Project is sponsored by Petroleo Brasileiro S.A. (Petrobras). We also thank J. Fernandes for his assistance in the translation of this to English. Finally, we would like to thank the managing editor, Kathleen Dudzinski, and anonymous reviewers for their comments and important suggestions on the original version of this note.</t>
  </si>
  <si>
    <t>10.1578/AM.40.2.2014.201</t>
  </si>
  <si>
    <t>AZ4LN</t>
  </si>
  <si>
    <t>WOS:000348192700010</t>
  </si>
  <si>
    <t>Ugalde, SC; Martin, A; Meiners, KM; McMinn, A; Ryan, KG</t>
  </si>
  <si>
    <t>Ugalde, Sarah C.; Martin, Andrew; Meiners, Klaus M.; McMinn, Andrew; Ryan, Ken G.</t>
  </si>
  <si>
    <t>Extracellular organic carbon dynamics during a bottom-ice algal bloom (Antarctica)</t>
  </si>
  <si>
    <t>AQUATIC MICROBIAL ECOLOGY</t>
  </si>
  <si>
    <t>Antarctica; Carbohydrates; Dissolved organic carbon; Microalgae; Nutrient limitation; Photophysiology; Sea ice</t>
  </si>
  <si>
    <t>POLYMERIC SUBSTANCES EPS; SEA-ICE; MICROBIAL COMMUNITIES; MCMURDO-SOUND; EXOPOLYMERIC SUBSTANCES; SOUTHERN-OCEAN; WEDDELL SEA; ROSS SEA; PHOTOSYNTHETIC PARAMETERS; SKELETONEMA-COSTATUM</t>
  </si>
  <si>
    <t>Antarctic fast ice provides a habitat for diverse microbial communities, the biomass of which is mostly dominated by diatoms capable of growing to high standing stocks, particularly at the ice-water interface. While it is known that ice algae exude organic carbon in ecologically significant quantities, the mechanisms behind its distribution and composition are not well understood. This study investigated extracellular organic carbon dynamics, microbial characteristics, and ice algal photophysiology during a bottom-ice algal bloom at McMurdo Sound, Antarctica. Over a 2 wk period (November to December 2011), ice within 15 cm from the ice-water interface was collected and sliced into 9 discrete sections. Over the observational period, the total concentrations of extracellular organic carbon components (dissolved organic carbon [DOC] and total carbohydrates [TCHO]-the sum of monosaccharides [CHOMono] and polysaccharides [CHOPoly]) increased, and were positively correlated with algal biomass. However, when normalised to chlorophyll a, the proportion of extracellular organic carbon components substantially decreased from initial measurements. Concentrations of DOC generally consisted of &lt;20% TCHO, typically dominated by CHOMono, which decreased from initial measurements. This change was coincident with improved algal photophysiology (maximum quantum yield) and an increase in sea-ice brine volume fraction, indicating an increased capacity for fluid transport between the brine channel matrix and the underlying sea water. Our study supports the suggestion that microbial exudation of organic carbon within the sea-ice habitat is associated with vertical and temporal changes in brine physicochemistry.</t>
  </si>
  <si>
    <t>[Ugalde, Sarah C.; Meiners, Klaus M.] Antarctic Climate &amp; Ecosyst Cooperat Res Ctr, Hobart, Tas 7001, Australia; [Ugalde, Sarah C.; McMinn, Andrew] Inst Marine &amp; Antarctic Studies, Hobart, Tas 7001, Australia; [Martin, Andrew; Ryan, Ken G.] Victoria Univ Wellington, Sch Biol Sci, Wellington 6140, New Zealand; [Meiners, Klaus M.] Australian Antarctic Div, Dept Environm, Kingston, Tas 7050, Australia</t>
  </si>
  <si>
    <t>Antarctic Climate &amp; Ecosystems Cooperative Research Centre (ACE CRC); University of Tasmania; Victoria University Wellington; Australian Antarctic Division</t>
  </si>
  <si>
    <t>Ugalde, SC (corresponding author), Antarctic Climate &amp; Ecosyst Cooperat Res Ctr, Private Bag 80, Hobart, Tas 7001, Australia.</t>
  </si>
  <si>
    <t>sarah.ugalde@utas.edu.au</t>
  </si>
  <si>
    <t>Martin, Andrew/F-5688-2013; McMinn, Andrew/A-9910-2008</t>
  </si>
  <si>
    <t>Martin, Andrew/0000-0001-8260-5529; Ryan, Ken/0000-0001-7075-0112</t>
  </si>
  <si>
    <t>Australian Government's Cooperative Research Centre Program through the Antarctic Climate and Ecosystems Cooperative Research Centre (ACE CRC); Trans-Antarctic Association; Australian Antarctic Division (AAS) [4008]</t>
  </si>
  <si>
    <t>Australian Government's Cooperative Research Centre Program through the Antarctic Climate and Ecosystems Cooperative Research Centre (ACE CRC)(Australian GovernmentDepartment of Industry, Innovation and ScienceCooperative Research Centres (CRC) Programme); Trans-Antarctic Association; Australian Antarctic Division (AAS)</t>
  </si>
  <si>
    <t>We are most grateful for the expert help and logistical support of Antarctic New Zealand and our colleagues working with us in the field and in the lead-up to the expedition, particularly C. Thorn and N. Higgison (Victoria University of Wellington, New Zealand). We thank the Australian Antarctic Division (AAD) for their ongoing support and access to infrastructure. This work was made possible by the support of the Australian Government's Cooperative Research Centre Program through the Antarctic Climate and Ecosystems Cooperative Research Centre (ACE CRC), the Trans-Antarctic Association and the Australian Antarctic Division (AAS 4008).</t>
  </si>
  <si>
    <t>INTER-RESEARCH</t>
  </si>
  <si>
    <t>OLDENDORF LUHE</t>
  </si>
  <si>
    <t>NORDBUNTE 23, D-21385 OLDENDORF LUHE, GERMANY</t>
  </si>
  <si>
    <t>0948-3055</t>
  </si>
  <si>
    <t>1616-1564</t>
  </si>
  <si>
    <t>AQUAT MICROB ECOL</t>
  </si>
  <si>
    <t>Aquat. Microb. Ecol.</t>
  </si>
  <si>
    <t>10.3354/ame01717</t>
  </si>
  <si>
    <t>Ecology; Marine &amp; Freshwater Biology; Microbiology</t>
  </si>
  <si>
    <t>Environmental Sciences &amp; Ecology; Marine &amp; Freshwater Biology; Microbiology</t>
  </si>
  <si>
    <t>AY7UC</t>
  </si>
  <si>
    <t>WOS:000347763200002</t>
  </si>
  <si>
    <t>Ladant, JB; Donnadieu, Y; Dumas, C</t>
  </si>
  <si>
    <t>Ladant, J. -B.; Donnadieu, Y.; Dumas, C.</t>
  </si>
  <si>
    <t>Links between CO2, glaciation and water flow: reconciling the Cenozoic history of the Antarctic Circumpolar Current</t>
  </si>
  <si>
    <t>CLIMATE OF THE PAST</t>
  </si>
  <si>
    <t>SOUTHERN-OCEAN; DRAKE PASSAGE; EOCENE; CIRCULATION; SEA; ATLANTIC; IMPACT; HEMISPHERE; EVOLUTION; ONSET</t>
  </si>
  <si>
    <t>The timing of the onset of the Antarctic Circumpolar Current (ACC) is a crucial event of the Cenozoic because of its cooling and isolating effect over Antarctica. It is intimately related to the glaciations occurring throughout the Cenozoic from the Eocene-Oligocene (EO) transition (approximate to 34 Ma) to the middle Miocene glaciations (approximate to 13 : 9 Ma). However, the exact timing of the onset remains debated, with evidence for a late Eocene setup contradicting other data pointing to an occurrence closer to the Oligocene-Miocene (OM) boundary. In this study, we show the potential impact of the Antarctic ice sheet on the initiation of a strong proto-ACC at the EO boundary. Our results reveal that the regional cooling effect of the ice sheet increases sea ice formation, which disrupts the meridional density gradient in the Southern Ocean and leads to the onset of a circumpolar current and its progressive strengthening. We also suggest that subsequent variations in atmospheric CO2, ice sheet volumes and tectonic reorganizations may have affected the ACC intensity after the Eocene-Oligocene transition. This allows us to build a hypothesis for the Cenozoic evolution of the Antarctic Circumpolar Current that may provide an explanation for the second initiation of the ACC at the Oligocene-Miocene boundary while reconciling evidence supporting both early Oligocene and early Miocene onset of the ACC.</t>
  </si>
  <si>
    <t>[Ladant, J. -B.; Donnadieu, Y.; Dumas, C.] CEA Saclay, CEA CNRS UVSQ, Lab Sci Climat &amp; Environm, F-91191 Gif Sur Yvette, France</t>
  </si>
  <si>
    <t>Universite Paris Saclay; CEA; Centre National de la Recherche Scientifique (CNRS)</t>
  </si>
  <si>
    <t>Ladant, JB (corresponding author), CEA Saclay, CEA CNRS UVSQ, Lab Sci Climat &amp; Environm, F-91191 Gif Sur Yvette, France.</t>
  </si>
  <si>
    <t>jean-baptiste.ladant@lsce.ipsl.fr</t>
  </si>
  <si>
    <t>donnadieu, yannick/G-7546-2016</t>
  </si>
  <si>
    <t>donnadieu, yannick/0000-0002-7315-2684</t>
  </si>
  <si>
    <t>CEA PhD grant CFR</t>
  </si>
  <si>
    <t>We thank Yves Godderis for editorial handling and suggestions that greatly improved this manuscript. Two anonymous reviewers are also acknowledged for relevant comments from which this paper benefited greatly. We are grateful to Vincent Lefebvre for his help with the simulations. Pierre Sepulchre and Didier Paillard are thanked for insightful discussions, and we also thank the CEA/CCRT for providing access to the HPC resources of TGCC under the allocation 2014-012212 made by GENCI. This research was funded by a CEA PhD grant CFR.</t>
  </si>
  <si>
    <t>1814-9324</t>
  </si>
  <si>
    <t>1814-9332</t>
  </si>
  <si>
    <t>CLIM PAST</t>
  </si>
  <si>
    <t>Clim. Past.</t>
  </si>
  <si>
    <t>10.5194/cp-10-1957-2014</t>
  </si>
  <si>
    <t>AY4SY</t>
  </si>
  <si>
    <t>WOS:000347569500002</t>
  </si>
  <si>
    <t>Guillevic, M; Bazin, L; Landais, A; Stowasser, C; Masson-Delmotte, V; Blunier, T; Eynaud, F; Falourd, S; Michel, E; Minster, B; Popp, T; Prié, F; Vinther, M</t>
  </si>
  <si>
    <t>Guillevic, M.; Bazin, L.; Landais, A.; Stowasser, C.; Masson-Delmotte, V.; Blunier, T.; Eynaud, F.; Falourd, S.; Michel, E.; Minster, B.; Popp, T.; Prie, F.; Vinther, M.</t>
  </si>
  <si>
    <t>Evidence for a three-phase sequence during Heinrich Stadial 4 using a multiproxy approach based on Greenland ice core records</t>
  </si>
  <si>
    <t>DANSGAARD-OESCHGER EVENTS; MARINE ISOTOPE STAGE-3; NORTH-ATLANTIC; CLIMATE-CHANGE; WATER-VAPOR; ATMOSPHERIC METHANE; CHRONOLOGY AICC2012; OCEAN CIRCULATION; ANTARCTIC ICE; CH4 EMISSIONS</t>
  </si>
  <si>
    <t>Glacial climate was characterised by two types of abrupt events. Greenland ice cores record Dansgaard-Oeschger events, marked by abrupt warming in-between cold, stadial phases. Six of these stadials appear related to major Heinrich events (HEs), identified from ice-rafted debris (IRD) and large excursions in carbon-and oxygen-stable isotopic ratios in North Atlantic deep sea sediments, documenting major ice sheet collapse events. This finding has led to the paradigm that glacial cold events are induced by the response of the Atlantic Meridional Overturning Circulation to such massive freshwater inputs, supported by sensitivity studies conducted with climate models of various complexities. These models also simulate synchronous Greenland temperature and lower-latitude hydrological changes. To investigate the sequence of events between climate changes at low latitudes and in Greenland, we provide here the first O-17-excess record from a Greenland ice core during Dansgaard-Oeschger events 7 to 13, encompassing H4 and H5. Combined with other ice core proxy records, our new O-17-excess data set demonstrates that stadials are generally characterised by low O-17-excess levels compared to interstadials. This can be interpreted as synchronous change of high-latitude temperature and lower-latitude hydrological cycle (relative humidity at the oceanic source of evaporation or change in the water mass trajectory/recharge) and/or an influence of local temperature on O-17-excess through kinetic effect at snow formation. As an exception from this general pattern, stadial 9 consists of three phases, characterised first by Greenland cooling during 550 +/- 60 years (as shown by markers of Greenland temperature delta O-18 and delta N-15), followed by a specific lower-latitude fingerprint as identified from several proxy records (abrupt decrease in O-17-excess, increase in CO2 and methane mixing ratio, heavier delta D-CH4 and delta O-18(atm)), lasting 740 +/- 60 years, itself ending approximately 390 +/- 50 years prior to abrupt Greenland warming. We hypothesise that this lower-latitude signal may be the fingerprint of Heinrich event 4 in Greenland ice cores. The proposed decoupling between stable cold Greenland temperature and low-latitude climate variability identified for stadial 9 provides new targets for benchmarking climate model simulations and testing mechanisms associated with millennial variability.</t>
  </si>
  <si>
    <t>[Guillevic, M.; Bazin, L.; Landais, A.; Masson-Delmotte, V.; Falourd, S.; Michel, E.; Minster, B.; Prie, F.] UMR CEA CNRS UVSQ 8212, Lab Sci Climat &amp; Environm, Gif Sur Yvette, France; [Guillevic, M.; Stowasser, C.; Blunier, T.; Popp, T.; Vinther, M.] Univ Copenhagen, Niels Bohr Inst, Ctr Ice &amp; Climate, DK-2100 Copenhagen, Denmark; [Eynaud, F.] Univ Bordeaux 1, UMR CNRS EPOC OASU 5805, Lab EPOC, F-33405 Talence, France</t>
  </si>
  <si>
    <t>Universite Paris Saclay; Centre National de la Recherche Scientifique (CNRS); CNRS - National Institute for Earth Sciences &amp; Astronomy (INSU); CEA; University of Copenhagen; Niels Bohr Institute; Centre National de la Recherche Scientifique (CNRS); Universite de Bordeaux</t>
  </si>
  <si>
    <t>Guillevic, M (corresponding author), UMR CEA CNRS UVSQ 8212, Lab Sci Climat &amp; Environm, Gif Sur Yvette, France.</t>
  </si>
  <si>
    <t>mgllvc@nbi.ku.dk</t>
  </si>
  <si>
    <t>Masson-Delmotte, Valerie L/G-1995-2011; Guillevic, Mathieu/IAM-9677-2023; Blunier, Thomas/M-4609-2014</t>
  </si>
  <si>
    <t>Masson-Delmotte, Valerie L/0000-0001-8296-381X; Guillevic, Mathieu/0000-0002-0081-785X; Vinther, Bo/0000-0002-6078-771X; Guillevic, Myriam/0000-0002-8128-7247; Blunier, Thomas/0000-0002-6065-7747; Michel, Elisabeth/0000-0001-7810-8888; Eynaud, Frederique/0000-0003-1283-7425; LANDAIS, Amaelle/0000-0002-5620-5465; Bazin, Lucie/0000-0003-4808-4090</t>
  </si>
  <si>
    <t>Belgium (FNRS-CFB); Belgium (FWO); Canada (GSC); China (CAS); Denmark (FIST); France (IPEV); France (CNRS/INSU); France (CEA); France (ANR); Germany (AWI); Iceland (RannIs); Japan (NIPR); Korea (KOPRI); Netherlands (NWO/ALW); Sweden (VR); Switzerland (SNF); UK (NERC); USA (US NSF, Office of Polar Programs); ANR VMC NEEM project; University of Copenhagen, Denmark; Commissariat a l'Energie Atomique Saclay, France; Fondation de France Ars Cuttoli</t>
  </si>
  <si>
    <t>Belgium (FNRS-CFB)(Fonds de la Recherche Scientifique - FNRS); Belgium (FWO)(FWO); Canada (GSC);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Netherlands (NWO/ALW)(Netherlands Organization for Scientific Research (NWO)Netherlands Government); Sweden (VR)(Swedish Research Council); Switzerland (SNF); UK (NERC)(UK Research &amp; Innovation (UKRI)Natural Environment Research Council (NERC)); USA (US NSF, Office of Polar Programs); ANR VMC NEEM project(Agence Nationale de la Recherche (ANR)); University of Copenhagen, Denmark; Commissariat a l'Energie Atomique Saclay, France(French Atomic Energy Commission); Fondation de France Ars Cuttoli</t>
  </si>
  <si>
    <t>We thank S. O. Rasmussen and M. Bock for fruitful discussions and P. Kindler for valuable insights and support. W. Austin kindly provided the data of marine core MD95-2006 and S. Zaragosi the magnetic susceptibility data of core MD04-2845. NEEM is directed and organised by the Centre for Ice and Climate at the Niels Bohr Institute and US NSF, Office of Polar Programs. It is supported by funding agencies and institutions in 14 countries: Belgium (FNRS-CFB and FWO), Canada (GSC), China (CAS), Denmark (FIST), France (IPEV, CNRS/INSU, CEA and ANR), Germany (AWI), Iceland (RannIs), Japan (NIPR), Korea (KOPRI), the Netherlands (NWO/ALW), Sweden (VR), Switzerland (SNF), UK (NERC) and the USA (US NSF, Office of Polar Programs). LSCE analytical work has been funded by the ANR VMC NEEM project. M. Guillevic thanks the University of Copenhagen, Denmark, and the Commissariat a l'Energie Atomique Saclay, France, for funding. The publication of this article is funded by the Fondation de France Ars Cuttoli.</t>
  </si>
  <si>
    <t>10.5194/cp-10-2115-2014</t>
  </si>
  <si>
    <t>WOS:000347569500010</t>
  </si>
  <si>
    <t>Van Der Veen, CJ; Stearns, LA; Johnson, J; Csath, B</t>
  </si>
  <si>
    <t>Van Der Veen, C. J.; Stearns, L. A.; Johnson, J.; Csath, B.</t>
  </si>
  <si>
    <t>Flow dynamics of Byrd Glacier, East Antarctica</t>
  </si>
  <si>
    <t>JOURNAL OF GLACIOLOGY</t>
  </si>
  <si>
    <t>Antarctic glaciology; glacier flow; ice dynamics</t>
  </si>
  <si>
    <t>ROSS ICE SHELF; DEFORMATION; STABILITY; VELOCITY; DEBRIS; RATES; BED</t>
  </si>
  <si>
    <t>Force-balance calculations on Byrd Glacier, East Antarctica, reveal large spatial variations in the along-flow component of driving stress with corresponding sticky spots that are stationary over time. On the large scale, flow resistance is partitioned between basal (similar to 80%) and lateral (similar to 20%) drag. Ice flow is due mostly to basal sliding and concentrated vertical shear in the basal ice layers, indicating the bed is at or close to the pressure-melting temperature. There is a significant component of driving stress in the across-flow direction resulting in nonzero basal drag in that direction. This is an unrealistic result and we propose that there are spatial variations of bed features resulting in small-scale flow disturbances. The grounding line of Byrd Glacier is located in a region where the bed slopes upward. Nevertheless, despite a 10% increase in ice discharge between December 2005 and February 2007, following drainage of two subglacial lakes in the catchment area, the position of the grounding line has not retreated significantly and the glacier has decelerated since then. During the speed-up event, partitioning of flow resistance did not change, suggesting the increase in velocity was caused by a temporary decrease in basal effective pressure.</t>
  </si>
  <si>
    <t>[Van Der Veen, C. J.; Stearns, L. A.] Univ Kansas, Dept Geog, Lawrence, KS 66045 USA; [Van Der Veen, C. J.; Stearns, L. A.] Univ Kansas, Ctr Remote Sensing Ice Sheets, Lawrence, KS 66045 USA; [Johnson, J.] Univ Montana, Dept Comp Sci, Missoula, MT 59812 USA; [Csath, B.] SUNY Buffalo, Dept Geol, Buffalo, NY 14260 USA</t>
  </si>
  <si>
    <t>University of Kansas; University of Kansas; University of Montana System; University of Montana; State University of New York (SUNY) System; State University of New York (SUNY) Buffalo</t>
  </si>
  <si>
    <t>Van Der Veen, CJ (corresponding author), Univ Kansas, Dept Geog, Lawrence, KS 66045 USA.</t>
  </si>
  <si>
    <t>cjvdv@ku.edu</t>
  </si>
  <si>
    <t>Johnson, Jesse/0000-0002-7387-6500; Stearns, Leigh/0000-0001-7358-7015</t>
  </si>
  <si>
    <t>US National Science Foundation (NSF) [ANT-0944597]; NASA [NNX11AR23G, NNX10AT68G]; NSF [ANT-0424589]; Office of Polar Programs (OPP); Directorate For Geosciences [0944597] Funding Source: National Science Foundation; NASA [NNX11AR23G, 137547] Funding Source: Federal RePORTER</t>
  </si>
  <si>
    <t>US National Science Foundation (NSF)(National Science Foundation (NSF)); NASA(National Aeronautics &amp; Space Administration (NASA)); NSF(National Science Foundation (NSF)); Office of Polar Programs (OPP); Directorate For Geosciences(National Science Foundation (NSF)NSF - Directorate for Geosciences (GEO)); NASA(National Aeronautics &amp; Space Administration (NASA))</t>
  </si>
  <si>
    <t>This research was supported through US National Science Foundation (NSF) grant ANT-0944597 and NASA grant NNX11AR23G. We acknowledge the use of data and/or data products from CReSIS generated with support from NSF grant ANT-0424589 and NASA grant NNX10AT68G. Comments by Jim Fastook and an anonymous reviewer helped improve the text and figures.</t>
  </si>
  <si>
    <t>0022-1430</t>
  </si>
  <si>
    <t>1727-5652</t>
  </si>
  <si>
    <t>J GLACIOL</t>
  </si>
  <si>
    <t>J. Glaciol.</t>
  </si>
  <si>
    <t>10.3189/2014JoG14J052</t>
  </si>
  <si>
    <t>AZ5QM</t>
  </si>
  <si>
    <t>WOS:000348275000003</t>
  </si>
  <si>
    <t>Uchida, T; Yasuda, K; Ot, Y; Shen, R; Ohmura, R</t>
  </si>
  <si>
    <t>Uchida, Tsutomu; Yasuda, Keita; Ot, Yuya; Shen, Renkai; Ohmura, Ryo</t>
  </si>
  <si>
    <t>Natural supersaturation conditions needed for nucleation of air-clathrate hydrates in deep ice sheets</t>
  </si>
  <si>
    <t>clathrate hydrates; crystal growth; ice core</t>
  </si>
  <si>
    <t>ANTARCTIC ICE; MICROSCOPIC OBSERVATIONS; CORE; GREENLAND; BUBBLES; TRANSFORMATION; CRYSTALS; NITROGEN; INCLUSIONS; STATION</t>
  </si>
  <si>
    <t>We apply new phase-equilibrium data of air-clathrate hydrates to the distribution of air hydrates in deep ice sheets to better understand their nucleation conditions. By comparing the depths at which the hydrates first appear to the phase-equilibrium condition, we estimated the critical size of an air-hydrate nucleus in an ice sheet to be similar to 50 nm. The estimated energy barrier for nucleation, based on the temperature dependence of supersaturation, is much smaller than that estimated previously for the pure ice system. Thus, the bubble surface may either act as a type of heterogeneous nucleus, or contain heterogeneous nuclei, for hydrate formation. Competition between nucleation-promotion and nucleation-inhibition factors may increase variation in nucleation rates, resulting in variation of the depth range of the bubble hydrate transition zones.</t>
  </si>
  <si>
    <t>[Uchida, Tsutomu] Hokkaido Univ, Fac Engn, Sapporo, Hokkaido 060, Japan; [Yasuda, Keita; Ot, Yuya; Shen, Renkai; Ohmura, Ryo] Keio Univ, Dept Mech Engn, Yokohama, Kanagawa 223, Japan</t>
  </si>
  <si>
    <t>Hokkaido University; Keio University</t>
  </si>
  <si>
    <t>Uchida, T (corresponding author), Hokkaido Univ, Fac Engn, North 13,West 8, Sapporo, Hokkaido 060, Japan.</t>
  </si>
  <si>
    <t>t-uchida@eng.hokudai.ac.jp</t>
  </si>
  <si>
    <t>Ohmura, Ryo/D-6035-2014; Yasuda, Keita/R-9252-2019</t>
  </si>
  <si>
    <t>Yasuda, Keita/0000-0002-6859-4445</t>
  </si>
  <si>
    <t>10.3189/2014JoG13J232</t>
  </si>
  <si>
    <t>WOS:000348275000009</t>
  </si>
  <si>
    <t>Chan, WS; Mah, ML; Voight, DE; Fitzpatrick, JJ; Talghader, JJ</t>
  </si>
  <si>
    <t>Chan, Wing S.; Mah, Merlin L.; Voight, Donald E.; Fitzpatrick, Joan J.; Talghader, Joseph J.</t>
  </si>
  <si>
    <t>Instruments and Methods Crystal orientation measurements using transmission and backscattering</t>
  </si>
  <si>
    <t>glaciological instruments and methods; ice core; ice crystal studies; ice physics</t>
  </si>
  <si>
    <t>FABRIC ANALYZER; ICE</t>
  </si>
  <si>
    <t>A method has been devised and tested for measuring the c-axis orientation of crystal grains in thin sections of glacier ice. The crystal orientation and grain size of ice are of great interest to glaciologists since these parameters contain information on the prior thermal and flow history of the ice. The traditional method of determining c-axis orientation involves a transmission measurement through an ice sample, a process that is time-consuming and therefore impractical for obtaining a continuous record. A reflection- or backscatter-based method could potentially be used inside boreholes, with bubbles as reflectors to avoid such drawbacks. The concept demonstration of this paper is performed on ice slices, enabling a direct comparison of accuracy with traditional methods. Measurements of the crystal orientations (phi, theta) in 11 grains showed an average error of +/- 0.8 degrees in phi, with no grain error &gt;1.4 degrees Measurements of theta showed an average error of +/- 8.2 degrees on ten grains, with unexplained disagreement on the remaining grain. Although the technique is applied specifically to glacier ice, it should be generally applicable to any transparent birefringent polycrystalline material.</t>
  </si>
  <si>
    <t>[Chan, Wing S.; Mah, Merlin L.; Talghader, Joseph J.] Univ Minnesota, Dept Elect Engn, Minneapolis, MN 55455 USA; [Voight, Donald E.] Penn State Univ, Coll Earth &amp; Mineral Sci, University Pk, PA 16802 USA; [Fitzpatrick, Joan J.] US Geol Survey, Denver, CO 80225 USA</t>
  </si>
  <si>
    <t>University of Minnesota System; University of Minnesota Twin Cities; Pennsylvania Commonwealth System of Higher Education (PCSHE); Pennsylvania State University; Pennsylvania State University - University Park; United States Department of the Interior; United States Geological Survey</t>
  </si>
  <si>
    <t>Chan, WS (corresponding author), Univ Minnesota, Dept Elect Engn, 200 Union St SE, Minneapolis, MN 55455 USA.</t>
  </si>
  <si>
    <t>joey@umn.edu</t>
  </si>
  <si>
    <t>US National Science Foundation Antarctic Sciences [1142010]; Division Of Polar Programs; Directorate For Geosciences [1142010] Funding Source: National Science Foundation; Office of Polar Programs (OPP); Directorate For Geosciences [1043528, 0944348] Funding Source: National Science Foundation</t>
  </si>
  <si>
    <t>US National Science Foundation Antarctic Sciences; Division Of Polar Programs; Directorate For Geosciences(National Science Foundation (NSF)NSF - Directorate for Geosciences (GEO)); Office of Polar Programs (OPP); Directorate For Geosciences(National Science Foundation (NSF)NSF - Directorate for Geosciences (GEO))</t>
  </si>
  <si>
    <t>This work is supported by US National Science Foundation Antarctic Sciences grant 1142010 under Julie Palais.</t>
  </si>
  <si>
    <t>10.3189/2014JoG14J071</t>
  </si>
  <si>
    <t>WOS:000348275000012</t>
  </si>
  <si>
    <t>Abakumov, E; Mukhametova, N</t>
  </si>
  <si>
    <t>Abakumov, E.; Mukhametova, N.</t>
  </si>
  <si>
    <t>Microbial biomass and basal respiration of selected Sub-Antarctic and Antarctic soils in the areas of some Russian polar stations</t>
  </si>
  <si>
    <t>SOLID EARTH</t>
  </si>
  <si>
    <t>KING-GEORGE-ISLAND; WEST ANTARCTICA; BACTERIAL COMMUNITIES; MARITIME ANTARCTICA; RESPONSES; CRYOSOLS; SOUTHERN; NITROGEN; CARBON</t>
  </si>
  <si>
    <t>Antarctica is a unique place for soil, biological, and ecological investigations. Soils of Antarctica have been studied intensively during the last century, when different national Antarctic expeditions visited the sixth continent with the aim of investigating nature and the environment. Antarctic investigations are comprised of field surveys mainly in the terrestrial landscapes, where the polar stations of different countries are situated. That is why the main and most detailed soil surveys were conducted in the McMurdo Valleys, Transantarctic Mountains, South Shetland Islands, Larsemann Hills and the Schirmacher Oasis. Our investigations were conducted during the 53rd and 55th Russian Antarctic expeditions in the base of soil pits, and samples were collected in Sub-Antarctic and Antarctic regions. Sub-Antarctic or maritime landscapes are considered to be very different from Antarctic landscapes due to differing climatic and geogenic conditions. Soils of diverse zonal landscapes were studied with the aim of assessing the microbial biomass level, basal respiration rates and metabolic activity of microbial communities. This investigation shows that Antarctic soils are quite diverse in profile organization and carbon content. In general, Sub-Antarctic soils are characterized by more developed humus (sod) organo-mineral horizons as well as by an upper organic layer. The most developed organic layers were revealed in peat soils of King George Island, where its thickness reach, in some cases, was 80 cm. These soils as well as soils formed under guano are characterized by the highest amount of total organic carbon (TOC), between 7.22 and 33.70 %. Coastal and continental Antarctic soils exhibit less developed Leptosols, Gleysols, Regolith and rare Ornhitosol, with TOC levels between 0.37 and 4.67 %. The metabolic ratios and basal respiration were higher in Sub-Antarctic soils than in Antarctic ones, which can be inter-preted as a result of higher amounts of fresh organic remnants in organic and organo-mineral horizons. The soils of King George Island also have higher portions of microbial biomass (max 1.54 mg g(-1)) compared to coastal (max 0.26 mg g(-1)) and continental (max 0.22 mg g(-1)) Antarctic soils. Sub-Antarctic soils differ from Antarctic ones mainly by having increased organic layer thickness and total organic carbon content, higher microbial biomass carbon content, basal respiration, and metabolic activity levels.</t>
  </si>
  <si>
    <t>[Abakumov, E.; Mukhametova, N.] St Petersburg State Univ, Dept Appl Ecol, St Petersburg 199178, Russia</t>
  </si>
  <si>
    <t>Saint Petersburg State University</t>
  </si>
  <si>
    <t>Abakumov, E (corresponding author), St Petersburg State Univ, Dept Appl Ecol, 16 Line Vasilyevskiy Isl 29, St Petersburg 199178, Russia.</t>
  </si>
  <si>
    <t>e.abakumov@bio.spbu.ru</t>
  </si>
  <si>
    <t>Abakumov, e_abakumov@mail.ru/ADJ-1297-2022; Abakumov, Evgeny/AAO-8580-2020</t>
  </si>
  <si>
    <t>Abakumov, e_abakumov@mail.ru/0000-0002-5248-9018; Abakumov, Evgeny/0000-0002-5248-9018</t>
  </si>
  <si>
    <t>Russian foundation [12-04-00680-a, 13-04-00843-a, 13-04-90411]; Saint-Petersburg State University [1.37.151.2014]</t>
  </si>
  <si>
    <t>Russian foundation(Russian Foundation for Basic Research (RFBR)); Saint-Petersburg State University</t>
  </si>
  <si>
    <t>This work was supported by the Russian foundation for basic research, projects 12-04-00680-a, 13-04-00843-a, 13-04-90411 ukr-f-a and by Saint-Petersburg State University research grant 1.37.151.2014. The authors thank V. Lukin, head of the Russian Antarctic expedition, H.-U. Peter and MSc Matthias Kopp, Jena University, for help in the transportation of soil samples from Antarctica to Saint Petersburg, and A. Lupachev, Institute of Physico-chemical and biological problems of soil science RAS, for soil photos nos. 2-6 and 2-8.</t>
  </si>
  <si>
    <t>1869-9510</t>
  </si>
  <si>
    <t>1869-9529</t>
  </si>
  <si>
    <t>Solid Earth</t>
  </si>
  <si>
    <t>10.5194/se-5-705-2014</t>
  </si>
  <si>
    <t>AY4KD</t>
  </si>
  <si>
    <t>WOS:000347545800010</t>
  </si>
  <si>
    <t>Oliva, M; Pereira, P; Bockheim, J; Navas, A</t>
  </si>
  <si>
    <t>Oliva, M.; Pereira, P.; Bockheim, J.; Navas, A.</t>
  </si>
  <si>
    <t>Preface: Soil processes in cold-climate environments</t>
  </si>
  <si>
    <t>SOUTH-SHETLAND ISLANDS; BYERS PENINSULA; LIVINGSTON ISLAND; GRASSLAND FIRE; SIERRA-NEVADA; THERMAL STATE; ACTIVE-LAYER; PERMAFROST; ICE; DEGRADATION</t>
  </si>
  <si>
    <t>[Oliva, M.] Univ Lisbon, Ctr Geog Studies, Inst Geog &amp; Spatial Planning, P-1600214 Lisbon, Portugal; [Pereira, P.] Mykolas Romeris Univ, Ctr Environm Management, Vilnius, Lithuania; [Bockheim, J.] Univ Wisconsin, Dept Soil Sci, Madison, WI 53706 USA; [Navas, A.] EEAD, CSIC, Dept Soil &amp; Water, Zaragoza 50059, Spain</t>
  </si>
  <si>
    <t>Universidade de Lisboa; Mykolas Romeris University; University of Wisconsin System; University of Wisconsin Madison; Consejo Superior de Investigaciones Cientificas (CSIC); CSIC - Estacion Experimental de Aula Dei (EEAD)</t>
  </si>
  <si>
    <t>Oliva, M (corresponding author), Univ Lisbon, Ctr Geog Studies, Inst Geog &amp; Spatial Planning, Alameda Univ S-N, P-1600214 Lisbon, Portugal.</t>
  </si>
  <si>
    <t>oliva_marc@yahoo.com</t>
  </si>
  <si>
    <t>Pereira, Paulo/G-5363-2010; Oliva, Marc/K-5423-2014; Pereira, Paulo/O-1845-2016; Navas, Ana/C-2725-2014</t>
  </si>
  <si>
    <t>Oliva, Marc/0000-0001-6521-6388; Pereira, Paulo/0000-0003-0227-2010; Navas, Ana/0000-0002-4724-7532</t>
  </si>
  <si>
    <t>HOLOANTAR (Holocene environmental change in the maritime Antarctic. Interactions between permafrost and the lacustrine environment) [PTDC/CTE-GIX/119582/2010]; Portuguese Science Foundation; sponsorship of the AXA Research Fund; LITFIRE (Fire effects on Lithuanian soils and ecosystems) [MIP-048/2011]; Lithuanian Research; POSTFIRE (Soil quality, erosion control and plant cover recovery under different post-fire management scenarios) [CGL2013-47862-C2-1-R]; Spanish Ministry of Economy and Competitiveness; RECARE (Preventing and Remediating Degradation of Soils in Europe Through Land Care) [FP7-ENV-2013-TWO STAGE]; European Commission; COST action (Connecting European connectivity research) [ES1306]; CICYT [CGL2011-25486]; Spanish Ministry of Science and Innovation; Fundação para a Ciência e a Tecnologia [PTDC/CTE-GIX/119582/2010] Funding Source: FCT</t>
  </si>
  <si>
    <t>HOLOANTAR (Holocene environmental change in the maritime Antarctic. Interactions between permafrost and the lacustrine environment); Portuguese Science Foundation(Fundacao para a Ciencia e a Tecnologia (FCT)); sponsorship of the AXA Research Fund(AXA Research Fund); LITFIRE (Fire effects on Lithuanian soils and ecosystems); Lithuanian Research; POSTFIRE (Soil quality, erosion control and plant cover recovery under different post-fire management scenarios); Spanish Ministry of Economy and Competitiveness(Spanish Government); RECARE (Preventing and Remediating Degradation of Soils in Europe Through Land Care); European Commission(European Union (EU)European Commission Joint Research Centre); COST action (Connecting European connectivity research); CICYT(Consejo Interinstitucional de Ciencia y Tecnologia (CICYT)Spanish Government); Spanish Ministry of Science and Innovation(Spanish Government); Fundação para a Ciência e a Tecnologia(Fundacao para a Ciencia e a Tecnologia (FCT))</t>
  </si>
  <si>
    <t>The first author wants to acknowledge the financial support received from the research project HOLOANTAR (Holocene environmental change in the maritime Antarctic. Interactions between permafrost and the lacustrine environment, PTDC/CTE-GIX/119582/2010), funded by the Portuguese Science Foundation and the sponsorship of the AXA Research Fund. The second author is thankful for the support of the projects LITFIRE (Fire effects on Lithuanian soils and ecosystems, MIP-048/2011), funded by the Lithuanian Research; POSTFIRE (Soil quality, erosion control and plant cover recovery under different post-fire management scenarios, CGL2013-47862-C2-1-R), funded by the Spanish Ministry of Economy and Competitiveness; RECARE (Preventing and Remediating Degradation of Soils in Europe Through Land Care, FP7-ENV-2013-TWO STAGE), funded by the European Commission; and for the COST action ES1306 (Connecting European connectivity research). The last author acknowledges the CICYT project EROMED (CGL2011-25486), funded by the Spanish Ministry of Science and Innovation.</t>
  </si>
  <si>
    <t>10.5194/se-5-1205-2014</t>
  </si>
  <si>
    <t>WOS:000347545800043</t>
  </si>
  <si>
    <t>Thompson, J; Simons, M; Tsai, VC</t>
  </si>
  <si>
    <t>Thompson, J.; Simons, M.; Tsai, V. C.</t>
  </si>
  <si>
    <t>Modeling the elastic transmission of tidal stresses to great distances inland in channelized ice streams</t>
  </si>
  <si>
    <t>CRYOSPHERE</t>
  </si>
  <si>
    <t>STICK-SLIP MOTION; WEST ANTARCTICA; GROUNDING ZONE; BRILLOUIN SPECTROSCOPY; BASAL CONDITIONS; DEFORMATION; GLACIER; DYNAMICS; FLOW; TEMPERATURE</t>
  </si>
  <si>
    <t>Geodetic surveys suggest that ocean tides can modulate the motion of Antarctic ice streams, even at stations many tens of kilometers inland from the grounding line. These surveys suggest that ocean tidal stresses can perturb ice stream motion at distances about an order of magnitude farther inland than tidal flexure of the ice stream alone. Recent models exploring the role of tidal perturbations in basal shear stress are primarily one-or two-dimensional, with the impact of the ice stream margins either ignored or parameterized. Here, we use two-and three-dimensional finite-element modeling to investigate transmission of tidal stresses in ice streams and the impact of considering more realistic, three-dimensional ice stream geometries. Using Rutford Ice Stream as a real-world comparison, we demonstrate that the assumption that elastic tidal stresses in ice streams propagate large distances inland fails for channelized glaciers due to an intrinsic, exponential decay in the stress caused by resistance at the ice stream margins. This behavior is independent of basal conditions beneath the ice stream and cannot be fit to observations using either elastic or nonlinear viscoelastic rheologies without nearly complete decoupling of the ice stream from its lateral margins. Our results suggest that a mechanism external to the ice stream is necessary to explain the tidal modulation of stresses far upstream of the grounding line for narrow ice streams. We propose a hydrologic model based on time-dependent variability in till strength to explain transmission of tidal stresses inland of the grounding line. This conceptual model can reproduce observations from Rutford Ice Stream.</t>
  </si>
  <si>
    <t>[Thompson, J.; Simons, M.; Tsai, V. C.] CALTECH, Div Geol &amp; Planetary Sci, Seismol Lab, Pasadena, CA 91125 USA</t>
  </si>
  <si>
    <t>California Institute of Technology</t>
  </si>
  <si>
    <t>Thompson, J (corresponding author), CALTECH, Div Geol &amp; Planetary Sci, Seismol Lab, MC 252-21,1200 E Calif Blvd, Pasadena, CA 91125 USA.</t>
  </si>
  <si>
    <t>jeffremt@gmail.com</t>
  </si>
  <si>
    <t>Tsai, Victor C/J-8405-2012; Simons, Mark/N-4397-2015</t>
  </si>
  <si>
    <t>Tsai, Victor C/0000-0003-1809-6672;</t>
  </si>
  <si>
    <t>National Aeronautics and Space Administration; President's Fund Program; Director's Fund Program</t>
  </si>
  <si>
    <t>National Aeronautics and Space Administration(National Aeronautics &amp; Space Administration (NASA)); President's Fund Program; Director's Fund Program</t>
  </si>
  <si>
    <t>The authors would like to thank the two anonymous reviewers of this manuscript and editor Oliver Gagliardini for their constructive comments. We would also like to thank J. N. Bassis and Martin Luthi for their constructive review of an earlier version of this manuscript. Part of this research was carried out at the Jet Propulsion Laboratory and the California Institute of Technology under a contract with the National Aeronautics and Space Administration and funded through the President's and Director's Fund Program.</t>
  </si>
  <si>
    <t>1994-0416</t>
  </si>
  <si>
    <t>1994-0424</t>
  </si>
  <si>
    <t>Cryosphere</t>
  </si>
  <si>
    <t>10.5194/tc-8-2007-2014</t>
  </si>
  <si>
    <t>AY3ES</t>
  </si>
  <si>
    <t>Green Accepted, gold</t>
  </si>
  <si>
    <t>WOS:000347468000001</t>
  </si>
  <si>
    <t>Scambos, TA; Berthier, E; Haran, T; Shuman, CA; Cook, AJ; Ligtenberg, SRM; Bohlander, J</t>
  </si>
  <si>
    <t>Scambos, T. A.; Berthier, E.; Haran, T.; Shuman, C. A.; Cook, A. J.; Ligtenberg, S. R. M.; Bohlander, J.</t>
  </si>
  <si>
    <t>Detailed ice loss pattern in the northern Antarctic Peninsula: widespread decline driven by ice front retreats</t>
  </si>
  <si>
    <t>RADIO-ECHO SOUNDINGS; RECONCILED ESTIMATE; MASS-BALANCE; GLACIER; GREENLAND; CLIMATE; LARSEN; SHELF; PERFORMANCE; REANALYSIS</t>
  </si>
  <si>
    <t>The northern Antarctic Peninsula (nAP, &lt; 66 degrees S) is one of the most rapidly changing glaciated regions on earth, yet the spatial patterns of its ice mass loss at the glacier basin scale have to date been poorly documented. We use satellite laser altimetry and satellite stereo-image topography spanning 2001-2010, but primarily 2003-2008, to map ice elevation change and infer mass changes for 33 glacier basins covering the mainland and most large islands in the nAP. Rates of ice volume and ice mass change are 27.7 +/- 8.6 km(3) a(-1) and 24.9 +/- 7.8 Gt a(-1), equal to -0.73ma(-1) w.e. for the study area. Mass loss is the highest for eastern glaciers affected by major ice shelf collapses in 1995 and 2002, where twelve glaciers account for 60% of the total imbalance. However, losses at smaller rates occur throughout the nAP, at both high and low elevation, despite increased snow accumulation along the western coast and ridge crest. We interpret the widespread mass loss to be driven by decades of ice front retreats on both sides of the nAP, and extended throughout the ice sheet due to the propagation of kinematic waves triggered at the fronts into the interior.</t>
  </si>
  <si>
    <t>[Scambos, T. A.; Haran, T.; Bohlander, J.] Univ Colorado, NSIDC, Boulder, CO 80303 USA; [Berthier, E.] Univ Toulouse, CNRS, LEGOS, F-31400 Toulouse, France; [Shuman, C. A.] NASA, Goddard Space Flight Ctr, UMBC JCET, Greenbelt, MD 20771 USA; [Cook, A. J.] Swansea Univ, Dept Geog, Swansea SA2 8PP, W Glam, Wales; [Ligtenberg, S. R. M.] Inst Marine &amp; Atmospher Res Utrecht IMAU, NL-3508 TA Utrecht, Netherlands</t>
  </si>
  <si>
    <t>University of Colorado System; University of Colorado Boulder; Universite de Toulouse; Universite Toulouse III - Paul Sabatier; Centre National de la Recherche Scientifique (CNRS); Institut de Recherche pour le Developpement (IRD); Laboratoire d'Etudes en Geophysique et oceanographie spatiales; National Aeronautics &amp; Space Administration (NASA); NASA Goddard Space Flight Center; University System of Maryland; University of Maryland Baltimore County; Swansea University; Utrecht University</t>
  </si>
  <si>
    <t>Scambos, TA (corresponding author), Univ Colorado, NSIDC, Boulder, CO 80303 USA.</t>
  </si>
  <si>
    <t>teds@nsidc.org</t>
  </si>
  <si>
    <t>Ligtenberg, Stefan/AAF-8290-2020; Berthier, Etienne/B-8900-2009</t>
  </si>
  <si>
    <t>Berthier, Etienne/0000-0001-5978-9155; SCAMBOS, Ted A./0000-0003-4268-6322</t>
  </si>
  <si>
    <t>NASA [NNX10AR76G]; TOSCA program of the French Space Agency (CNES); ISIS program of the French Space Agency (CNES); NASA Cryospheric Program funds; NSF [ANT-0732921]; Netherlands Polar Program; European Union [226375]; NASA [NNX10AR76G, 124632] Funding Source: Federal RePORTER</t>
  </si>
  <si>
    <t>NASA(National Aeronautics &amp; Space Administration (NASA)); TOSCA program of the French Space Agency (CNES); ISIS program of the French Space Agency (CNES); NASA Cryospheric Program funds; NSF(National Science Foundation (NSF)); Netherlands Polar Program; European Union(European Union (EU)); NASA(National Aeronautics &amp; Space Administration (NASA))</t>
  </si>
  <si>
    <t>The ICESat data for this paper are available at the NASA Distributed Active Archive Center at NSIDC (GLA12 - GLAS/ICESat L2 Antarctic and Greenland Ice Sheet Altimetry Data). The SPOT5 HRS data were provided at no cost by CNES through the SPIRIT project. The ASTER data were provided at no cost by NASA/USGS through the Global Land Ice Measurements from Space (GLIMS) project. This work was supported by NASA grant NNX10AR76G to T. Scambos and W. Abdalati, the TOSCA and ISIS programs of the French Space Agency (CNES) to E. Berthier, NASA Cryospheric Program funds to C. Shuman, NSF grant ANT-0732921 to T. Scambos, and the Netherlands Polar Program and European Union Seventh Framework Programme grant 226375 to S. Ligtenberg.</t>
  </si>
  <si>
    <t>10.5194/tc-8-2135-2014</t>
  </si>
  <si>
    <t>Green Submitted, Green Accepted, gold, Green Published</t>
  </si>
  <si>
    <t>WOS:000347468000009</t>
  </si>
  <si>
    <t>Geilfus, NX; Tison, JL; Ackley, SF; Galley, RJ; Rysgaard, S; Miller, LA; Delille, B</t>
  </si>
  <si>
    <t>Geilfus, N-X; Tison, J-L; Ackley, S. F.; Galley, R. J.; Rysgaard, S.; Miller, L. A.; Delille, B.</t>
  </si>
  <si>
    <t>Sea ice pCO2 dynamics and air-ice CO2 fluxes during the Sea Ice Mass Balance in the Antarctic (SIMBA) experiment - Bellingshausen Sea, Antarctica</t>
  </si>
  <si>
    <t>INORGANIC CARBON; ATMOSPHERIC CO2; WEDDELL SEA; PRECIPITATION; DISSOCIATION; CONSTANTS; EVOLUTION; SEAWATER; SUMMER; IKAITE</t>
  </si>
  <si>
    <t>Temporal evolution of pCO2 profiles in sea ice in the Bellingshausen Sea, Antarctica, in October 2007 shows physical and thermodynamic processes controls the CO2 system in the ice. During the survey, cyclical warming and cooling strongly influenced the physical, chemical, and thermodynamic properties of the ice cover. Two sampling sites with contrasting characteristics of ice and snow thickness were sampled: one had little snow accumulation (from 8 to 25 cm) and larger temperature and salinity variations than the second site, where the snow cover was up to 38 cm thick and therefore better insulated the underlying sea ice. We show that each cooling/warming event was associated with an increase/decrease in the brine salinity, total alkalinity (TA), total dissolved inorganic carbon (TCO2), and in situ brine and bulk ice CO2 partial pressures (pCO(2)). Thicker snow covers reduced the amplitude of these changes: snow cover influences the sea ice carbonate system by modulating the temperature and therefore the salinity of the sea ice cover. Results indicate that pCO(2) was undersaturated with respect to the atmosphere both in the in situ bulk ice (from 10 to 193 mu atm) and brine (from 65 to 293 mu atm), causing the sea ice to act as a sink for atmospheric CO2 (up to 2.9 mmol m(-2) d(-1)), despite supersaturation of the underlying seawater (up to 462 mu atm).</t>
  </si>
  <si>
    <t>[Geilfus, N-X; Rysgaard, S.] Aarhus Univ, Arctic Res Ctr, Aarhus, Denmark; [Geilfus, N-X; Tison, J-L] Univ Libre Bruxelles, Lab Glaciol, Brusells, Belgium; [Geilfus, N-X; Delille, B.] Univ Liege, Unite Oceanog Chim, Liege, Belgium; [Ackley, S. F.] Univ Texas San Antonio, Dept Geol Sci, San Antonio, TX USA; [Galley, R. J.; Rysgaard, S.] Univ Manitoba, Ctr Earth Observat Sci, Winnipeg, MB, Canada; [Rysgaard, S.] Greenland Inst Nat Resources, Greenland Climate Res Ctr, Nuuk, Greenland; [Miller, L. A.] Ctr Ocean Climate Chem, Inst Ocean Sci Fisheries &amp; Oceans, Sidney, BC, Canada</t>
  </si>
  <si>
    <t>Aarhus University; University of Liege; University of Texas System; University of Texas at San Antonio (UTSA); University of Manitoba; Greenland Institute of Natural Resources; Fisheries &amp; Oceans Canada</t>
  </si>
  <si>
    <t>Geilfus, NX (corresponding author), Aarhus Univ, Arctic Res Ctr, Aarhus, Denmark.</t>
  </si>
  <si>
    <t>geilfus@bios.au.dk</t>
  </si>
  <si>
    <t>Rysgaard, Søren/K-6689-2013; Delille, Bruno/C-3486-2008; Tison, Jean-Louis/F-4065-2015</t>
  </si>
  <si>
    <t>Geilfus, Nicolas-Xavier/0000-0002-0419-8283; Delille, Bruno/0000-0003-0502-8101; Tison, Jean-Louis/0000-0002-9758-3454; Rysgaard, Soren/0000-0003-1726-2958</t>
  </si>
  <si>
    <t>National Science Foundation under NSF [ANT 0703682]; Belgian French Community [ARC-02/7-318287]; BELCANTO project [SD/CA/03AB]; Belgian Federal Science Policy Office; Fonds de la Recherche Scientifique - FNRS [FRFC 2.4649.07]; FRIA (Fonds pour la Recherche en Industrie Agronomiques); Arctic Research Centre, Aarhus University</t>
  </si>
  <si>
    <t>National Science Foundation under NSF(National Science Foundation (NSF)); Belgian French Community; BELCANTO project; Belgian Federal Science Policy Office(Belgian Federal Science Policy Office); Fonds de la Recherche Scientifique - FNRS(Fonds de la Recherche Scientifique - FNRS); FRIA (Fonds pour la Recherche en Industrie Agronomiques)(Fonds de la Recherche Scientifique - FNRS); Arctic Research Centre, Aarhus University</t>
  </si>
  <si>
    <t>The authors are grateful to the officers and crew of the RVIB Nathaniel B. Palmer for their logistical assistance during the SIMBA cruise. We thank Kristel De Potter for helping measure the bulk ice pCO2 and Keith Johnson for his help during sample collection. The SIMBA project was supported by the National Science Foundation under NSF Grant ANT 0703682 - Sea Ice Mass Balance in the Antarctic to UTSA (S. F. Ackley, PI). This work was carried out within the framework of the Belgian research program Action de Recherche Concertee Sea Ice Biogeochemistry in a CLIMate change perspective (ARC-SIBCLIM) financed by the Belgian French Community under contract no. ARC-02/7-318287, the BELCANTO project (contracts SD/CA/03A&amp;B) financed by the Belgian Federal Science Policy Office, and the Fonds de la Recherche Scientifique - FNRS (FRFC 2.4649.07). N.-X. Geilfus was supported by a FRIA (Fonds pour la Recherche en Industrie Agronomiques) grant and a grant from the Arctic Research Centre, Aarhus University. S. Rysgaard acknowledges the Canada Excellence Research Chairs Program. B. Delille is a research associate of the Fonds de la Recherche Scientifique - FNRS. This is a Mare contribution and a contribution to the Arctic Science Partnership (ASP), www.asp-net.org.</t>
  </si>
  <si>
    <t>10.5194/tc-8-2395-2014</t>
  </si>
  <si>
    <t>WOS:000347468000025</t>
  </si>
  <si>
    <t>Ballarotta, M; Falahat, S; Brodeau, L; Döös, K</t>
  </si>
  <si>
    <t>Ballarotta, M.; Falahat, S.; Brodeau, L.; Doos, K.</t>
  </si>
  <si>
    <t>On the glacial and interglacial thermohaline circulation and the associated transports of heat and freshwater</t>
  </si>
  <si>
    <t>OCEAN SCIENCE</t>
  </si>
  <si>
    <t>GLOBAL OCEAN CIRCULATION; SOUTHERN-OCEAN; OVERTURNING CIRCULATION; NORTH-ATLANTIC; SEA-ICE; CARBON-DIOXIDE; MODEL; SIMULATIONS; TEMPERATURE; CLIMATE</t>
  </si>
  <si>
    <t>The thermohaline circulation (THC) and the oceanic heat and freshwater transports are essential for understanding the global climate system. Streamfunctions are widely used in oceanography to represent the THC and estimate the transport of heat and freshwater. In the present study, the regional and global changes of the THC, the transports of heat and freshwater and the timescale of the circulation between the Last Glacial Maximum (LGM, approximate to 21 kyr ago) and the present- day climate are explored using an Ocean General Circulation Model and streamfunctions projected in various coordinate systems. We found that the LGM tropical circulation is about 10% stronger than under modern conditions due to stronger wind stress. Consequently, the maximum tropical transport of heat is about 20% larger during the LGM. In the North Atlantic basin, the large sea-ice extent during the LGM constrains the Gulf Stream to propagate in a more zonal direction, reducing the transport of heat towards high latitudes by almost 50% and reorganising the freshwater transport. The strength of the Atlantic Meridional Overturning Circulation depends strongly on the coordinate system. It varies between 9 and 16 Sv during the LGM, and between 12 to 19 Sv for the present day. Similar to paleo-proxy reconstructions, a large intrusion of saline Antarctic Bottom Water takes place into the Northern Hemisphere basins and squeezes most of the Conveyor Belt circulation into a shallower part of the ocean. These different haline regimes between the glacial and interglacial period are illustrated by the streamfunctions in latitude-salinity coordinates and thermohaline coordinates. From these diagnostics, we found that the LGM Conveyor Belt circulation is driven by an enhanced salinity contrast between the Atlantic and the Pacific basin. The LGM abyssal circulation lifts and makes the Conveyor Belt cell deviate from the abyssal region, resulting in a ventilated upper layer above a deep stagnant layer, and an Atlantic circulation more isolated from the Pacific. An estimate of the timescale of the circulation reveals a sluggish abyssal circulation during the LGM, and a Conveyor Belt circulation that is more vigorous due to the combination of a stronger wind stress and a shortened circulation route.</t>
  </si>
  <si>
    <t>[Ballarotta, M.] Stockholm Univ, Bolin Ctr Climate Res, Dept Phys Geog &amp; Quaternary Geol, S-10691 Stockholm, Sweden; [Falahat, S.; Brodeau, L.; Doos, K.] Stockholm Univ, Dept Meteorol Oceanog, Bolin Ctr Climate Res, S-10691 Stockholm, Sweden</t>
  </si>
  <si>
    <t>Ballarotta, M (corresponding author), Stockholm Univ, Bolin Ctr Climate Res, Dept Phys Geog &amp; Quaternary Geol, S-10691 Stockholm, Sweden.</t>
  </si>
  <si>
    <t>maxime.ballarotta@natgeo.su.se</t>
  </si>
  <si>
    <t>Ballarotta, Maxime/G-3112-2013; Doos, Kristofer/H-2838-2012</t>
  </si>
  <si>
    <t>Doos, Kristofer/0000-0002-1309-5921; BALLAROTTA, Maxime/0000-0002-4101-8704; Brodeau, Laurent/0000-0001-8745-7510</t>
  </si>
  <si>
    <t>Bert Bolin Centre for Climate Research; Swedish Research Council; Knut and Alice Wallenberg Foundation</t>
  </si>
  <si>
    <t>Bert Bolin Centre for Climate Research; Swedish Research Council(Swedish Research Council); Knut and Alice Wallenberg Foundation(Knut &amp; Alice Wallenberg Foundation)</t>
  </si>
  <si>
    <t>This work has been financially supported by the Bert Bolin Centre for Climate Research and by the Swedish Research Council. The Swedish National Infrastructure for Computing (SNIC) is gratefully acknowledged for providing the computer resources on the Vagn and Ekman facilities funded by the Knut and Alice Wallenberg Foundation. We would like to thank three anonymous reviewers for their constructive comments on the paper.</t>
  </si>
  <si>
    <t>1812-0784</t>
  </si>
  <si>
    <t>1812-0792</t>
  </si>
  <si>
    <t>OCEAN SCI</t>
  </si>
  <si>
    <t>Ocean Sci.</t>
  </si>
  <si>
    <t>10.5194/os-10-907-2014</t>
  </si>
  <si>
    <t>AY3HR</t>
  </si>
  <si>
    <t>WOS:000347475600003</t>
  </si>
  <si>
    <t>Wolicka, D; Zdanowski, MK; Zmuda-Baranowska, MJ; Poszytek, A; Grzesiak, J</t>
  </si>
  <si>
    <t>Wolicka, Dorota; Zdanowski, Marek K.; Zmuda-Baranowska, Magdalena J.; Poszytek, Anna; Grzesiak, Jakub</t>
  </si>
  <si>
    <t>Sulphate Reducing Activity Detected in Soil Samples from Antarctica, Ecology Glacier Forefield, King George Island</t>
  </si>
  <si>
    <t>POLISH JOURNAL OF MICROBIOLOGY</t>
  </si>
  <si>
    <t>Antarctica; biogenic minerals; biogeochemical reactions; psychrophiles; sulphate-reducing bacteria</t>
  </si>
  <si>
    <t>MICROBIAL COMMUNITY; WEST ANTARCTICA; BACTERIA; GEOCHEMISTRY; DEPOSITS; GROWTH; ROCKS; AGES</t>
  </si>
  <si>
    <t>We determined sulphate-reducing activities in media inoculated with soils and with kettle lake sediments in order to investigate their potential in geomicrobiological processes in low-temperature, terrestrial maritime Antarctic habitats. Soil and sediment samples were collected in a glacier valley abandoned by Ecology Glacier during the last 30 years: from a new formed kettle lake sediment and forefield soil derived from ground moraine. Inoculated with these samples, liquid Postgate C and minimal media supplemented with various carbon sources as electron donors were incubated for 8 weeks at 4 degrees C. High rates of sulphate reduction were observed only in media inoculated with soil. No sulphate reduction was detected in media inoculated with kettle lake sediments. In soil samples culture media calcite and elemental sulphur deposits were observed, demonstrating that sulphate-reducing activity is associated with a potential to mineral formation in cold environments. Cells observed on scanning microscopy (SEM) micrographs of post-culture-soil deposits could be responsible for sulphate-reducing activity.</t>
  </si>
  <si>
    <t>[Wolicka, Dorota; Poszytek, Anna] Warsaw Univ, Fac Geol, Inst Geochem Mineral &amp; Petrol, Warsaw, Poland; [Zdanowski, Marek K.; Grzesiak, Jakub] Polish Acad Sci, Inst Biochem &amp; Biophys, Dept Antarctic Biol, PL-02106 Warsaw, Poland; [Zmuda-Baranowska, Magdalena J.] Warsaw Univ Life Sci, Lab Basic Res Hort, Warsaw, Poland</t>
  </si>
  <si>
    <t>University of Warsaw; Polish Academy of Sciences; Institute of Biochemistry &amp; Biophysics - Polish Academy of Sciences; Warsaw University of Life Sciences</t>
  </si>
  <si>
    <t>Grzesiak, J (corresponding author), Polish Acad Sci, Inst Biochem &amp; Biophys, Dept Antarctic Biol, Pawinskiego 5a, PL-02106 Warsaw, Poland.</t>
  </si>
  <si>
    <t>jgrzesiak@arctowski.pl</t>
  </si>
  <si>
    <t>Grzesiak, Jakub/ABD-5209-2020</t>
  </si>
  <si>
    <t>Poszytek, Anna/0000-0001-6692-2073; Zmuda-Baranowska, Magdalena/0000-0003-0645-3396; Grzesiak, Jakub/0000-0001-5972-2356</t>
  </si>
  <si>
    <t>Polish Ministry of Science and Higher Education [IPY/26/2007]; National Centre for Science in Krakow PL [N N304 106940]</t>
  </si>
  <si>
    <t>Polish Ministry of Science and Higher Education(Ministry of Science and Higher Education, Poland); National Centre for Science in Krakow PL(National Science Centre, Poland)</t>
  </si>
  <si>
    <t>This research was supported by the Polish Ministry of Science and Higher Education (grant IPY/26/2007), and by the National Centre for Science in Krakow PL (grant N N304 106940).</t>
  </si>
  <si>
    <t>POLSKIE TOWARZYSTWO MIKROBIOLOGOW-POLISH SOCIETY OF MICROBIOLOGISTS</t>
  </si>
  <si>
    <t>WARSAW</t>
  </si>
  <si>
    <t>CHELMSKA STR 30-34, WARSAW, 00-725, POLAND</t>
  </si>
  <si>
    <t>1733-1331</t>
  </si>
  <si>
    <t>2544-4646</t>
  </si>
  <si>
    <t>POL J MICROBIOL</t>
  </si>
  <si>
    <t>Pol. J. Microbiol.</t>
  </si>
  <si>
    <t>AY1QR</t>
  </si>
  <si>
    <t>WOS:000347367700009</t>
  </si>
  <si>
    <t>Kaminski, MA; Ortiz, S</t>
  </si>
  <si>
    <t>Kaminski, Michael A.; Ortiz, Silvia</t>
  </si>
  <si>
    <t>The Eocene-Oligocene turnover of Deep-Water Agglutinated Foraminifera at ODP Site 647, Southern Labrador Sea (North Atlantic)</t>
  </si>
  <si>
    <t>BENTHIC FORAMINIFERA; LOMONOSOV RIDGE; BIOSTRATIGRAPHY; PALEOCEANOGRAPHY; COMPENSATION; EXTINCTION; BOUNDARY; HISTORY; RECORD; ONSET</t>
  </si>
  <si>
    <t>We present a new record of deep-water agglutinated foraminifera ( DWAF) across the Eocene-Oligocene Transition (EOT) in the southern Labrador Sea (ODP Site 647). We studied 82 samples from Cores 647A-37R to -27R, and recovered over 100 species and generic groups. The EOT represents an interval of rapid climatic change connected with global cooling, Antarctic glaciation, a substantial decrease in atmospheric CO2, and concurrent changes in the composition of deep waters in the world ocean. Our high-resolution quantitative study of the DWAF faunal succession in abyssal Hole 647A confirms earlier findings that the EOT was an interval of significant faunal turnover. The faunal succession in Hole 647A is subdivided into two assemblages based on the stratigraphic ranges of characteristic benthic foraminiferal species: late Eocene Spiroplectammina trinitatensis-Reticulophragmium amplectens Zone and early Oligocene Ammodiscus latus-Turrilina alsatica Zone. The boundary between these zones, i.e., the Eocene/Oligocene (E/O) boundary, is characterized by the disappearance of 11 DWAF taxa, most of them organically-cemented taxa. The boundary interval was also characterized by a striking sharp decrease in DWAF abundance and diversity. Organically-cemented DWAF taxa increased in abundance in the early Oligocene, but their diversity and abundance never recovered to Eocene values. These data suggest a deepening of the calcite compensation depth and associated changes, such as more vigorous ocean circulation in coincidence with the E/O boundary interval. The analysis of DWAF morphogroups reveals an acme in robust suspension-feeding tubular forms previous to the extinction, suggesting increased bottom water activity. The E/O boundary interval is characterized by an increase in DWAF infaunal taxa and Spiroplectammina species, probably related to increased productivity, as already suggested by the analysis of benthic elongate-cylindrical foraminifera at the same locality. The faunal turnover across the EOT at Hole 647A suggests more vigorous deep-ocean circulation in the latest Eocene and across the E/O boundary interval in the Labrador Sea. It seems reasonable to link the disappearance of DWAF at the E/O boundary at Site 647 to more than one mechanism, including inferred higher productivity, possible competition from calcareous benthic foraminifera, changes in the CO2 content of the atmosphere and ocean, the deepening of the calcite compensation depth, and concurrent changes in taphonomic conditions caused by changes in the water masses in the North Atlantic.</t>
  </si>
  <si>
    <t>[Kaminski, Michael A.] King Fahd Univ Petr &amp; Minerals, Dept Earth Sci, Dhahran 31261, Saudi Arabia; [Kaminski, Michael A.] UCL, Dept Earth Sci, London WC1E 6BT, England; [Ortiz, Silvia] Univ Pais Vasco UPV EHU, Fac Ciencia &amp; Tecnol, Dept Estratig &amp; Paleontol, Leioa 48940, Spain; [Ortiz, Silvia] PetrStrat Ltd, Parc Caer Seion LL32 8FA, Conwy, Wales</t>
  </si>
  <si>
    <t>King Fahd University of Petroleum &amp; Minerals; University of London; University College London; University of Basque Country</t>
  </si>
  <si>
    <t>Kaminski, MA (corresponding author), King Fahd Univ Petr &amp; Minerals, Dept Earth Sci, POB 301, Dhahran 31261, Saudi Arabia.</t>
  </si>
  <si>
    <t>kaminski@kfupm.edu.sa</t>
  </si>
  <si>
    <t>Kaminski, Michael/K-3334-2012; Ortiz, Silvia/AAA-4174-2019</t>
  </si>
  <si>
    <t>Kaminski, Michael A/0000-0002-7344-5874; Ortiz, Silvia/0000-0002-3027-7970</t>
  </si>
  <si>
    <t>Natural Environmental Research Council of the United Kingdom [NE/G016011/1]; Spanish Ministry of Science and Innovation [CGL 2011-23077, CGL 2011-23770]; NERC [NE/G016011/1] Funding Source: UKRI</t>
  </si>
  <si>
    <t>Natural Environmental Research Council of the United Kingdom(UK Research &amp; Innovation (UKRI)Natural Environment Research Council (NERC)); Spanish Ministry of Science and Innovation(Spanish Government); NERC(UK Research &amp; Innovation (UKRI)Natural Environment Research Council (NERC))</t>
  </si>
  <si>
    <t>This research was funded by the Natural Environmental Research Council of the United Kingdom (Grant NE/G016011/1). Silvia Ortiz acknowledges the Spanish Ministry of Science and Innovation for funding (CGL 2011-23077, CGL 2011-23770). We thank Claudia Cetean, Anna Waskowska and Eiichi Setoyama for reading the draft manuscript. This is publication no 99 of the Deep-Water Agglutinated Foraminiferal Project. We thank King Fahd University of Petroleum and Minerals for supporting the publication of this paper.</t>
  </si>
  <si>
    <t>AX8QO</t>
  </si>
  <si>
    <t>WOS:000347173900006</t>
  </si>
  <si>
    <t>Heiler, I</t>
  </si>
  <si>
    <t>Heiler, Istvan</t>
  </si>
  <si>
    <t>Topographic properties of sea ice surface roughness in both Cryosat-2 and SAR sub-footprint scale</t>
  </si>
  <si>
    <t>2014 IEEE/OES BALTIC INTERNATIONAL SYMPOSIUM (BALTIC)</t>
  </si>
  <si>
    <t>6th IEEE/OES Baltic International Symposium (BALTIC) - Measuring and Modeling of Multi-Scale Interactions in the Marine Environment</t>
  </si>
  <si>
    <t>MAY 26-29, 2014</t>
  </si>
  <si>
    <t>Tallinn, ESTONIA</t>
  </si>
  <si>
    <t>Knowledge of the spatial variability or patchiness of the sea-ice roughness is currently rather limited. Most of the earlier studies has been based on 1D laser altimeter measurements, airborne or satellite. Majority of the studies that use 2D laser altimeter data are however using 1D statistical methods for the data analysis, the focus being still on the elevations not on the 3D structure of the ice surface. In this case study a new approach was used: the topographic properties of the sea ice surface were studied in sub-footprint scale by using terrain analysis techniques. The presented study and preliminary results are one part of ANTLOAD project: 'quantify Antarctic ice thickness by in situ observations, radar altimeter and modeling and use the results to assess the performance of ice going ships'</t>
  </si>
  <si>
    <t>Finnish Meteorol Inst, FI-00101 Helsinki, Finland</t>
  </si>
  <si>
    <t>Finnish Meteorological Institute</t>
  </si>
  <si>
    <t>Heiler, I (corresponding author), Finnish Meteorol Inst, POB 503, FI-00101 Helsinki, Finland.</t>
  </si>
  <si>
    <t>978-1-4799-5707-1</t>
  </si>
  <si>
    <t>Engineering, Multidisciplinary</t>
  </si>
  <si>
    <t>Engineering</t>
  </si>
  <si>
    <t>BB8IC</t>
  </si>
  <si>
    <t>WOS:000346649800026</t>
  </si>
  <si>
    <t>Meier, WN; Peng, G; Scott, DJ; Savoie, MH</t>
  </si>
  <si>
    <t>Meier, Walter N.; Peng, Ge; Scott, Donna J.; Savoie, Matt H.</t>
  </si>
  <si>
    <t>Verification of a new NOAA/NSIDC passive microwave sea-ice concentration climate record</t>
  </si>
  <si>
    <t>POLAR RESEARCH</t>
  </si>
  <si>
    <t>Sea ice; Arctic and Antarctic oceans; climate data record; evaluation; passive microwave remote sensing</t>
  </si>
  <si>
    <t>ALGORITHM; VARIABILITY; CHARTS; TRENDS</t>
  </si>
  <si>
    <t>A new satellite-based passive microwave sea-ice concentration product developed for the National Oceanic and Atmospheric Administration (NOAA) Climate Data Record (CDR) programme is evaluated via comparison with other passive microwave-derived estimates. The new product leverages two well-established concentration algorithms, known as the NASA Team and Bootstrap, both developed at and produced by the National Aeronautics and Space Administration (NASA) Goddard Space Flight Center (GSFC). The sea-ice estimates compare well with similar GSFC products while also fulfilling all NOAA CDR initial operation capability (IOC) requirements, including (1) self-describing file format, (2) ISO 19115-2 compliant collection-level metadata, (3) Climate and Forecast (CF) compliant file-level metadata, (4) grid-cell level metadata (data quality fields), (5) fully automated and reproducible processing and (6) open online access to full documentation with version control, including source code and an algorithm theoretical basic document. The primary limitations of the GSFC products are lack of metadata and use of untracked manual corrections to the output fields. Smaller differences occur from minor variations in processing methods by the National Snow and Ice Data Center (for the CDR fields) and NASA (for the GSFC fields). The CDR concentrations do have some differences from the constituent GSFC concentrations, but trends and variability are not substantially different.</t>
  </si>
  <si>
    <t>[Meier, Walter N.] NASA, Cryospher Sci Lab, Goddard Space Flight Ctr, Greenbelt, MD 20771 USA; [Peng, Ge] N Carolina State Univ, Cooperat Inst Climate &amp; Satellites, Raleigh, NC 27695 USA; [Peng, Ge] NOAA, Remote Sensing &amp; Applicat Div, Natl Climat Data Ctr, Asheville, NC 28801 USA; [Scott, Donna J.; Savoie, Matt H.] Univ Colorado, Natl Snow &amp; Ice Data Ctr, Boulder, CO 80309 USA</t>
  </si>
  <si>
    <t>National Aeronautics &amp; Space Administration (NASA); NASA Goddard Space Flight Center; North Carolina State University; National Center Atmospheric Research (NCAR) - USA; National Oceanic Atmospheric Admin (NOAA) - USA; University of Colorado System; University of Colorado Boulder</t>
  </si>
  <si>
    <t>Meier, WN (corresponding author), NASA, Cryospher Sci Lab, Goddard Space Flight Ctr, Code 615, Greenbelt, MD 20771 USA.</t>
  </si>
  <si>
    <t>walt.meier@nasa.gov</t>
  </si>
  <si>
    <t>Meier, Walter/AAI-9583-2021; Peng, Ge/D-8003-2014</t>
  </si>
  <si>
    <t>Peng, Ge/0000-0002-1986-9115; Meier, Walter/0000-0003-2857-0550</t>
  </si>
  <si>
    <t>NOAA's NCDC CDR; NOAA through the Cooperative Institute for Climate and Satellites-North Carolina [NA09NES4400006]; [NA07OAR4310056]</t>
  </si>
  <si>
    <t>NOAA's NCDC CDR; NOAA through the Cooperative Institute for Climate and Satellites-North Carolina;</t>
  </si>
  <si>
    <t>This work was funded by NOAA's NCDC CDR programme. WNM, DJS and MHS were supported by the grant NA07OAR4310056. GP is supported by NOAA through the Cooperative Institute for Climate and Satellites-North Carolina under Cooperative Agreement NA09NES4400006. GP thanks J. Privette for beneficial suggestions and discussions on confusion matrix and K. Knapp, C. Schreck and J. Matthews for comments on the layout of the confusion matrix diagram. WNM thanks S. Mallory for initial development work on the CDR processing software. The daily and monthly NOAA/NSIDC passive microwave sea-ice concentration CDR data files, including both CDR and GSFC fields, can be downloaded from http://nsidc.org/data/g02202.html or http://www.ncdc.noaa.gov/cdr/operationalcdrs.html.</t>
  </si>
  <si>
    <t>0800-0395</t>
  </si>
  <si>
    <t>1751-8369</t>
  </si>
  <si>
    <t>POLAR RES</t>
  </si>
  <si>
    <t>Polar Res.</t>
  </si>
  <si>
    <t>10.3402/polar.v33.21004</t>
  </si>
  <si>
    <t>Ecology; Geosciences, Multidisciplinary; Oceanography</t>
  </si>
  <si>
    <t>Environmental Sciences &amp; Ecology; Geology; Oceanography</t>
  </si>
  <si>
    <t>AX3KZ</t>
  </si>
  <si>
    <t>WOS:000346839500001</t>
  </si>
  <si>
    <t>Rahman, S; Brennan, PV; Lok, LB</t>
  </si>
  <si>
    <t>Rahman, Samiur; Brennan, Paul V.; Lok, Lai Bun</t>
  </si>
  <si>
    <t>Shape matching algorithm for detecting radar hidden targets to determine internal layers in Antarctic ice shelves</t>
  </si>
  <si>
    <t>2014 IEEE RADAR CONFERENCE</t>
  </si>
  <si>
    <t>IEEE Radar Conference</t>
  </si>
  <si>
    <t>IEEE Radar Conference - From Sensing to Information</t>
  </si>
  <si>
    <t>MAY 19-23, 2014</t>
  </si>
  <si>
    <t>Cincinnati, OH</t>
  </si>
  <si>
    <t>Antarctic ice shelves are the fringes of ice sheets, that stifle the ice flow into the ocean. Determining the presence of internal layers in these ice shelves is very important for accurate measurement of the ice shelf melt rate. This paper introduces a novel method to detect presence of an internal layer ( if there is any) that is masked by high amplitude antenna direct coupling returns or near surface clutter. The method uses the shape of the basal layer return to match with the radar signal returns throughout the range profile. Instead of usual cross correlation weighting, this method uses ranking system to determine likelihood. Experimental results are also shown and described in the paper. The raw data has been acquired from the Foundation ice stream, George VI, and Larsen ice shelf in Antarctica. Phase sensitive FMCW radar developed at UCL and pRES radar system developed at British Antarctic Survey (BAS) have been used for the data acquisition. The results validate that the method can be used for detection of internal layers or any other hidden features inside ice shelf.</t>
  </si>
  <si>
    <t>[Rahman, Samiur; Brennan, Paul V.; Lok, Lai Bun] UCL, Dept Elect &amp; Elect Engn, London, England</t>
  </si>
  <si>
    <t>University of London; University College London</t>
  </si>
  <si>
    <t>Rahman, S (corresponding author), UCL, Dept Elect &amp; Elect Engn, London, England.</t>
  </si>
  <si>
    <t>s.rahman@ee.ucl.ac.uk</t>
  </si>
  <si>
    <t>Rahman, Samiur/H-1159-2019</t>
  </si>
  <si>
    <t>Rahman, Samiur/0000-0002-5477-4218</t>
  </si>
  <si>
    <t>NERC [NE/I000623/1, NE/J005630/1] Funding Source: UKRI</t>
  </si>
  <si>
    <t>NERC(UK Research &amp; Innovation (UKRI)Natural Environment Research Council (NERC))</t>
  </si>
  <si>
    <t>1097-5764</t>
  </si>
  <si>
    <t>978-1-4799-2035-8</t>
  </si>
  <si>
    <t>IEEE RAD CONF</t>
  </si>
  <si>
    <t>Engineering, Electrical &amp; Electronic; Physics, Applied</t>
  </si>
  <si>
    <t>Engineering; Physics</t>
  </si>
  <si>
    <t>BB8EZ</t>
  </si>
  <si>
    <t>WOS:000346494600281</t>
  </si>
  <si>
    <t>Bernhard, A</t>
  </si>
  <si>
    <t>Finley, C; Ahlers, M; Belias, A; Graf, K; Hulth, PO; Hultqvist, K; Kalekin, O; Kelley, J; Real, D; Sandstrom, P; Walck, C; Williams, D; Zornoza, JD</t>
  </si>
  <si>
    <t>Bernhard, Anna</t>
  </si>
  <si>
    <t>IceCube Collaboration</t>
  </si>
  <si>
    <t>Search for a small-scale neutrino anisotropy with three years of IceCube data</t>
  </si>
  <si>
    <t>6TH INTERNATIONAL WORKSHOP ON VERY LARGE VOLUME NEUTRINO TELESCOPES (VLVVT 13)</t>
  </si>
  <si>
    <t>AIP Conference Proceedings</t>
  </si>
  <si>
    <t>6th International Workshop on Very Large Volume Neutrino Telescopes (VLVvT)</t>
  </si>
  <si>
    <t>AUG 05-13, 2013</t>
  </si>
  <si>
    <t>Stockholm, SWEDEN</t>
  </si>
  <si>
    <t>IceCube; neutrino astronomy; autocorrelation test</t>
  </si>
  <si>
    <t>The IceCube neutrino observatory built in the antarctic ice offers unique opportunities in studying high energy neutrino emission from Galactic and extragalactic sources. Detecting such neutrino emission could give valuable information about the origin of cosmic rays. Recently, first evidence for a diffuse astrophysical neutrino signal in the PeV range was found with IceCube. There is no clear point source signal yet, and advanced analysis methods are being developed in order to improve the sensitivity to point sources and resolve the diffuse signal into point sources. Other searches like a energy-dependent likelihood scan were already performed on IceCube data. In this paper, we report a complementary search for multiple neutrino point sources from three years of IceCube data, performing an autocorrelation test on the full sky. This analysis is aiming for various faint sources at unknown positions and energy spectra in the sky. The result obtained from this search is consistant with a background-only case and shows an underfluctuation. Here, we present limits using the ansatz of the small-scale anisotropy search.</t>
  </si>
  <si>
    <t>[Bernhard, Anna; IceCube Collaboration] Tech Univ Munich, D-85748 Garching, Germany</t>
  </si>
  <si>
    <t>Technical University of Munich</t>
  </si>
  <si>
    <t>Bernhard, A (corresponding author), Tech Univ Munich, D-85748 Garching, Germany.</t>
  </si>
  <si>
    <t>Sánchez, Juan Antonio Aguilar/H-4467-2015</t>
  </si>
  <si>
    <t>AMER INST PHYSICS</t>
  </si>
  <si>
    <t>2 HUNTINGTON QUADRANGLE, STE 1NO1, MELVILLE, NY 11747-4501 USA</t>
  </si>
  <si>
    <t>0094-243X</t>
  </si>
  <si>
    <t>978-0-7354-1269-9</t>
  </si>
  <si>
    <t>AIP CONF PROC</t>
  </si>
  <si>
    <t>10.1063/1.4902774</t>
  </si>
  <si>
    <t>Astronomy &amp; Astrophysics; Physics, Applied</t>
  </si>
  <si>
    <t>BB7UY</t>
  </si>
  <si>
    <t>WOS:000346054000013</t>
  </si>
  <si>
    <t>Baum, V; Collaboration, I</t>
  </si>
  <si>
    <t>Baum, Volker; Collaboration, IceCube</t>
  </si>
  <si>
    <t>The IceCube data acquisition system for galactic core collapse supernova searches</t>
  </si>
  <si>
    <t>IceCube; Neutrino; Supernova</t>
  </si>
  <si>
    <t>The IceCube Neutrino Observatory was designed to detect highly energetic neutrinos. The detector was built as a lattice of 5160 photomultiplier tubes monitoring one cubic kilometer of clear Antarctic ice. Due to low photomultiplier dark noise rates in the cold and radio-pure ice, IceCube is also able to detect bursts of O(10MeV) neutrinos expected to be emitted from core collapse supernovae. The detector will provide the world's highest statistical precision for the lightcurves of galactic supernovae by observing an induced collective rise in all photomultiplier rates [1]. This paper presents the supernova data acquisition system, the search algorithms for galactic supernovae, as well as the recently implemented HitSpooling DAQ extension. HitSpooling will overcome the current limitation of transmitting photomultiplier rates in intervals of 1.6384 ms by storing all recorded time-stamped hits for supernova candidate triggers. From the corresponding event-based information, the average neutrino energy can be estimated and the background induced by detector noise and atmospheric muons can be reduced.</t>
  </si>
  <si>
    <t>[Baum, Volker; Collaboration, IceCube] Johannes Gutenberg Univ Mainz, Inst Phys, D-55099 Mainz, Germany</t>
  </si>
  <si>
    <t>Johannes Gutenberg University of Mainz</t>
  </si>
  <si>
    <t>Baum, V (corresponding author), Johannes Gutenberg Univ Mainz, Inst Phys, Staudinger Weg 7, D-55099 Mainz, Germany.</t>
  </si>
  <si>
    <t>10.1063/1.4902794</t>
  </si>
  <si>
    <t>WOS:000346054000033</t>
  </si>
  <si>
    <t>Estebenet, MSG; Guerstein, GR; Alperin, MI</t>
  </si>
  <si>
    <t>Gonzalez Estebenet, M. Sol; Guerstein, G. Raquel; Alperin, Marta I.</t>
  </si>
  <si>
    <t>DINOFLAGELLATE CYST DISTRIBUTION DURING THE MIDDLE EOCENE IN THE DRAKE PASSAGE AREA: PALEOCEANOGRAPHIC IMPLICATIONS</t>
  </si>
  <si>
    <t>AMEGHINIANA</t>
  </si>
  <si>
    <t>Dinoflagellate cysts; Middle Eocene; Drake Passage; Early opening</t>
  </si>
  <si>
    <t>SCOTIA SEA; SOUTHERN-OCEAN; PALEOGENE; ENNEADOCYSTA; ANTARCTICA; PATAGONIA; FLOW</t>
  </si>
  <si>
    <t>The middle-late Eocene (45-36 Ma) dinoflagellate cyst distribution in high latitudes of the Southern Hemisphere has been explained by a surface ocean circulation pattern characterized by extensive subpolar gyres around Antarctica. Based on global paleoclimate models it has been proposed that these surface ocean gyres might favored the development of an Antarctic-endemic dinoflagellate cyst assemblage, which was consistently abundant until the end of the Eocene. During the late Eocene the deepening of the Tasman Gateway and the Drake Passage would have generated a circumpolar water flow responsible for the disruption of the local gyre system and the subsequent extinction of the endemic assemblage. Some authors have recently suggested that during the middle Eocene shallow water flows had already developed through incipient openings of the Tasman Gateway and the Drake Passage. In this review we have compared the middle Eocene dinoflagellate cysts assemblages dominated by the Antarctic-endemic species from localities of the Drake Passage area and performed a multivariate analysis to evaluate this hypothesis. Our results point out a clear differentiation between localities to the north and south of what now is the Drake Passage. While localities from the Antarctic Peninsula and Scotia Sea would had been affected by Antarctic surface waters, the Austral Basin would had been flooded by Antarctic waters together with Pacific waterflows developed through an incipient Drake Passage during the middle Eocene.</t>
  </si>
  <si>
    <t>[Gonzalez Estebenet, M. Sol; Guerstein, G. Raquel] Univ Nacl Sur, Inst Geol Sur, Dept Geol, RA-8000 Bahia Blanca, Buenos Aires, Argentina; [Alperin, Marta I.] Natl Univ La Plata, Fac Ciencias Nat &amp; Museo, RA-1900 La Plata, Argentina</t>
  </si>
  <si>
    <t>National University of the South; National University of La Plata; Museo La Plata</t>
  </si>
  <si>
    <t>Estebenet, MSG (corresponding author), Univ Nacl Sur, Inst Geol Sur, Dept Geol, San Juan 670,B8000ICN, RA-8000 Bahia Blanca, Buenos Aires, Argentina.</t>
  </si>
  <si>
    <t>sol.gonzalezestebenet@uns.edu.ar; raquel.guerstein@uns.edu.ar; marta.alperin@gmail.com</t>
  </si>
  <si>
    <t>Guerstein, G. Raquel/0000-0003-1623-1084</t>
  </si>
  <si>
    <t>Agencia Nacional de Promocion Cientifica y Tecnologica [PICT 89/09]; Consejo Nacional de Investigaciones Cientificas y Tecnicas [PIP: 112-201101-00566]; Universidad Nacional del Sur [PGI 24/H125]</t>
  </si>
  <si>
    <t>Agencia Nacional de Promocion Cientifica y Tecnologica(ANPCyTSpanish Government); Consejo Nacional de Investigaciones Cientificas y Tecnicas(Consejo Nacional de Investigaciones Cientificas y Tecnicas (CONICET)); Universidad Nacional del Sur</t>
  </si>
  <si>
    <t>The authors thank V. Bowman and P. Bijl for their constructive reviews and valuable suggestions that greatly improved this manuscript. The samples from the Austral Basin studied by MSGE and GRG were processed by O. Cardenas. The present work was funded by projects granted by Agencia Nacional de Promocion Cientifica y Tecnologica (PICT 89/09), Consejo Nacional de Investigaciones Cientificas y Tecnicas (PIP: 112-201101-00566) and Universidad Nacional del Sur (PGI 24/H125).</t>
  </si>
  <si>
    <t>ASOCIACION PALEONTOLOGICA ARGENTINA</t>
  </si>
  <si>
    <t>BUENOS AIRES</t>
  </si>
  <si>
    <t>MAIPU 645, 1ER PISO, 1006 BUENOS AIRES, ARGENTINA</t>
  </si>
  <si>
    <t>0002-7014</t>
  </si>
  <si>
    <t>1851-8044</t>
  </si>
  <si>
    <t>Ameghiniana</t>
  </si>
  <si>
    <t>10.5710/AMGH.06.08.2014.2727</t>
  </si>
  <si>
    <t>AW3IN</t>
  </si>
  <si>
    <t>WOS:000346179800003</t>
  </si>
  <si>
    <t>Contador, T; Kennedy, J; Ojeda, J; Feinsinger, P; Rozzi, R</t>
  </si>
  <si>
    <t>Contador, Tamara; Kennedy, James; Ojeda, Jaime; Feinsinger, Peter; Rozzi, Ricardo</t>
  </si>
  <si>
    <t>Life cycles of freshwater invertebrates and global climate change in the sub-Antarctic Magellanic ecoregion: long-term ecological research at the Omora Ethonobotanical Park, Biosphere Reserve Cape Horn (55° S)</t>
  </si>
  <si>
    <t>BOSQUE</t>
  </si>
  <si>
    <t>benthic macroinvertebrates; phenology; stream ecology; conservation</t>
  </si>
  <si>
    <t>BIOCULTURAL CONSERVATION; PHENOLOGICAL RESPONSE; IMPACTS; ECOSYSTEMS; PATTERNS; STREAM; MODEL</t>
  </si>
  <si>
    <t>The Omora Ehtonobotanical Park (55 degrees S) is the southernmost site of the LTSER network-Chile and the interdisciplinary research center of the Cape Horn Biosphere Reserve in the sub-Antarctic Magellanic ecoregion. The park protects the Robalo River watershed that provides water to Puerto Williams, the capital of the Chilean Antarctic Province. In 2008, we initiated long-term studies on the diversity, distribution and life histories of aquatic insects associated with the Robalo River and other streams on Navarino Island. These studies are of major interest to the LTSER-Chile network and to world science for three reasons: 1) the unique climatic characteristics of the sub-Antarctic Magellanic ecoregion, which contrast with those of the Northern Hemisphere; 2) responses of freshwater insects and their life cycles are very sensitive to temperature, and along the thermic variations associated with the altitudinal gradient of the Robalo River we can make predictions for various scenarios of Global Climate Change; 3) the life cycles of freshwater insects have been understudied in southwestern South America, and by incorporating similar studies of phenological responses of freshwater insects at other sites LTSER-Chile sites along a latitudinal gradient will allow us to assess early signals of this biota to global climate change.</t>
  </si>
  <si>
    <t>[Contador, Tamara; Kennedy, James; Ojeda, Jaime; Rozzi, Ricardo] Univ Magallanes, Punta Arenas, Chile; [Contador, Tamara; Ojeda, Jaime; Rozzi, Ricardo] Inst Ecol &amp; Biodiversidad, Santiago, Chile; [Contador, Tamara; Kennedy, James; Ojeda, Jaime; Rozzi, Ricardo] Programa Conservac Biocultural Subantartic, Santiago, Chile; [Kennedy, James] Univ N Texas, Dept Biol Sci, Denton, TX 76203 USA; [Rozzi, Ricardo] Univ N Texas, Dept Philosophy &amp; Relig Studies, Denton, TX 76203 USA; [Kennedy, James; Feinsinger, Peter] No Arizona Univ, Dept Biol Sci, Flagstaff, AZ 86011 USA; [Feinsinger, Peter] Wildlife Conservat Soc, Latin Amer &amp; Caribbean Program, Bronx, NY USA</t>
  </si>
  <si>
    <t>Universidad de Magallanes; University of North Texas System; University of North Texas Denton; University of North Texas System; University of North Texas Denton; Northern Arizona University; Wildlife Conservation Society</t>
  </si>
  <si>
    <t>Contador, T (corresponding author), Univ Magallanes, Ave Bulnes 01855, Punta Arenas, Chile.</t>
  </si>
  <si>
    <t>tamara.contador@umag.cl</t>
  </si>
  <si>
    <t>Ojeda, Jaime/HHN-1455-2022; Contador, Tamara/AAC-2161-2021; Rozzi, Ricardo/G-1047-2012</t>
  </si>
  <si>
    <t>Contador, Tamara/0000-0002-0250-9877; Rozzi, Ricardo/0000-0001-5265-8726; ojeda, jaime/0000-0003-3863-9750</t>
  </si>
  <si>
    <t>UNIV AUSTRAL CHILE, FAC CIENCIAS FORESTALES</t>
  </si>
  <si>
    <t>VALDIVIA</t>
  </si>
  <si>
    <t>CASILLA 567, VALDIVIA, 00000, CHILE</t>
  </si>
  <si>
    <t>0717-9200</t>
  </si>
  <si>
    <t>Bosque</t>
  </si>
  <si>
    <t>10.4067/S0717-92002014000300018</t>
  </si>
  <si>
    <t>Ecology; Forestry</t>
  </si>
  <si>
    <t>Environmental Sciences &amp; Ecology; Forestry</t>
  </si>
  <si>
    <t>AW4FY</t>
  </si>
  <si>
    <t>WOS:000346237800018</t>
  </si>
  <si>
    <t>Tomova, I; Stoilova-Disheva, M; Vasileva-Tonkova, E</t>
  </si>
  <si>
    <t>Tomova, Iva; Stoilova-Disheva, Margarita; Vasileva-Tonkova, Evgenia</t>
  </si>
  <si>
    <t>Characterization of heavy metals resistant heterotrophic bacteria from soils in the Windmill Islands region, Wilkes Land, East Antarctica</t>
  </si>
  <si>
    <t>POLISH POLAR RESEARCH</t>
  </si>
  <si>
    <t>Antarctica; soil bacteria; hydrolytic enzymes; antibiotic resistance; metal resistance</t>
  </si>
  <si>
    <t>ANTIBIOTIC-RESISTANCE; PSYCHROTROPHIC BACTERIA; COASTAL ENVIRONMENT; ROSS SEA; DIVERSITY; ENZYMES; MICROORGANISMS; GENES; COMMUNITIES; TEMPERATURE</t>
  </si>
  <si>
    <t>In this study, selected heavy metals resistant heterotrophic bacteria isolated from soil samples at the Windmill Islands region, Wilkes Land (East Antarctica), were characterized. Phylogenetic analysis revealed affiliation of isolates to genera Bacillus, Lysinibacillus, Micrococcus and Stenotrophomonas. The strains were found to be psychrotolerant and halotolerant, able to tolerate up to 10% NaCl in the growth medium. The Minimum Inhibitory Concentration of the seven heavy metals Cr, Cu, Ni, Co, Cd, Zn, and Pb was determined in solid media for each bacterial strain. Gram-positive Vi-2 strain and Gram-negative Vi-4 strain showed highest multiply heavy metals resistance, and Vi-3 and Vi-4 strains showed multi-antibiotic resistance to more than a half of the 13 used antibiotics. Plasmids were detected only in Gram-negative Vi-4 strain. The bacteria were able to produce different hydrolytic enzymes including industrially important proteases, xylanases, cellulases, and beta-glucosidases. High heavy metals resistance of the Antarctic bacteria suggests their potential application for wastewater treatment in cold and temperate climates. Highly sensitive to Cd and Co ions Vi-1, Vi-5 and Vi-7 strains would be promising for developing biosensors to detect these most toxic heavy metals in environmental samples.</t>
  </si>
  <si>
    <t>[Tomova, Iva; Stoilova-Disheva, Margarita; Vasileva-Tonkova, Evgenia] Bulgarian Acad Sci, Inst Microbiol, BU-1113 Sofia, Bulgaria</t>
  </si>
  <si>
    <t>Bulgarian Academy of Sciences; Medical University Sofia</t>
  </si>
  <si>
    <t>Vasileva-Tonkova, E (corresponding author), Bulgarian Acad Sci, Inst Microbiol, Acad Bonchev Str,Bl 26, BU-1113 Sofia, Bulgaria.</t>
  </si>
  <si>
    <t>National Fund for Scientific Research [DNTS/Ukraine 01/1-2012]</t>
  </si>
  <si>
    <t>National Fund for Scientific Research</t>
  </si>
  <si>
    <t>The authors thank the National Fund for Scientific Research for financial support of this work (Contract DNTS/Ukraine 01/1-2012). We would like to thank also the reviewers: Prof. Tony Walker and Prof. Andrzej Tatur for carefully examining our paper.</t>
  </si>
  <si>
    <t>POLSKA AKAD NAUK, POLISH ACAD SCIENCES</t>
  </si>
  <si>
    <t>WARSZAWA</t>
  </si>
  <si>
    <t>PL DEFILAD 1, WARSZAWA, 00-901, POLAND</t>
  </si>
  <si>
    <t>0138-0338</t>
  </si>
  <si>
    <t>2081-8262</t>
  </si>
  <si>
    <t>POL POLAR RES</t>
  </si>
  <si>
    <t>Pol. Polar. Res.</t>
  </si>
  <si>
    <t>10.2478/popore-2014-0028</t>
  </si>
  <si>
    <t>AW6EB</t>
  </si>
  <si>
    <t>WOS:000346361100003</t>
  </si>
  <si>
    <t>Mieczan, T; Tarkowska-Kukuryk, M</t>
  </si>
  <si>
    <t>Mieczan, Tomasz; Tarkowska-Kukuryk, Monika</t>
  </si>
  <si>
    <t>Ecology of moss dwelling ciliates from King George Island, Antarctic: the effect of environmental parameters</t>
  </si>
  <si>
    <t>Antarctic; King George Island; ciliates; biodiversity; bryophytes</t>
  </si>
  <si>
    <t>SILVER CARBONATE METHOD; TESTATE AMEBAS; VERTICAL MICRODISTRIBUTION; SPECIES ASSEMBLAGES; PROTOZOA; SPHAGNUM; COMMUNITIES; CILIOPHORA; GLACIER; WATERS</t>
  </si>
  <si>
    <t>This paper presents a complex study on ciliates from the different species of mosses of King George Island, South Shetland Islands, Antarctic. Samples of ciliates were collected from Polytrichastrum alpinum, Sanionia georgico-uncinata, Sanionia uncinata and Brachythecium austrosalebrosum. The highest species richness (19 taxa) occurred in habitats from Brachythecium austrosalebrosum. The lowest number of taxa (5) was observed in Polytrichastrum alpinum. The greatest abundance of ciliates was found in samples from Brachythecium austrosalebrosum (25-30 ind. g(-1)), while the lowest was found in samples from Polytrichastrum (4-6 ind. g(-1)). In each species of mosses, vertical differentiation of these protozoa assemblages was found. The number of species and abundance significantly increased in the lower samples. The upper samples of mosses were dominated by mixotrophic taxa, whereas samples from the lower part the proportions of bacterivore species increases. The RDA performed to specify the direct relationships between the abundance of ciliate taxa and environmental variables showed obvious differences between habitats studied. However, variables that significantly explained the variance in ciliate communities were: dissolved oxygen, pH, and nutrients.</t>
  </si>
  <si>
    <t>[Mieczan, Tomasz; Tarkowska-Kukuryk, Monika] Uniwersytet Przyrodniczy Lublinie, Katedra Hydrobiol, PL-20262 Lublin, Poland</t>
  </si>
  <si>
    <t>University of Life Sciences in Lublin</t>
  </si>
  <si>
    <t>Mieczan, T (corresponding author), Uniwersytet Przyrodniczy Lublinie, Katedra Hydrobiol, Ul Dobrzanskiego 37, PL-20262 Lublin, Poland.</t>
  </si>
  <si>
    <t>tomasz.mieczan@up.lublin.pl</t>
  </si>
  <si>
    <t>Tarkowska-Kukuryk, Monika/T-7469-2018</t>
  </si>
  <si>
    <t>Tarkowska-Kukuryk, Monika/0000-0001-5328-6944; Mieczan, Tomasz/0000-0003-2839-1798</t>
  </si>
  <si>
    <t>10.2478/popore-2014-0026</t>
  </si>
  <si>
    <t>WOS:000346361100004</t>
  </si>
  <si>
    <t>Gielwanowska, I; Pastorczyk, M; Lisowska, M; Wegrzyn, M; Górecki, RJ</t>
  </si>
  <si>
    <t>Gielwanowska, Irena; Pastorczyk, Marta; Lisowska, Maja; Wegrzyn, Michal; Gorecki, Ryszard J.</t>
  </si>
  <si>
    <t>Cold stress effects on organelle ultrastructure in polar Caryophyllaceae species</t>
  </si>
  <si>
    <t>Arctic; West Antarctic; Cerastium alpinum; Colobanthus quitensis; Silene involucrata; cold stress; organelles</t>
  </si>
  <si>
    <t>DESCHAMPSIA-ANTARCTICA POACEAE; PROGRAMMED CELL-DEATH; HIGH-ALPINE PLANTS; COLOBANTHUS-QUITENSIS; PHOTOSYNTHETIC PERFORMANCE; CHLOROPLAST STRUCTURE; VASCULAR PLANTS; LEAVES; STROMULES; PROTEINS</t>
  </si>
  <si>
    <t>This study investigated leaf mesophyll cells of Caryophyllaceae plants growing in polar regions - Cerastium alpinum and Silene involucrata from the Hornsund region of Spitsbergen island (Svalbard Archipelago, Arctic), and Colobanthus quitensis from the Admiralty Bay region on King George Island (South Shetland Islands, West Antarctic). Ultrastructural changes were analyzed in mesophyll protoplasts of plants growing in natural Arctic and Antarctic habitats and plants grown in a greenhouse, including plants exposed to short-term cold stress under semi-controlled conditions. Cell organelles of plants growing in natural polar habitats and greenhouse-grown plants were characterized by significant morphological plasticity. Chloroplasts of plants studied in this work formed variously shaped protrusions and invaginations that visibly increased the contact area between adjacent cell compartments and reduced the distance between organelles. S. involucrata plants grown under greenhouse conditions, tested by us in this work, were characterized by highly dynamic cell nuclei with single or multiple invaginations of the nuclear membrane and the presence of channels and cisternae filled with cytoplasm and organelles. Crystalline inclusion proteins were observed in the cell nuclei of C. quitensis between nuclear membranes and in the direct proximity of heterochromatin. Our study revealed significant conformational dynamics of organelles, manifested by variations in the optical density of matrices, membranes and envelopes, in particular in C. quitensis, which could suggest that the analyzed Caryophyllaceae taxa are well adapted to severe climate and changing conditions in polar regions.</t>
  </si>
  <si>
    <t>[Gielwanowska, Irena; Pastorczyk, Marta; Gorecki, Ryszard J.] Uniwersytet Warminsko Mazurski Olsztynie, Katedra Fizjol Genetyki &amp; Biotechnol Roslin, Wydzial Biol &amp; Biotechnol, PL-10719 Olsztyn, Poland; [Gielwanowska, Irena] Inst Biochem &amp; Biofizyki PAN, Zaklad Biol Antarktyki, PL-02141 Warsaw, Poland; [Gielwanowska, Irena] Inst Biochem &amp; Biofizyki PAN, Polska Stacja Antarktyczna H Arctowski, PL-02141 Warsaw, Poland; [Lisowska, Maja; Wegrzyn, Michal] Uniwersytet Jagiellonski, Inst Bot, Zaklad Badan &amp; Dokumentacji Polarnej, PL-35506 Krakow, Poland</t>
  </si>
  <si>
    <t>Polish Academy of Sciences; Institute of Biochemistry &amp; Biophysics - Polish Academy of Sciences; Polish Academy of Sciences; Institute of Biochemistry &amp; Biophysics - Polish Academy of Sciences; Jagiellonian University</t>
  </si>
  <si>
    <t>Gielwanowska, I (corresponding author), Uniwersytet Warminsko Mazurski Olsztynie, Katedra Fizjol Genetyki &amp; Biotechnol Roslin, Wydzial Biol &amp; Biotechnol, Ul Oczapowskiego 1A, PL-10719 Olsztyn, Poland.</t>
  </si>
  <si>
    <t>i.gielwanowska@uwm.edu.pl</t>
  </si>
  <si>
    <t>Pastorczyk-Szlenkier, Marta/AAK-2859-2021; Lisowska, Maja/F-9773-2012</t>
  </si>
  <si>
    <t>Pastorczyk-Szlenkier, Marta/0000-0002-9747-8283; Gielwanowska, Irena/0000-0002-9001-1285; Gorecki, Ryszard/0000-0002-6751-3340; Lisowska, Maja/0000-0003-1056-1779; Wegrzyn, Michal/0000-0001-7638-4803</t>
  </si>
  <si>
    <t>10.2478/popore-2014-0029</t>
  </si>
  <si>
    <t>WOS:000346361100005</t>
  </si>
  <si>
    <t>van Putten, I; Metcalf, S; Frusher, S; Marshall, N; Tull, M</t>
  </si>
  <si>
    <t>van Putten, Ingrid; Metcalf, Sarah; Frusher, Stewart; Marshall, Nadine; Tull, Malcolm</t>
  </si>
  <si>
    <t>Fishing for the impacts of climate change in the marine sector: a case study</t>
  </si>
  <si>
    <t>INTERNATIONAL JOURNAL OF CLIMATE CHANGE STRATEGIES AND MANAGEMENT</t>
  </si>
  <si>
    <t>Climate change; Marine tourism; Aquaculture; Fisheries; Ocean warming</t>
  </si>
  <si>
    <t>ADAPTATION; PERCEPTIONS; FISHERIES; OCEAN; RISK; COMMUNICATION; VULNERABILITY; INFORMATION; RESILIENCE; FRAMEWORK</t>
  </si>
  <si>
    <t>Purpose - This paper aims, using a case study-based research approach, to investigate the role of climate and non-climate drivers in shaping three commercial marine sectors: fishing, aquaculture and marine tourism. Essential elements of climate change research include taking a whole of systems approach, which entails a socio-ecological perspective, and considering climate challenges alongside other challenges faced by resource users. Design/methodology/approach - The analysis is based on information gained using in-depth semi-structured interviews in a coastal community in southeast Australia. Even though climate drivers differ, the economic sectors of this community are representative of many similar coastal communities around Australia. Findings - Results show that at a community level, people involved in, or associated with, marine sectors are aware of climate change impacts on the marine environment. Even though many may not see it as a pressing issue, the potential effect of climate change on business profitability was recognised. Both the profitability of commercial fishing and aquaculture (oysters) was affected through mostly a downward pressure on product price, while marine tourism profitability was mainly affected through changes in the number of visitors. Research limitations/implications - A case study approach is inherently case study-specific although generalities from complex system representation, built on local survey respondent observation and knowledge of the combined and linked physical-biological-, social-, economic-and governance drivers. This study shows the importance of a holistic approach; yet, researchers must also consider all community sectors and cross-regional investigations to avoid future resource conflicts. Practical implications - A number of positive impacts from climate-driven change, mainly from windfall economic benefits of geographically relocated species, were reported for commercial-and charter fishing. However, no positive impacts were reported for the aquaculture- and dive sector. In the aquaculture sector, climate drivers were of great significance in industry participation, while participation in commercial fishing was mainly driven by socio-economic factors. Social implications - To ensure the combined marine sectors retain a viable component of coastal communities' economic focus, there is a need to understand what drives participation in the marine sector, and what the role of climate change is in this. To fully understand the ramifications of climate change in the marine environment, it is essential to understand its impacts across all marine sectors. Originality/value - Combining the different domains with climate drivers allows for identification and assessment of targeted adaptation needs and opportunities and sets up a comprehensive approach to determine future adaptation pathways.</t>
  </si>
  <si>
    <t>[van Putten, Ingrid] Natl Res Flagship, CSIRO Marine &amp; Atmospher Res, CSIRO Wealth Oceans, Hobart, Tas, Australia; [Metcalf, Sarah; Tull, Malcolm] Murdoch Univ, Sch Management &amp; Governance, Murdoch, WA 6150, Australia; [Frusher, Stewart] Univ Tasmania, Inst Marine &amp; Antarctic Studies, Hobart, Tas, Australia; [Marshall, Nadine] James Cook Univ, CSIRO Ecosyst Sci, Townsville, Qld 4811, Australia</t>
  </si>
  <si>
    <t>Commonwealth Scientific &amp; Industrial Research Organisation (CSIRO); Murdoch University; University of Tasmania; James Cook University; Commonwealth Scientific &amp; Industrial Research Organisation (CSIRO)</t>
  </si>
  <si>
    <t>van Putten, I (corresponding author), Natl Res Flagship, CSIRO Marine &amp; Atmospher Res, CSIRO Wealth Oceans, Hobart, Tas, Australia.</t>
  </si>
  <si>
    <t>ingrid.vanputten@csiro.au</t>
  </si>
  <si>
    <t>Marshall, Nadine/D-9339-2011; Tull, Malcolm/IWV-4012-2023; van putten, ingrid/AAV-1301-2021</t>
  </si>
  <si>
    <t>Marshall, Nadine/0000-0003-4463-3558; van putten, ingrid/0000-0001-8397-9768</t>
  </si>
  <si>
    <t>EMERALD GROUP PUBLISHING LTD</t>
  </si>
  <si>
    <t>BINGLEY</t>
  </si>
  <si>
    <t>HOWARD HOUSE, WAGON LANE, BINGLEY BD16 1WA, W YORKSHIRE, ENGLAND</t>
  </si>
  <si>
    <t>1756-8692</t>
  </si>
  <si>
    <t>1756-8706</t>
  </si>
  <si>
    <t>INT J CLIM CHANG STR</t>
  </si>
  <si>
    <t>Int. J. Clim. Chang. Strateg. Manag.</t>
  </si>
  <si>
    <t>10.1108/IJCCSM-01-2013-0002</t>
  </si>
  <si>
    <t>Environmental Studies</t>
  </si>
  <si>
    <t>AW2IH</t>
  </si>
  <si>
    <t>WOS:000346110900006</t>
  </si>
  <si>
    <t>Conradi, M</t>
  </si>
  <si>
    <t>Conradi, Mercedes</t>
  </si>
  <si>
    <t>Three artotrogids (Crustacea: Copepoda: Siphonostomatoida) from the Ross Sea, Antarctica</t>
  </si>
  <si>
    <t>Antarctica; Artotrogidae; redescription; Neobradypontius; Sestropontius; Cryptopontius</t>
  </si>
  <si>
    <t>The Artotrogidae, one of the most primitive of siphonostomatoid families, consists currently of 117 species in 21 genera. Most of these species (65%) are poorly or incompletely described since they have been rarely recorded in recent decades and, when encountered, have been found in very low numbers. During the 19th Italian Antarctic Expedition, with the RV Italica, to the Ross Sea in austral summer 2004, some artotrogid copepods were collected. This paper redescribes two species of artotrogid copepods, which are known only from the Southern Ocean, Neobradypontius neglectus and Cryptopontius latus, and describes for the first time a male of the genus Neobradypontius. Furthermore, a new species is described and added to Sestropontius, increasing the number of known species of this genus to three. The main discrepancies between the original descriptions and the specimens of the two species collected from the Ross Sea redescribed here were on the armature of the antennary exopod and leg 5. The new species, Sestropontius italicae, shares with its most similar congener, S. mckinnoni, the armature of the third endopodal segment of leg 1 and leg 2 and that of the third exopodal segment of leg 4. However, the segmentation of the antennae and the armature on the antennary exopod are different.</t>
  </si>
  <si>
    <t>Univ Seville, Fac Biol, Dept Zool, Marine Biol Lab, ES-41012 Seville, Spain</t>
  </si>
  <si>
    <t>Conradi, M (corresponding author), Univ Seville, Fac Biol, Dept Zool, Marine Biol Lab, Reina Mercedes 6, ES-41012 Seville, Spain.</t>
  </si>
  <si>
    <t>mconradi@us.es</t>
  </si>
  <si>
    <t>Conradi Barrena, Mercedes/L-3207-2017</t>
  </si>
  <si>
    <t>Conradi Barrena, Mercedes/0000-0001-9458-303X</t>
  </si>
  <si>
    <t>CO-ACTION PUBLISHING</t>
  </si>
  <si>
    <t>JARFALLA</t>
  </si>
  <si>
    <t>RIPVAGEN 7, JARFALLA, SE-175 64, SWEDEN</t>
  </si>
  <si>
    <t>10.3402/polar.v33.24135</t>
  </si>
  <si>
    <t>AW3MJ</t>
  </si>
  <si>
    <t>WOS:000346190500001</t>
  </si>
  <si>
    <t>Li, CJ; Kang, SC; Shi, GT; Huang, J; Ding, MH; Zhang, QG; Zhang, LL; Guo, JM; Xiao, CD; Hou, SG; Sun, B; Qin, DH; Ren, JW</t>
  </si>
  <si>
    <t>Li, Chuanjin; Kang, Shichang; Shi, Guitao; Huang, Jie; Ding, Minghu; Zhang, Qianggong; Zhang, Lulu; Guo, Junming; Xiao, Cunde; Hou, Shugui; Sun, Bo; Qin, Dahe; Ren, Jiawen</t>
  </si>
  <si>
    <t>Spatial and temporal variations of total mercury in Antarctic snow along the transect from Zhongshan Station to Dome A</t>
  </si>
  <si>
    <t>TELLUS SERIES B-CHEMICAL AND PHYSICAL METEOROLOGY</t>
  </si>
  <si>
    <t>total mercury; spatio-temporal variation; Dome A; eastern Antarctica</t>
  </si>
  <si>
    <t>GASEOUS ELEMENTAL MERCURY; ATMOSPHERIC MERCURY; ICE CORE; METHANESULFONIC-ACID; CENTRAL GREENLAND; TRAVERSE ROUTE; FIRN CORE; DEPOSITION; DEPLETION; NITRATE</t>
  </si>
  <si>
    <t>In this study, the concentrations of total mercury (THg) and ions deposited in the surface snow and snow pits in the eastern Antarctic along the 29th inland route of the Chinese National Antarctic Research Expedition were analysed. The THg concentrations in the surface snow ranged from 0.22 to 8.29 ng/L and elevated concentrations were detected in the inland regions of higher altitudes (3000-4000 m). The spatial distribution of the THg in the snow pits showed greater inland concentrations with mean concentrations of &lt; 0.2-1.33 ng/L. The THg concentrations in the coastal snow pit (29-A) showed higher concentrations in the summer snow layers than in the winter snow layers. The THg records from the two inland snow pits (29-K and 29-L) spanned decades and indicated elevated THg concentrations between the late 1970s and early 1980s and during the mid-1990s. The temporal variations of THg in the Antarctic snow layers were consistent with anthropogenic emissions around the world. In addition, the Pinatubo volcanic eruption was the primary contributor to the 1992 THg peak that was observed in the inland snow pits.</t>
  </si>
  <si>
    <t>[Li, Chuanjin; Kang, Shichang; Xiao, Cunde; Qin, Dahe; Ren, Jiawen] Chinese Acad Sci, Cold &amp; Arid Reg Environm &amp; Engn Res Inst, State Key Lab Cryospher Sci, Lanzhou 730000, Peoples R China; [Kang, Shichang; Huang, Jie; Zhang, Qianggong; Guo, Junming] Chinese Acad Sci, Inst Tibetan Plateau Res, Key Lab Tibetan Environm Changes &amp; Land Surface P, Beijing 100101, Peoples R China; [Shi, Guitao; Sun, Bo] Polar Res Inst China, Shanghai 200136, Peoples R China; [Ding, Minghu; Xiao, Cunde] Chinese Acad Meteorol Sci, Climate Syst Inst, Beijing 100081, Peoples R China; [Zhang, Lulu] Univ Sci &amp; Technol China, Sch Earth &amp; Space Sci, Inst Polar Environm, Hefei 230026, Peoples R China; [Hou, Shugui] Nanjing Univ, Sch Geog &amp; Oceanog Sci, Nanjing 210093, Jiangsu, Peoples R China</t>
  </si>
  <si>
    <t>Chinese Academy of Sciences; Cold &amp; Arid Regions Environmental &amp; Engineering Research Institute, CAS; Chinese Academy of Sciences; Institute of Tibetan Plateau Research, CAS; Polar Research Institute of China; China Meteorological Administration; Chinese Academy of Meteorological Sciences (CAMS); Chinese Academy of Sciences; University of Science &amp; Technology of China, CAS; Nanjing University</t>
  </si>
  <si>
    <t>Kang, SC (corresponding author), Chinese Acad Sci, Cold &amp; Arid Reg Environm &amp; Engn Res Inst, State Key Lab Cryospher Sci, Lanzhou 730000, Peoples R China.</t>
  </si>
  <si>
    <t>shichang.kang@itpcas.ac.cn</t>
  </si>
  <si>
    <t>junming, guo/JZC-7672-2024; Ding, Minghu/AFU-3600-2022; Hou, Shugui/J-3651-2015; sun, bo/JFA-9978-2023; Jiawen, Ren/K-7734-2012; Kang, Shichang/I-6830-2018</t>
  </si>
  <si>
    <t>junming, guo/0000-0002-3133-5597; Ding, Minghu/0000-0002-1142-6598; Kang, Shichang/0000-0003-2115-9005; Hou, Shugui/0000-0002-0905-3542</t>
  </si>
  <si>
    <t>Innovative Research Group; National Natural Science Foundation of China [501100001809, 41121001, 41201069, 41476164]; National Basic Research Program of China (973 Program) [NSFC: 41425003, 2013CBA01804]; State Key Laboratory of Cryospheric Sciences; State Oceanic Administration of People's Republic of China Project on Climate in Polar Regions [CHINARE 2014-04-04, CHINARE 2014-02-02]; Foundation for Excellent Youth Scholars of CAREERI, CAS</t>
  </si>
  <si>
    <t>Innovative Research Group; National Natural Science Foundation of China(National Natural Science Foundation of China (NSFC)); National Basic Research Program of China (973 Program)(National Basic Research Program of China); State Key Laboratory of Cryospheric Sciences; State Oceanic Administration of People's Republic of China Project on Climate in Polar Regions; Foundation for Excellent Youth Scholars of CAREERI, CAS(Chinese Academy of Sciences)</t>
  </si>
  <si>
    <t>The authors thank all of the members who participated in the 2012-2013 Chinese National Antarctic Research Expedition field campaigns for sample collection. In addition, special thanks are given to Ms. Xiaoxiang Wang, Xiaoqing Cui and Yuman Zhu from the Cold and Arid Regions Environmental and Engineering Research Institute for completing portions of the analysis. This work was financially supported by the Innovative Research Group, the National Natural Science Foundation of China (501100001809) (41121001), NSFC: 41425003 the National Basic Research Program of China (973 Program, 2013CBA01804), the State Key Laboratory of Cryospheric Sciences, the National Natural Science Foundation of China (Grant No. 41201069 and 41476164), the State Oceanic Administration of People's Republic of China Project on Climate in Polar Regions (Grant Nos. CHINARE 2014-04-04 and CHINARE 2014-02-02), and the Foundation for Excellent Youth Scholars of CAREERI, CAS.</t>
  </si>
  <si>
    <t>1600-0889</t>
  </si>
  <si>
    <t>TELLUS B</t>
  </si>
  <si>
    <t>Tellus Ser. B-Chem. Phys. Meteorol.</t>
  </si>
  <si>
    <t>10.3402/tellusb.v66.25152</t>
  </si>
  <si>
    <t>AW0GI</t>
  </si>
  <si>
    <t>WOS:000345968800001</t>
  </si>
  <si>
    <t>Ross, RM; Quetin, LB; Newberger, T; Shaw, CT; Jones, JL; Oakes, SA; Moore, KJ</t>
  </si>
  <si>
    <t>Ross, Robin M.; Quetin, Langdon B.; Newberger, Timothy; Shaw, C. Tracy; Jones, Janice L.; Oakes, Stephanie A.; Moore, Kelly J.</t>
  </si>
  <si>
    <t>Trends, cycles, interannual variability for three pelagic species west of the Antarctic Peninsula 1993-2008</t>
  </si>
  <si>
    <t>MARINE ECOLOGY PROGRESS SERIES</t>
  </si>
  <si>
    <t>Time-series for Antarctic zooplankton; Antarctic krill; Antarctic silverfish</t>
  </si>
  <si>
    <t>KRILL EUPHAUSIA-SUPERBA; TUNICATE SALPA-THOMPSONI; NATURAL GROWTH-RATES; EARLY-LIFE STAGES; TERRA-NOVA BAY; SEA-ICE; SOUTHERN-OCEAN; PLEURAGRAMMA-ANTARCTICUM; CLIMATE-CHANGE; ECOLOGICAL RESPONSES</t>
  </si>
  <si>
    <t>The Palmer Long Term Ecological Research study region west of the Antarctic Peninsula is experiencing warming and changing seasonal sea ice dynamics. Abundance patterns of 3 species of pelagic secondary producers were analyzed for trends, cycles, range extensions or shifts in the location of highest density, and for changes in population dynamics over a 16 yr period (1993-2008). Species analyzed represented different hydrographic regimes and are known to have contrasting responses to seasonal sea ice dynamics: krill Euphausia superba, seasonal sea ice zone; tunicates Salpa thompsoni, warmer waters with minimal sea ice; and larval Antarctic silverfish Pleuragramma antarcticum, cold continental shelf waters. Cycles were observed in grid-wide abundance and recruitment for E. superba. Maximum grid-wide densities did not decrease, but the location of highest densities shifted southward 200 km, away from Adelie penguin rookeries at the northern end. A distinct change post-1999 was apparent in the frequency of occurrence and abundance of S. thompsoni. Mixtures of krill and salps became common, but neither peak densities nor the frequency of peak years for salps increased. As with Antarctic krill, highest salp densities shifted southward alongshore. Larval P. antarcticum were abundant in the northern coastal region in the early 1990s, but virtually disappeared in that region after 1999/2000. Possible mechanisms underlying these observations include the southerly movement of the sea ice edge during spring, changes in proximity of source populations (salps), and changes in transport pathways (larval P. antarcticum). Patterns are compared to those in the SW Atlantic.</t>
  </si>
  <si>
    <t>[Ross, Robin M.; Quetin, Langdon B.; Jones, Janice L.] Univ Calif Santa Barbara, Inst Marine Sci, Santa Barbara, CA 93106 USA; [Newberger, Timothy] NOAA, GMD 1, Boulder, CO 80305 USA; [Shaw, C. Tracy] Hatfield Marine Sci Ctr, Newport, OR 97365 USA; [Oakes, Stephanie A.] NOAA NMFS, Marine Ecosyst Div, Off Sci &amp; Technol, Silver Spring, MD 20910 USA; [Moore, Kelly J.] Channel Isl Natl Pk, Ventura, CA 93001 USA</t>
  </si>
  <si>
    <t>University of California System; University of California Santa Barbara; National Oceanic Atmospheric Admin (NOAA) - USA; National Oceanic Atmospheric Admin (NOAA) - USA</t>
  </si>
  <si>
    <t>Ross, RM (corresponding author), Univ Calif Santa Barbara, Inst Marine Sci, Santa Barbara, CA 93106 USA.</t>
  </si>
  <si>
    <t>ross@msi.ucsb.edu</t>
  </si>
  <si>
    <t>Newberger, Timothy/AAR-7103-2020</t>
  </si>
  <si>
    <t>National Science Foundation, Office of Polar Programs [OPP-9011927, OPP-9632763, OPP-0217282, ANT-1010688]; Regents of the University of California; University of California at Santa Barbara; Marine Science Institute, UCSB; Directorate For Geosciences [1010688] Funding Source: National Science Foundation; Office of Polar Programs (OPP) [1010688] Funding Source: National Science Foundation</t>
  </si>
  <si>
    <t>National Science Foundation, Office of Polar Programs(National Science Foundation (NSF)); Regents of the University of California(University of California System); University of California at Santa Barbara; Marine Science Institute, UCSB; Directorate For Geosciences(National Science Foundation (NSF)NSF - Directorate for Geosciences (GEO)); Office of Polar Programs (OPP)(National Science Foundation (NSF)NSF - Directorate for Geosciences (GEO))</t>
  </si>
  <si>
    <t>Constructive comments and questions from anonymous reviewers greatly improved the manuscript. We gratefully acknowledge all the graduate students and volunteers who were critical to data collection. Without the ship-handling skills of the captains, mates, and crews of the MV 'Polar Duke' and ARSV 'Laurence M. Gould', and help of Antarctic Support Associates and Raytheon Polar Services personnel, the samples would never have made it to the deck. Discussions with P. Kremer on salp population dynamics early in the PAL LTER and during manuscript preparation were invaluable. M. White of the British Antarctic Survey and REU student C. Hoffman were critical in the development of the fish larval identification decision tree. This material is based upon work supported by the National Science Foundation, Office of Polar Programs, under Award Nos. OPP-9011927, OPP-9632763, OPP-0217282, and ANT-1010688, The Regents of the University of California, the University of California at Santa Barbara, and the Marine Science Institute, UCSB. This is Palmer LTER contribution No. 490.</t>
  </si>
  <si>
    <t>0171-8630</t>
  </si>
  <si>
    <t>1616-1599</t>
  </si>
  <si>
    <t>MAR ECOL PROG SER</t>
  </si>
  <si>
    <t>Mar. Ecol.-Prog. Ser.</t>
  </si>
  <si>
    <t>10.3354/meps10965</t>
  </si>
  <si>
    <t>Ecology; Marine &amp; Freshwater Biology; Oceanography</t>
  </si>
  <si>
    <t>Environmental Sciences &amp; Ecology; Marine &amp; Freshwater Biology; Oceanography</t>
  </si>
  <si>
    <t>AU6HD</t>
  </si>
  <si>
    <t>WOS:000345703500002</t>
  </si>
  <si>
    <t>Fitzgibbon, QP; Ruff, N; Tracey, SR; Battaglene, SC</t>
  </si>
  <si>
    <t>Fitzgibbon, Quinn P.; Ruff, Nicole; Tracey, Sean R.; Battaglene, Stephen C.</t>
  </si>
  <si>
    <t>Thermal tolerance of the nektonic puerulus stage of spiny lobsters and implications of ocean warming</t>
  </si>
  <si>
    <t>Ecophysiology; Larvae; Metabolism; Recruitment; Climate change; Sagmariasus verreauxi; Temperature</t>
  </si>
  <si>
    <t>POSTEXERCISE OXYGEN-CONSUMPTION; CLIMATE-CHANGE; ROCK LOBSTER; JASUS-EDWARDSII; PANULIRUS-CYGNUS; CONTINENTAL-SHELF; TEMPERATURE; LIMITATION; LARVAE; RECRUITMENT</t>
  </si>
  <si>
    <t>Recent recruitment declines in important spiny lobster fisheries worldwide have triggered conjecture about negative impacts of anthropogenically induced environmental change on their long-lived planktonic larval life stages. Puerulus larvae are the critical transitional stage between pelagic larval development and coastal juvenile recruitment and may be particularly sensitive to environmental change due to immature cardiorespiratory capacity and exceptional energy demands associated with shoreward migration. We measured Sagmariasus verreauxi pueruli energy metabolism and defined their thermal tolerance, which are considered against published coastal recruitment data and spatially explicit ocean warming scenarios. The upper threshold of the thermal optimum window (upper pejus temperature range) was defined by the temperature optimum for aerobic scope. Within the upper pejus temperature range, pueruli had diminished aerobic capacity for physiological performance and used more of their finite lipid reserves to support an amplified metabolism. Sea surface temperatures at the northern extent of their natural range already reach the upper pejus range, and monitoring settlement data from the wild indicted that fewer puerulus successfully recruit during hot seasons in this area. Our study provides some evidence that physiological thermal tolerance constraints are already limiting post-larval recruitment. Predicted increases in water temperatures for their rapidly warming habitat will amplify the thermal challenge experienced by pueruli and may result in large shifts in lobster distribution and significant re-shuffling of species assemblages, creating challenges for sustainable natural resource management.</t>
  </si>
  <si>
    <t>[Fitzgibbon, Quinn P.; Ruff, Nicole; Tracey, Sean R.; Battaglene, Stephen C.] Univ Tasmania, Inst Marine &amp; Antarctic Studies, Hobart, Tas 7001, Australia</t>
  </si>
  <si>
    <t>Fitzgibbon, QP (corresponding author), Univ Tasmania, Inst Marine &amp; Antarctic Studies, Private Bag 49, Hobart, Tas 7001, Australia.</t>
  </si>
  <si>
    <t>quinn.fitzgibbon@utas.edu.au</t>
  </si>
  <si>
    <t>Battaglene, Stephen C/H-9683-2014; Tracey, Sean/J-7446-2014</t>
  </si>
  <si>
    <t>Tracey, Sean/0000-0002-6735-5899; Fitzgibbon, Quinn/0000-0002-1104-3052</t>
  </si>
  <si>
    <t>Australian Research Council Linkage Project funding scheme [LP0775480]; Australian Research Council Industrial Transformation Research Hub scheme [IH-12100032]; Fisheries Research and Development Corporation [2006/235]; Australian Research Council [LP0775480] Funding Source: Australian Research Council</t>
  </si>
  <si>
    <t>Australian Research Council Linkage Project funding scheme(Australian Research Council); Australian Research Council Industrial Transformation Research Hub scheme(Australian Research Council); Fisheries Research and Development Corporation; Australian Research Council(Australian Research Council)</t>
  </si>
  <si>
    <t>We thank the IMAS aquaculture technicians Anna Overweter, Craig Thomas, Karl van Drunen, Alan Beech, Ross Goldsmid and Bill Wilkinson for systems support and assistance in the culture of animals. We thank G. Pecl for reviewing this manuscript and Alistair Hobday for assistance with climate models. We greatly appreciate the constructive and insightful comments of the anonymous reviewers. Rock lobster propagation and physiology re search at IMAS is supported by the Australian Research Council Linkage Project funding scheme (project number LP0775480), Australian Research Council Industrial Transformation Research Hub scheme (project number IH-12100032) and the Fisheries Research and Development Corporation (project number 2006/235).</t>
  </si>
  <si>
    <t>10.3354/meps10979</t>
  </si>
  <si>
    <t>WOS:000345703500014</t>
  </si>
  <si>
    <t>Carter, CG; Westbury, H; Crear, B; Simon, C; Thomas, C</t>
  </si>
  <si>
    <t>Carter, Chris G.; Westbury, Heath; Crear, Bradley; Simon, Cedric; Thomas, Craig</t>
  </si>
  <si>
    <t>Agonistic behaviour in juvenile southern rock lobster, Jasus edwardsii (Decapoda, Palinuridae): implications for developing aquaculture</t>
  </si>
  <si>
    <t>ZOOKEYS</t>
  </si>
  <si>
    <t>Spiny lobster; aquaculture; con-specific; behaviour; inter-individual interaction; growth depensation</t>
  </si>
  <si>
    <t>FLOUNDER RHOMBOSOLEA-TAPIRINA; PANULIRUS-CYGNUS GEORGE; SPINY LOBSTER; ONCORHYNCHUS-MYKISS; FOOD-CONSUMPTION; STOCKING DENSITY; RAINBOW-TROUT; GROWTH; SURVIVAL; CAPTIVITY</t>
  </si>
  <si>
    <t>The Southern rock lobster, Jasus edwardsii, is a temperate species of spiny lobster with established well managed fisheries in Australia and New Zealand. It has also been under consideration as a species with aquaculture potential. Agonistic behaviour has important consequences under aquaculture conditions that encompass direct effects, such as damage or death of protagonists, and indirect effects on growth that relate to resource access, principally food and refuge. This study aimed to identify and characterize behaviours and to make a preliminary investigation of their occurrence under tank culture. Juvenile Jasus edwardsii were examined in a flow-through seawater system using a remote video camera system. Twenty-nine behaviours were divided into three sub-groups: aggressive (11), avoidance (6) and others (12). Aggressive behaviours included attacks, pushing, lifting, clasping and carrying an opponent. Avoidance behaviours included moving away in a backwards-, forwards- or side-stepping motion as well as with more vigorous tail flips. These behaviours were components of twelve behavioural groups that described contact, attack and displacement between individuals. Activity was crepuscular with two clear peaks, one in the morning and the other in the evening. The occurrence of behavioural groups was not different between the morning and evening. The frequency of aggressive behaviours was not affected by changes made to stocking density or access to food. The implications of agonistic behaviours are discussed further in relation to developing aquaculture.</t>
  </si>
  <si>
    <t>[Carter, Chris G.; Westbury, Heath; Crear, Bradley; Simon, Cedric; Thomas, Craig] Univ Tasmania, Inst Marine &amp; Antarctic Studies, Hobart, Tas 7001, Australia</t>
  </si>
  <si>
    <t>Carter, CG (corresponding author), Univ Tasmania, Inst Marine &amp; Antarctic Studies, Hobart, Tas 7001, Australia.</t>
  </si>
  <si>
    <t>chris.carter@utas.edu.au</t>
  </si>
  <si>
    <t>Simon, Cedric/AAX-5264-2020; Simon, Cedric/AET-0945-2022; Simon, Cedric/H-9692-2014; Carter, Chris Guy/A-3438-2008</t>
  </si>
  <si>
    <t>Simon, Cedric/0000-0002-7535-3332; Simon, Cedric/0000-0002-7535-3332; Simon, Cedric/0000-0002-7535-3332; Carter, Chris Guy/0000-0001-5210-1282</t>
  </si>
  <si>
    <t>PENSOFT PUBL</t>
  </si>
  <si>
    <t>GEO MILEV STR 13A, SOFIA, 1111, BULGARIA</t>
  </si>
  <si>
    <t>1313-2989</t>
  </si>
  <si>
    <t>1313-2970</t>
  </si>
  <si>
    <t>ZooKeys</t>
  </si>
  <si>
    <t>10.3897/zookeys.457.6760</t>
  </si>
  <si>
    <t>AU5BD</t>
  </si>
  <si>
    <t>gold, Green Submitted, Green Published, Green Accepted</t>
  </si>
  <si>
    <t>WOS:000345621200019</t>
  </si>
  <si>
    <t>Zirizzotti, A; Cafarella, L; Urbini, S; Baskaradas, JA</t>
  </si>
  <si>
    <t>Zirizzotti, A.; Cafarella, L.; Urbini, S.; Baskaradas, J. A.</t>
  </si>
  <si>
    <t>Electromagnetic ice absorption rate at Dome C, Antarctica</t>
  </si>
  <si>
    <t>Antarctic glaciology; ice physics; radio-echo sounding; subglacial lakes</t>
  </si>
  <si>
    <t>SUBGLACIAL LAKES; ATTENUATION; VOSTOK</t>
  </si>
  <si>
    <t>Radio-echo sounding (RES) is a radar technique widely employed in Antarctica and Greenland to define bedrock topography but, over the last decade, it has also played an important role in subglacial lake exploration and hydrogeological studies at the bedrock/ice interface. In recent studies, bedrock characterization has been improved through analysis of radar power echoes to evaluate the electromagnetic (EM) properties of the interface and allow the distinction between wet and dry interfaces. The RES received signal power depends on ice absorption and bedrock reflectivity, which is closely linked to the specific physical condition of the bedrock. In this paper, an evaluation of EM ice absorption was conducted starting from RES measurements collected over subglacial lakes in Antarctica. The idea was to calculate ice absorption starting from the radar equation in the case of subglacial lakes, where the EM reflectivity value is considered a known constant. These values were compared with those obtained from analysis of ice-core dielectric profiles from EPICA ice-core drilling data. Our analysis reveals that the ice absorption rate calculated from RES measurements has an average value of 7.2 dB km(-1), and it appears constant, independent of the subglacial lake depth in different zones of the Dome C area.</t>
  </si>
  <si>
    <t>[Zirizzotti, A.; Cafarella, L.; Urbini, S.; Baskaradas, J. A.] Ist Nazl Geofis &amp; Vulcanol, Rome, Italy</t>
  </si>
  <si>
    <t>Istituto Nazionale Geofisica e Vulcanologia (INGV)</t>
  </si>
  <si>
    <t>Zirizzotti, A (corresponding author), Ist Nazl Geofis &amp; Vulcanol, Rome, Italy.</t>
  </si>
  <si>
    <t>achille.zirizzotti@ingv.it</t>
  </si>
  <si>
    <t>Zirizzotti, Achille/HKE-0592-2023; Cafarella, Lili/HTO-5890-2023; Baskaradas, James A/C-2616-2012; cafarella, lili/G-4160-2011</t>
  </si>
  <si>
    <t>Zirizzotti, Achille/0000-0001-7586-9219; urbini, stefano/0000-0002-8053-4197; BASKARADAS, James Arokiasamy/0000-0001-8596-1377; cafarella, lili/0000-0003-2005-8923</t>
  </si>
  <si>
    <t>10.3189/2014JoG13J208</t>
  </si>
  <si>
    <t>AU3WB</t>
  </si>
  <si>
    <t>WOS:000345540400003</t>
  </si>
  <si>
    <t>Golledge, NR; Marsh, OJ; Rack, W; Braaten, D; Jones, RS</t>
  </si>
  <si>
    <t>Golledge, Nicholas R.; Marsh, Oliver J.; Rack, Wolfgang; Braaten, David; Jones, R. Selwyn</t>
  </si>
  <si>
    <t>Basal conditions of two Transantarctic Mountains outlet glaciers from observation-constrained diagnostic modelling</t>
  </si>
  <si>
    <t>Antarctic glaciology; glacier flow; glacier modelling; ice dynamics; ice-sheet modelling</t>
  </si>
  <si>
    <t>PINE ISLAND GLACIER; ANTARCTIC ICE-SHEET; WEST ANTARCTICA; BEARDMORE GLACIER; GROUNDING LINES; SURFACE SLOPE; GPS DATA; FLOW; THICKNESS; STABILITY</t>
  </si>
  <si>
    <t>We present a diagnostic glacier flowline model parameterized and constrained by new velocity data from ice-surface GPS installations and speckle tracking of TerraSAR-X satellite images, newly acquired airborne-radar data, and continental gridded datasets of topography and geothermal heat flux, in order to better understand two outlet glaciers of the East Antarctic ice sheet. Our observational data are employed as primary inputs to a modelling procedure that first calculates the basal thermal regime of each glacier, then iterates the basal sliding coefficient and deformation rate parameter until the fit of simulated to observed surface velocities is optimized. We find that the two glaciers have both frozen and thawed areas at their beds, facilitating partial sliding. Glacier flow arises from a balance between sliding and deformation that fluctuates along the length of each glacier, with the amount of sliding typically varying by up to two orders of magnitude but with deformation rates far more constant. Beardmore Glacier is warmer and faster-flowing than Skelton Glacier, but an up-glacier deepening bed at the grounding line, coupled with ice thicknesses close to flotation, lead us to infer a greater vulnerability of Skelton Glacier to grounding-line recession if affected by ocean-forced thinning and concomitant acceleration.</t>
  </si>
  <si>
    <t>[Golledge, Nicholas R.; Jones, R. Selwyn] Victoria Univ Wellington, Antarctic Res Ctr, Wellington, New Zealand; [Golledge, Nicholas R.] GNS Sci, Lower Hutt, New Zealand; [Marsh, Oliver J.; Rack, Wolfgang] Univ Canterbury, Gateway Antarctica, Christchurch 1, New Zealand; [Braaten, David] Univ Kansas, Dept Geog, Lawrence, KS 66045 USA; [Braaten, David] Univ Kansas, Ctr Remote Sensing Ice Sheets CReSIS, Lawrence, KS 66045 USA</t>
  </si>
  <si>
    <t>Victoria University Wellington; GNS Science - New Zealand; University of Canterbury; University of Kansas; University of Kansas</t>
  </si>
  <si>
    <t>Golledge, NR (corresponding author), Victoria Univ Wellington, Antarctic Res Ctr, Wellington, New Zealand.</t>
  </si>
  <si>
    <t>nick.golledge@vuw.ac.nz</t>
  </si>
  <si>
    <t>Marsh, Oliver J/K-7436-2014; Jones, Richard Selwyn/AAJ-3949-2021; Rack, Wolfgang/U-8898-2017</t>
  </si>
  <si>
    <t>Jones, Richard Selwyn/0000-0003-2988-0999; Golledge, Nicholas/0000-0001-7676-8970; Rack, Wolfgang/0000-0003-2447-377X; Marsh, Oliver/0000-0001-7874-514X</t>
  </si>
  <si>
    <t>United States Antarctic Program; Antarctica New Zealand; German Aerospace Center (DLR) [HYD1421]; Ministry of Business, Innovation and Employment [CO5X1001]; GLIMS project</t>
  </si>
  <si>
    <t>United States Antarctic Program; Antarctica New Zealand; German Aerospace Center (DLR)(Helmholtz AssociationGerman Aerospace Centre (DLR)); Ministry of Business, Innovation and Employment(New Zealand Ministry of Business, Innovation and Employment (MBIE)); GLIMS project</t>
  </si>
  <si>
    <t>Fieldwork on Beardmore Glacier was supported by the United States Antarctic Program and Antarctica New Zealand, with assistance from Dean Arthur. Skelton Glacier fieldwork was supported by Antarctica New Zealand, with assistance from Rob McPhail, Stu Arnold and Hayden Short. Skelton Glacier radar data were collected and processed as a part of a test flight by CReSIS, TerraSAR-X data were received from the German Aerospace Center (DLR) through project HYD1421, and ASTER data were provided through the GLIMS project. Frank Pattyn kindly provided modelled basal temperature data. Brian Anderson and the anonymous reviewers are gratefully acknowledged for useful comments. This research was funded in part by the Ministry of Business, Innovation and Employment through research contract CO5X1001 to GNS Science.</t>
  </si>
  <si>
    <t>10.3189/2014JoG13J131</t>
  </si>
  <si>
    <t>Green Accepted, Green Submitted, Bronze, Green Published</t>
  </si>
  <si>
    <t>WOS:000345540400004</t>
  </si>
  <si>
    <t>Pettit, EC; Whorton, EN; Waddington, ED; Sletten, RS</t>
  </si>
  <si>
    <t>Pettit, Erin C.; Whorton, Erin N.; Waddington, Edwin D.; Sletten, Ronald S.</t>
  </si>
  <si>
    <t>Influence of debris-rich basal ice on flow of a polar glacier</t>
  </si>
  <si>
    <t>basal ice; glacier flow; ice dynamics; ice rheology; subglacial sediments</t>
  </si>
  <si>
    <t>MCMURDO DRY VALLEYS; TAYLOR GLACIER; SLIDING FRICTIONLESS; SURFACE MEASUREMENTS; VICTORIA LAND; COLD GLACIER; FORCE BUDGET; CRYSTAL SIZE; BORE-HOLE; STREAM-E</t>
  </si>
  <si>
    <t>At Taylor Glacier, a cold-based outlet glacier of the East Antarctic ice sheet, observed surface speeds in the terminus region are 20 times greater than those predicted using Glen's flow law for cold (-17 degrees C), thin (100 m) ice. Rheological properties of the clean meteoric glacier ice and the underlying deformable debris-rich basal ice can be inferred from surface-velocity and ablation-rate profiles using inverse theory. Here, with limited data, we use a two-layer flowband model to examine two end-member assumptions about the basal-ice properties: (1) uniform softness with spatially variable thickness and (2) uniform thickness with spatially variable softness. We find that the basal ice contributes 85-98% to the observed surface velocity in the terminus region. We also find that the basal-ice layer must be 10-15 m thick and 20-40 times softer than clean Holocene-age glacier ice in order to match the observations. Because significant deformation occurs in the basal ice, our inverse problem is not sensitive to variations in the softness of the meteoric ice. Our results suggest that despite low temperatures, highly deformable basal ice may dominate flow of cold-based glaciers and rheologically distinct layers should be incorporated in models of polar-glacier flow.</t>
  </si>
  <si>
    <t>[Pettit, Erin C.] Univ Alaska Fairbanks, Dept Geosci, Fairbanks, AK 99775 USA; [Whorton, Erin N.; Waddington, Edwin D.; Sletten, Ronald S.] Univ Washington, Dept Earth &amp; Space Sci, Seattle, WA 98195 USA; [Whorton, Erin N.] Alaska Div Geol &amp; Geophys Surveys, Fairbanks, AK USA</t>
  </si>
  <si>
    <t>University of Alaska System; University of Alaska Fairbanks; University of Washington; University of Washington Seattle</t>
  </si>
  <si>
    <t>Pettit, EC (corresponding author), Univ Alaska Fairbanks, Dept Geosci, Fairbanks, AK 99775 USA.</t>
  </si>
  <si>
    <t>pettit@gi.alaska.edu</t>
  </si>
  <si>
    <t>Pettit, Erin Christine/0000-0002-6765-9841</t>
  </si>
  <si>
    <t>US National Science Foundation [OPP-0230338, OPP-0233823]; NSF [GK-12]</t>
  </si>
  <si>
    <t>US National Science Foundation(National Science Foundation (NSF)); NSF(National Science Foundation (NSF))</t>
  </si>
  <si>
    <t>We thank Andrew Fountain, Josh Carmichael, Peter Sniffen, Matt Hoffman, Thomas Nylen, Hassan Basagic, Michelle Koutnik, Lou Albershardt, Matt Szundy and Erik Barnes for discussions and field assistance. We thank the University Navstar Consortium (UNAVCO) for GPS equipment and field support. We appreciate John Glen's efforts as scientific editor and thorough reviews were greatly appreciated. This work was supported by grants OPP-0230338 and OPP-0233823 from the US National Science Foundation and an NSF GK-12 fellowship to Erin Whorton.</t>
  </si>
  <si>
    <t>10.3189/2014JoG13J161</t>
  </si>
  <si>
    <t>WOS:000345540400014</t>
  </si>
  <si>
    <t>Obara, S; Kanai, T; Ishizawa, K; Morel, J</t>
  </si>
  <si>
    <t>Obara, Shin'ya; Kanai, Takuya; Ishizawa, Kenji; Morel, Jorge</t>
  </si>
  <si>
    <t>Investigation of fuel reduction effect of the Antarctic Syowa Base microgrid by introduction of local-supply-and-local-consumption energy</t>
  </si>
  <si>
    <t>JOURNAL OF THERMAL SCIENCE AND TECHNOLOGY</t>
  </si>
  <si>
    <t>South Pole; Microgrid; Syowa base; Heat pump; Electric storage heater</t>
  </si>
  <si>
    <t>STORAGE</t>
  </si>
  <si>
    <t>A small-scale energy network present at the Antarctic Syowa Base (Syowa Base microgrid, SBMG) has issues related to the amount of fuel transported from Japan and the environmental impact from emissions. Therefore, the Syowa Base is considering the introduction of photovoltaics (PV) and wind power generations to drastically increase the local supply and consumption of energy. After the introduction of a type of heat supply system, heat pump system, using engine exhaust heat and an electric storage heater hybrid system into SBMG, the reduced introductory rate of renewable energy and fuel consumption at the Syowa Base was investigated. Results confirmed a reduction in fuel consumption of the base by heat storage using renewable energy, following the introduction of a heat pump and electric storage heater hybrid system. However, for the electric storage heater to function year round, extensive wind power generation was required. The heat pump and electric storage heater hybrid system reduced fuel consumption of the Syowa Base by 15 % in January. On the other hand, hybrid systems reduced fuel consumption to about half of the present system. Fuel reduction was not observed in July and October because these months had a much greater heat demand Reduction in fuel consumption of the whole base required an increase in the amount of wind power generation, which was influenced very little by the seasonal changes, and an optimization of the electric storage heater operation.</t>
  </si>
  <si>
    <t>[Obara, Shin'ya; Kanai, Takuya; Morel, Jorge] Kitami Inst Technol, Dept Elect &amp; Elect Engn, Kitami, Hokkaido 0908507, Japan; [Ishizawa, Kenji] Natl Inst Polar Res Japan, Tachikawa, Tokyo 1908518, Japan</t>
  </si>
  <si>
    <t>Kitami Institute of Technology; Research Organization of Information &amp; Systems (ROIS); National Institute of Polar Research (NIPR) - Japan</t>
  </si>
  <si>
    <t>Obara, S (corresponding author), Kitami Inst Technol, Dept Elect &amp; Elect Engn, 165 Koen Cho, Kitami, Hokkaido 0908507, Japan.</t>
  </si>
  <si>
    <t>obara@mail.kitami-it.ac.jp</t>
  </si>
  <si>
    <t>/P-2554-2019</t>
  </si>
  <si>
    <t>/0000-0003-0481-8478</t>
  </si>
  <si>
    <t>JAPAN SOC MECHANICAL ENGINEERS</t>
  </si>
  <si>
    <t>SHINANOMACHI-RENGAKAN BLDG., SHINANOMACHI 35, SHINJUKU-KU, TOKYO, 160-0016, JAPAN</t>
  </si>
  <si>
    <t>1880-5566</t>
  </si>
  <si>
    <t>J THERM SCI TECH-JPN</t>
  </si>
  <si>
    <t>J Therm. Sci. Technol.</t>
  </si>
  <si>
    <t>14-00347</t>
  </si>
  <si>
    <t>10.1299/jtst.2014jtst0013</t>
  </si>
  <si>
    <t>Thermodynamics</t>
  </si>
  <si>
    <t>AU6AG</t>
  </si>
  <si>
    <t>WOS:000345683900006</t>
  </si>
  <si>
    <t>Worster, MG</t>
  </si>
  <si>
    <t>Bai, Y; Wang, J; Fang, D</t>
  </si>
  <si>
    <t>Worster, M. Grae</t>
  </si>
  <si>
    <t>Dynamics of marine ice sheets</t>
  </si>
  <si>
    <t>MECHANICS FOR THE WORLD: PROCEEDINGS OF THE 23RD INTERNATIONAL CONGRESS OF THEORETICAL AND APPLIED MECHANICS, ICTAM2012</t>
  </si>
  <si>
    <t>Procedia IUTAM</t>
  </si>
  <si>
    <t>23rd International Congress of Theoretical and Applied Mechanics (ICTAM)</t>
  </si>
  <si>
    <t>AUG 19-24, 2012</t>
  </si>
  <si>
    <t>Chinese Soc Theoret &amp; Appl Mechan, Beijing, PEOPLES R CHINA</t>
  </si>
  <si>
    <t>Chinese Soc Theoret &amp; Appl Mechan</t>
  </si>
  <si>
    <t>ice sheets; thin-film flows; extensional flows</t>
  </si>
  <si>
    <t>Marine ice sheets, which are those that terminate in the ocean forming a floating ice shelf, dominate the ice sheets of West Antarctica, where much of the bedrock is below sea level. The weight of the thick ice sheets keep them in contact with the bedrock until they are thin enough to float on the ocean as ice shelves. This paper reports mathematical models and associated laboratory studies of analogue systems using either Newtonian or shear-thinning viscous fluids to represent flowing ice. It is shown that the rheology has little influence on the qualitative behaviour of grounded flows but floating, shear-thinning shelves are found experimentally to be subject to a fingering instability reminiscent of features seen in Antarctic ice shelves. (C) 2013 Published by Elsevier Ltd.</t>
  </si>
  <si>
    <t>Univ Cambridge, Inst Theoret Geophys, Dept Appl Math &amp; Theoret Phys, Cambridge CB3 0WA, England</t>
  </si>
  <si>
    <t>Worster, MG (corresponding author), Univ Cambridge, Inst Theoret Geophys, Dept Appl Math &amp; Theoret Phys, CMS Wilberforce Rd, Cambridge CB3 0WA, England.</t>
  </si>
  <si>
    <t>grae@damtp.cam.ac.uk</t>
  </si>
  <si>
    <t>Worster, Michael Grae/0000-0002-9248-2144</t>
  </si>
  <si>
    <t>2210-9838</t>
  </si>
  <si>
    <t>PROC IUTAM</t>
  </si>
  <si>
    <t>10.1016/j.piutam.2014.01.022</t>
  </si>
  <si>
    <t>Engineering, Mechanical; Mechanics</t>
  </si>
  <si>
    <t>Engineering; Mechanics</t>
  </si>
  <si>
    <t>BB7FE</t>
  </si>
  <si>
    <t>WOS:000345443700011</t>
  </si>
  <si>
    <t>Carpenter, RJ; Wilf, P; Conran, JG; Cúneo, NR</t>
  </si>
  <si>
    <t>Carpenter, Raymond J.; Wilf, Peter; Conran, John G.; Ruben Cuneo, N.</t>
  </si>
  <si>
    <t>A Paleogene trans-Antarctic distribution for Ripogonum (Ripogonaceae: Liliales)?</t>
  </si>
  <si>
    <t>PALAEONTOLOGIA ELECTRONICA</t>
  </si>
  <si>
    <t>Argentina; Australasia; Eocene; Liliales; new species; Ripogonum</t>
  </si>
  <si>
    <t>LAGUNA DEL HUNCO; PLANT DIVERSITY; SOUTH-AMERICA; NEW-ZEALAND; EOCENE; PATAGONIA; PHYLOGENY; MIOCENE; RBCL; MACROFOSSILS</t>
  </si>
  <si>
    <t>An impressive and growing list of biogeographically interesting plant and animal taxa occur in Paleogene sediments of both southern Australia and southern South America, indicating trans-Antarctic distributions during the warm past. Here, we provide the first evidence that the living, woody, Australasian monocot Ripogonum was present during the early Eocene of Patagonia, Argentina. Two fossil leaves are sufficiently well preserved in overall shape, size, and fine venation details to be assigned to the genus, being closely comparable to leaves of the extant species R. album and R. scandens and the recently described early Eocene species R. tasmanicum from Tasmania, Australia. The new species, R. americanum, is described. Overall, this evidence suggests that Ripogonum had a significantly larger past range, including Antarctica, during the early Paleogene, when Antarctica was much more closely connected to both Tasmania and South America and high latitude climates were warm and wet. Ecologically, the South American Ripogonum was probably a scrambling vine in mesic forest and grew in association with a rich understory flora of ferns and angiosperms.</t>
  </si>
  <si>
    <t>[Carpenter, Raymond J.] Univ Adelaide, Sch Earth &amp; Environm Sci, Adelaide, SA 5005, Australia; [Carpenter, Raymond J.] Univ Tasmania, Hobart, Tas 7001, Australia; [Wilf, Peter] Penn State Univ, Dept Geosci, University Pk, PA 16802 USA; [Conran, John G.] Univ Adelaide, Australian Ctr Evolutionary Biol &amp; Biodivers, Sch Earth &amp; Environm Sci, Adelaide, SA 5005, Australia; [Ruben Cuneo, N.] Consejo Nacl Invest Cient &amp; Tecn, Museo Paleontol Egidio Feruglio, RA-9100 Trelew, Chubut, Argentina</t>
  </si>
  <si>
    <t>University of Adelaide; University of Tasmania; Pennsylvania Commonwealth System of Higher Education (PCSHE); Pennsylvania State University; Pennsylvania State University - University Park; University of Adelaide; Consejo Nacional de Investigaciones Cientificas y Tecnicas (CONICET)</t>
  </si>
  <si>
    <t>Carpenter, RJ (corresponding author), Univ Adelaide, Sch Earth &amp; Environm Sci, Benham Bldg DX 650 312, Adelaide, SA 5005, Australia.</t>
  </si>
  <si>
    <t>Carpenter, Raymond/0000-0001-7129-2870</t>
  </si>
  <si>
    <t>NSF [DEB-0919071]; ARC [DP110104926]; Division Of Environmental Biology; Direct For Biological Sciences [0919071] Funding Source: National Science Foundation</t>
  </si>
  <si>
    <t>NSF(National Science Foundation (NSF)); ARC(Australian Research Council); Division Of Environmental Biology; Direct For Biological Sciences(National Science Foundation (NSF)NSF - Directorate for Biological Sciences (BIO))</t>
  </si>
  <si>
    <t>We thank BRI for access to Ripogonum specimens and P. Puerta, K. Johnson, L. Reiner, E. Ruigomez, L. Canessa, B. Cariglino, M. Gandolfo, and C. Gonzalez for laboratory and field assistance. This research was supported by NSF DEB-0919071 and ARC Discovery Project DP110104926. Finally, we would also like to express our thanks to the whole team at PE for undertaking the meticulous editing work, not only for our paper, but also for the whole journal.</t>
  </si>
  <si>
    <t>COQUINA PRESS</t>
  </si>
  <si>
    <t>AMHERST</t>
  </si>
  <si>
    <t>C/O WHITEY HAGADORN, EXECUTIVE EDITOR, AMHERST COLLEGE, DEPT GEOLOGY, AMHERST, MA 01002 USA</t>
  </si>
  <si>
    <t>1935-3952</t>
  </si>
  <si>
    <t>1094-8074</t>
  </si>
  <si>
    <t>PALAEONTOL ELECTRON</t>
  </si>
  <si>
    <t>Palaeontol. electron.</t>
  </si>
  <si>
    <t>39A</t>
  </si>
  <si>
    <t>AU1PX</t>
  </si>
  <si>
    <t>WOS:000345393600007</t>
  </si>
  <si>
    <t>Jadwiszczak, P</t>
  </si>
  <si>
    <t>Jadwiszczak, Piotr</t>
  </si>
  <si>
    <t>At the root of the early penguin neck: a study of the only two cervicodorsal spines recovered from the Eocene of Antarctica</t>
  </si>
  <si>
    <t>Antarctic Peninsula; La Meseta Formation; Palaeogene; early Sphenisciformes; cervicodorsal vertebrae</t>
  </si>
  <si>
    <t>MARAMBIO SEYMOUR ISLAND; LA-MESETA FORMATION; CROSSVALLIA-UNIENWILLIA; FOSSIL PENGUIN; AVES; SPHENISCIFORMES; PALEOCENE; SKELETON; RECORD</t>
  </si>
  <si>
    <t>The spinal column of early Antarctic penguins is poorly known, mainly due to the scarcity of articulated vertebrae in the fossil record. One of the most interesting segments of this part of the skeleton is the transitional series located at the root of the neck. Here, two such cervicodorsal series, comprising reinterpreted known material and a new specimen from the Eocene of Seymour Island (Antarctic Peninsula), were investigated and contrasted with those of modern penguins and some fossil bones. The new specimen is smaller than the counterpart elements in recent king penguins, whereas the second series belonged to a large-bodied penguin from the genus Palaeeudyptes. It had been assigned by earlier researchers to P. gunnari (a species of giant penguins) and a Bayesian analysis-a Bayes factor approach based on size of an associated tarsometatarsus-strongly supported such an assignment. Morphological and functional studies revealed that mobility within the aforementioned segment probably did not differ substantially between extant and studied fossil penguins. There were, however, intriguing morphological differences between the smaller fossil specimen and the comparative material related to the condition of the lateral excavation in the first cervicodorsal vertebra and the extremely small size of the intervertebral foramen located just prior to the first true thoracic vertebra. The former feature could have resulted from discrepancy in severity of external pneumatization. Both fossils provided valuable insights into the morphology and functioning of the axial skeleton in early penguins.</t>
  </si>
  <si>
    <t>Univ Bialystok, Inst Biol, PL-15950 Bialystok, Poland</t>
  </si>
  <si>
    <t>University of Bialystok</t>
  </si>
  <si>
    <t>Jadwiszczak, P (corresponding author), Univ Bialystok, Inst Biol, Swierkowa 20B, PL-15950 Bialystok, Poland.</t>
  </si>
  <si>
    <t>piotrj@uwb.edu.pl</t>
  </si>
  <si>
    <t>Jadwiszczak, Piotr/P-4336-2019</t>
  </si>
  <si>
    <t>Jadwiszczak, Piotr/0000-0002-5263-1125</t>
  </si>
  <si>
    <t>NORWEGIAN POLAR INST</t>
  </si>
  <si>
    <t>TROMSO</t>
  </si>
  <si>
    <t>POLAR ENVIRONMENTAL CENTRE, HJALMAR JOHANSENSGATE 14, TROMSO, FRAMSENTERET, NORWAY</t>
  </si>
  <si>
    <t>10.3402/polar.v33.23861</t>
  </si>
  <si>
    <t>AU4EU</t>
  </si>
  <si>
    <t>WOS:000345563100001</t>
  </si>
  <si>
    <t>Shaughnessy, PD; Kemper, CM; Stemmer, D; McKenzie, J</t>
  </si>
  <si>
    <t>Shaughnessy, Peter D.; Kemper, Catherine M.; Stemmer, David; McKenzie, Jane</t>
  </si>
  <si>
    <t>Records of vagrant fur seals (family Otariidae) in South Australia</t>
  </si>
  <si>
    <t>AUSTRALIAN MAMMALOGY</t>
  </si>
  <si>
    <t>Antarctic fur seals; Arctocephalus gazella; Arctocephalus tropicalis; geographic distribution; subantarctic fur seal; sightings; strandings</t>
  </si>
  <si>
    <t>HAUL-OUT PATTERN; ARCTOCEPHALUS-TROPICALIS; MARION-ISLAND; HEARD-ISLAND; NEW-ZEALAND; GAZELLA; SPP.</t>
  </si>
  <si>
    <t>Two fur seal species breed on the southern coast of Australia: the Australian fur seal (Arctocephalus pusillus doriferus) and the New Zealand fur seal (A. forsteri). Two other species are vagrants: the subantarctic fur seal (A. tropicalis) and the Antarctic fur seal (A. gazella). We document records of vagrant fur seals in South Australia from 1982 to 2012 based primarily on records from the South Australian Museum. There were 86 subantarctic fur seals: 49 specimens and 37 sightings. Most (77%) were recorded from July to October and 83% of all records were juveniles. All but two specimens were collected between July and November. Sightings were prevalent during the same period, but there were also nine sightings during summer (December-February), several of healthy-looking adults. Notable concentrations were near Victor Harbor, on Kangaroo Island and Eyre Peninsula. Likely sources of subantarctic fur seals seen in South Australia are Macquarie and Amsterdam Islands in the South Indian Ocean, similar to 2700 km south-east and 5200 km west of SA, respectively. There were two sightings of Antarctic fur seals, both of adults, on Kangaroo Island at New Zealand fur seal breeding colonies. Records of this species for continental Australia and nearby islands are infrequent.</t>
  </si>
  <si>
    <t>[Shaughnessy, Peter D.; Kemper, Catherine M.; Stemmer, David] S Australian Museum, Adelaide, SA 5000, Australia</t>
  </si>
  <si>
    <t>Shaughnessy, PD (corresponding author), S Australian Museum, North Terrace, Adelaide, SA 5000, Australia.</t>
  </si>
  <si>
    <t>peter.shaughnessy@samuseum.sa.gov.au</t>
  </si>
  <si>
    <t>Shaughnessy, Peter/AAG-6689-2021</t>
  </si>
  <si>
    <t>0310-0049</t>
  </si>
  <si>
    <t>1836-7402</t>
  </si>
  <si>
    <t>AUST MAMMAL</t>
  </si>
  <si>
    <t>Aust. Mammal.</t>
  </si>
  <si>
    <t>10.1071/AM13038</t>
  </si>
  <si>
    <t>AT3CL</t>
  </si>
  <si>
    <t>WOS:000344813200004</t>
  </si>
  <si>
    <t>Priddel, D; Carlile, N; Portelli, D; Kim, Y; O'Neill, L; Bretagnolle, V; Ballance, LT; Phillips, RA; Pitman, RL; Rayner, MJ</t>
  </si>
  <si>
    <t>Priddel, David; Carlile, Nicholas; Portelli, Dean; Kim, Yuna; O'Neill, Lisa; Bretagnolle, Vincent; Ballance, Lisa T.; Phillips, Richard A.; Pitman, Robert L.; Rayner, Matt J.</t>
  </si>
  <si>
    <t>Pelagic distribution of Gould's Petrel (Pterodroma leucoptera): linking shipboard and onshore observations with remote-tracking data</t>
  </si>
  <si>
    <t>EMU</t>
  </si>
  <si>
    <t>at-sea sightings; foraging distribution; geographical separation of subspecies; geolocation; GLS logger; migration; New Caledonian Petrel</t>
  </si>
  <si>
    <t>EASTERN TROPICAL PACIFIC; WESTERN INDIAN-OCEAN; NEW-SOUTH-WALES; NONBREEDING ALBATROSSES; SEABIRD; MOVEMENTS; MIGRATION; ISLANDS; GEOLOCATION; BEHAVIOR</t>
  </si>
  <si>
    <t>This study describes and compares the pelagic distribution and migratory patterns of the two subspecies of Gould's Petrel (Pterodroma leucoptera), and contrasts data obtained from tracking birds at sea using geolocators with observational data (shipboard sightings, by-catch records and beachcast specimens). While breeding, tracked individuals of both subspecies (P. l. leucoptera and P. l. caledonica) foraged within the Tasman Sea and south of the Australian continent, with forays west into the Indian Ocean before laying. After breeding, both subspecies migrated to distinct non-breeding ranges within the eastern tropical Pacific Ocean. Observational data identified the general pattern of migration and foraging areas of the species, whereas data from geolocators provided details of routes and timing of migration, core foraging ranges, and marked spatial and temporal segregation between the two subspecies. However, by attaching geolocators only to established breeders, as is typical of studies of small and medium-sized seabirds, these devices failed to identify that non-breeding birds (pre-breeders and adults that are deferring breeding) may not follow the same migratory schedules or have the same at-sea distribution. We conclude that integrating data from electronic tracking with observational data substantially improves our understanding of the pelagic distribution of seabird populations.</t>
  </si>
  <si>
    <t>[Priddel, David; Carlile, Nicholas; O'Neill, Lisa] Off Environm &amp; Heritage, Hurstville, NSW 2220, Australia; [Portelli, Dean] Univ New S Wales, Australian Wetlands Rivers &amp; Landscape Ctr, Sydney, NSW 2052, Australia; [Kim, Yuna] Macquarie Univ, Dept Biol Sci, N Ryde, NSW 2109, Australia; [Bretagnolle, Vincent] Ctr Etud Biol Chize, Ctr Natl Rech Sci, F-79360 Beauvoir Sur Niort, France; [Ballance, Lisa T.; Pitman, Robert L.] NOAA, Southwest Fisheries Sci Ctr, Natl Marine Fisheries Serv, La Jolla, CA USA; [Phillips, Richard A.] British Antarctic Survey, Nat Environm Res Council, Cambridge CB3 0ET, England; [Rayner, Matt J.] Univ Auckland, Sch Biol Sci, Auckland, New Zealand</t>
  </si>
  <si>
    <t>Office of Environment &amp; Heritage - New South Wales; University of New South Wales Sydney; Macquarie University; Centre National de la Recherche Scientifique (CNRS); National Oceanic Atmospheric Admin (NOAA) - USA; UK Research &amp; Innovation (UKRI); Natural Environment Research Council (NERC); NERC British Antarctic Survey; University of Auckland</t>
  </si>
  <si>
    <t>Carlile, N (corresponding author), Off Environm &amp; Heritage, POB 1967, Hurstville, NSW 2220, Australia.</t>
  </si>
  <si>
    <t>nicholas.carlile@environment.nsw.gov.au</t>
  </si>
  <si>
    <t>Ballance, Lisa/AAF-5472-2020</t>
  </si>
  <si>
    <t>Rayner, Matt/0000-0002-1168-6699</t>
  </si>
  <si>
    <t>New South Wales Office of Environment and Heritage, Sydney, Australia; New Zealand Foundation for Research Science and Technology; Centre d'Etudes Biologiques de Chize, Beauvoir-sur-Niort, France; National Institute of Water and Atmospheric Research Ltd, New Zealand; Cumberland Bird Observers Club, Sydney, Australia</t>
  </si>
  <si>
    <t>New South Wales Office of Environment and Heritage, Sydney, Australia; New Zealand Foundation for Research Science and Technology(New Zealand Foundation for Research, Science and Technology); Centre d'Etudes Biologiques de Chize, Beauvoir-sur-Niort, France; National Institute of Water and Atmospheric Research Ltd, New Zealand; Cumberland Bird Observers Club, Sydney, Australia</t>
  </si>
  <si>
    <t>Access to the New Caledonian colony of Gould's Petrel would not have been possible without the generous assistance of Isabelle Brun, and for this we thank her. Numerous people kindly provided information on pelagic sightings of Gould's Petrel and beachcast specimens. In particular, Rohan Clarke and Tony Palliser provided details of their observations and Eric Woehler (Australian Antarctic Division) provided data held in the Australian Antarctic Data Centre, as well as voyage details and sampling effort across the Southern Ocean. L. T. Ballance and R. L. Pitman sincerely acknowledge the many talented seabird observers who collected sightings data on the many NOAA research cruises summarised in this study, particularly Michael P. Force and Sophie Webb, and the Commanding Officers and crew of the NOAA Research Vessels David Starr Jordan and McArthur. M. J. Rayner acknowledges the support of Wendy Rayner during the completion of this study. This work was supported by: the New South Wales Office of Environment and Heritage, Sydney, Australia (D. Priddel and N. Carlile); postdoctoral funding from the New Zealand Foundation for Research Science and Technology (M. J. Rayner); the Centre d'Etudes Biologiques de Chize, Beauvoir-sur-Niort, France (V. Bretagnolle); the National Institute of Water and Atmospheric Research Ltd, New Zealand (M. J. Rayner); and the Cumberland Bird Observers Club, Sydney, Australia (N. Carlile). It was undertaken under Animal Research approval number 021028/02 of the Animal Ethics Committee of the New South Wales Office of Environment and Heritage.</t>
  </si>
  <si>
    <t>0158-4197</t>
  </si>
  <si>
    <t>1448-5540</t>
  </si>
  <si>
    <t>Emu</t>
  </si>
  <si>
    <t>10.1071/MU14021</t>
  </si>
  <si>
    <t>Ornithology</t>
  </si>
  <si>
    <t>AT8DK</t>
  </si>
  <si>
    <t>WOS:000345164000009</t>
  </si>
  <si>
    <t>Zidarova, R; Kopalová, K; Van de Vijver, B</t>
  </si>
  <si>
    <t>Zidarova, Ralitsa; Kopalova, Katerina; Van de Vijver, Bart</t>
  </si>
  <si>
    <t>The genus Stauroneis (Bacillariophyta) from the South Shetland Islands and James Ross Island (Antarctica)</t>
  </si>
  <si>
    <t>FOTTEA</t>
  </si>
  <si>
    <t>Stauroneis; Bacillariophyta; Antarctica; taxonomy; morphology; biogeography</t>
  </si>
  <si>
    <t>LUTICOLA TAXA BACILLARIOPHYTA; LIVINGSTON ISLAND; MUELLERIA BACILLARIOPHYTA; MARITIME ANTARCTICA; INLAND WATERS; REGION; DIATOMS; DISTANTES; REVISION; ECOLOGY</t>
  </si>
  <si>
    <t>During a survey of the freshwater aquatic and limno-terrestrial diatom flora of the Maritime Antarctic Region, five taxa belonging to the genus Stauroneis that could not be identified were observed. Based on detailed LM and SEM observations, these five taxa have been described as new taxa: Stauroneis australobtusa sp. nov., S. acidojarensis sp. nov., S. delicata sp. nov., S. jamesrossensis sp. nov. and S. reichardtiopsis sp. nov. Comments are made on their taxonomic position and separation from other species in this genus. Brief notes on the ecology and distribution of the five taxa are added. A compiled list of all Stauroneis taxa present in the (sub-) Antarctic region is included in this paper and their biogeography based on the compiled data is discussed.</t>
  </si>
  <si>
    <t>[Zidarova, Ralitsa] Sofia Univ St Kliment Ohridski, Fac Biol, Dept Bot, Sofia 1164, Bulgaria; [Kopalova, Katerina] Charles Univ Prague, Fac Sci, Dept Ecol, Prague 12844 2, Czech Republic; [Kopalova, Katerina] Acad Sci Czech Republic, Inst Bot, Sect Plant Ecol, CS-37982 Trebon, Czech Republic; [Van de Vijver, Bart] Bot Garden Meise, Dept Bryophyta &amp; Thallophyta, B-1860 Meise, Belgium; [Van de Vijver, Bart] Univ Antwerp, Dept Biol, ECOBE, B-2610 Antwerp, Belgium</t>
  </si>
  <si>
    <t>University of Sofia; Charles University Prague; Czech Academy of Sciences; Institute of Botany of the Czech Academy of Sciences; University of Antwerp</t>
  </si>
  <si>
    <t>Zidarova, R (corresponding author), Sofia Univ St Kliment Ohridski, Fac Biol, Dept Bot, 8 Dragan Tzankov Blvd, Sofia 1164, Bulgaria.</t>
  </si>
  <si>
    <t>zidarova.r@gmail.com</t>
  </si>
  <si>
    <t>Zidarova, Ralitsa/I-3793-2017; Kopalova, Katerina/M-6207-2017</t>
  </si>
  <si>
    <t>IPY-Limnopolar Project (Ministerio de Ciencia y Tecnologia, Spain) [POL2006-06635]; BELSPO project CCAMBIO; EU Synthesys grant; GA UK [394211]; [RVO 67985939]</t>
  </si>
  <si>
    <t>IPY-Limnopolar Project (Ministerio de Ciencia y Tecnologia, Spain); BELSPO project CCAMBIO; EU Synthesys grant; GA UK;</t>
  </si>
  <si>
    <t>Sampling on Livingston Island was done in the framework of the IPY-Limnopolar Project POL2006-06635 (Ministerio de Ciencia y Tecnologia, Spain). The authors would also like to thank the members of expeditions to the Czech J.G. Mendel Antarctic Station for field support and assistance with sampling on James Ross Island. Studies on James Ross Island were supported within a long-term research development project no. RVO 67985939. Observations on King George Island and Nelson Island were done within . TMY 03-63: Project Part of the observations on Livingston Island was done within L'Oreal-Unesco For Women in Science Program (Bulgaria). Part of this research was funded within the BELSPO project CCAMBIO and supported by an EU Synthesys grant to BVDV to visit the Natural History Museum (BM, London, UK). Dr. Alex Ball, the staff of the IAA laboratory and Dr. Eileen J. Cox at the Natural History Museum are thanked for their help with the scanning electron microscopy. Mrs. Myriam de Haan is thanked for her technical assistance with the SEM at the Botanic Garden Meise. K. Kopalova benefited from grant GA UK grant nr. 394211.</t>
  </si>
  <si>
    <t>CZECH PHYCOLOGICAL SOC</t>
  </si>
  <si>
    <t>PRAHA 2</t>
  </si>
  <si>
    <t>BENATSKA 2,, PRAHA 2, CZ-128 01, CZECH REPUBLIC</t>
  </si>
  <si>
    <t>1802-5439</t>
  </si>
  <si>
    <t>Fottea</t>
  </si>
  <si>
    <t>10.5507/fot.2014.015</t>
  </si>
  <si>
    <t>AU0EI</t>
  </si>
  <si>
    <t>WOS:000345295900007</t>
  </si>
  <si>
    <t>Xu, GJ; Gao, Y</t>
  </si>
  <si>
    <t>Xu, Guojie; Gao, Yuan</t>
  </si>
  <si>
    <t>Atmospheric trace elements in aerosols observed over the Southern Ocean and coastal East Antarctica</t>
  </si>
  <si>
    <t>Southern Ocean; coastal East Antarctica; trace elements; size distribution; sources</t>
  </si>
  <si>
    <t>NATURAL IRON FERTILIZATION; MARINE BOUNDARY-LAYER; TERRA-NOVA BAY; CHEMICAL-COMPOSITION; ATLANTIC-OCEAN; SEA-SALT; BIOGEOCHEMICAL CYCLES; KERGUELEN ISLANDS; SIZE DISTRIBUTION; SULFUR-DIOXIDE</t>
  </si>
  <si>
    <t>Atmospheric aerosol samples were collected over the Southern Ocean (SO) and coastal East Antarctica (CEA) during the austral summer of 2010/11. Samples were analysed for trace elements, including Na, Mg, K, Al, Fe, Mn, Ni, Cd and Se, by inductively coupled plasma mass spectrometry (ICP-MS). The mean atmospheric concentrations over the SO were 1100 ng m(-3) for Na, 190 ng m(-3) for Mg, 150 ng m(-3) for Al, 14 ng m(-3) for Fe, 0.46 ng m(-3) for Mn and 0.25 ng m(-3) for Se. Over CEA, the mean concentrations were 990 ng m(-3) for Na, 180 ng m(-3) for Mg, 190 ng m(-3) for Al, 26 ng m(-3) for Fe, 0.70 ng m(-3) for Mn and 0.29 ng m(-3) for Se. Particle size distributions, enrichment factors (EFs) and correlation analysis indicate that Na, Mg and K mainly came from the marine source, while Al, Fe and Mn were mainly from the crustal source, which also contributed to Mg and K over CEA. High EFs were associated with Ni, Cd and Se, suggesting likely contributions from mixed sources from the Antarctic continent, long-range transport, marine biogenic emissions and anthropogenic emissions. Sea-salt elements (Na, Mg, K) were mainly accumulated in the coarse mode, and crustal elements (Al, Fe, Mn) presented a bimodal size distribution pattern. Bioactive elements (Fe, Ni, Cd) were enriched in the fine mode, especially with samples collected over the SO, possibly affecting biogeochemical cycles in this oceanic region.</t>
  </si>
  <si>
    <t>[Xu, Guojie; Gao, Yuan] Rutgers State Univ, Dept Earth &amp; Environm Sci, Newark, NJ 07102 USA</t>
  </si>
  <si>
    <t>Rutgers University System; Rutgers University Newark; Rutgers University New Brunswick</t>
  </si>
  <si>
    <t>Gao, Y (corresponding author), Rutgers State Univ, Dept Earth &amp; Environm Sci, Newark, NJ 07102 USA.</t>
  </si>
  <si>
    <t>yuangaoh@andromeda.rutgers.edu</t>
  </si>
  <si>
    <t>US National Science Foundation [0944589]</t>
  </si>
  <si>
    <t>US National Science Foundation(National Science Foundation (NSF))</t>
  </si>
  <si>
    <t>This research was sponsored by the US National Science Foundation Award 0944589 to YG. We thank the Chinese Arctic and Antarctic Administration and Polar Research Institute of China for logistic support. We also thank Jiexia Zhang for help with sample collection and Liqi Chen, Qi Lin, Wei Li, Hongmei Lin and Shun Yu for help with sampling preparation and sample analysis. We are grateful to Jianqiong Zhan, Tianyi Xu and Pami Mukherjee for discussions. YG specifically acknowledges the Chinese 27th Antarctic Expedition scientific team and staff at the Chinese Antarctic Zhongshan Station for their support of her participation in the voyage at sea and in the Antarctic. This work would not have become possible without the dedication of the crew of the Chinese icebreaker Xue Long.</t>
  </si>
  <si>
    <t>10.3402/polar.v33.23973</t>
  </si>
  <si>
    <t>AU0GO</t>
  </si>
  <si>
    <t>WOS:000345301900001</t>
  </si>
  <si>
    <t>Kroh, A</t>
  </si>
  <si>
    <t>Kroh, Andreas</t>
  </si>
  <si>
    <t>Echinoids from the Chlamys Ledge Member (Polonez Cove Formation, Oligocene) of King George Island, West Antarctica</t>
  </si>
  <si>
    <t>Antarctica; South Shetlands; Cenozoic; echinoids; Caenopedina; Abatus; new species</t>
  </si>
  <si>
    <t>CRYOSPHERE; FACIES</t>
  </si>
  <si>
    <t>New echinoid material from the Oligocene Chlamys Ledge Member (uppermost part of the Polonez Cove Formation) on King George Island, West Antarctica, includes the regular echinoid Caenopedina aleksandrabitnerae sp. n. and poorly preserved spatangoids, here tentatively identified as members of the genus Abatus. Caenopedina aleksandrabitnerae sp. n. is characterized by fully tuberculate genital plates, which sets it apart from most other species in the genus, by the uneven periproctal margin which indicates that periproctal plates were incorporated into the apical disc, and by moderately wide inter-ambulacral plates with a height/width ratio of 1:3. Among the modern Caenopedina species it is closest to the Australian and New Zealand representatives, which is in contrast to previous reviews of Cenozoic Antarctic echinoid faunas that suggested limited relationship to the Australasian region. This is the first record of Caenopedina from Antarctica; it considerably extends its historical distribution to the south.</t>
  </si>
  <si>
    <t>Nat Hist Museum Wien, A-1010 Vienna, Austria</t>
  </si>
  <si>
    <t>Kroh, A (corresponding author), Nat Hist Museum Wien, Burgring 7, A-1010 Vienna, Austria.</t>
  </si>
  <si>
    <t>andreas.kroh@nhm-wien.ac.at</t>
  </si>
  <si>
    <t>Kroh, Andreas/AAI-3650-2020</t>
  </si>
  <si>
    <t>Kroh, Andreas/0000-0002-8566-8848</t>
  </si>
  <si>
    <t>Polish Committee for Scientific Research [PBZ-KBN-108/PO4/1]</t>
  </si>
  <si>
    <t>Polish Committee for Scientific Research(Polish State Committee for Scientific Research)</t>
  </si>
  <si>
    <t>The field work in Antarctica was supported by a grant from the Polish Committee for Scientific Research PBZ-KBN-108/PO4/1. I thank Maria Aleksandra Bitner (Warszawa) for establishing contacts and assisting during the research, Andrzej Gazdzicki (Warszawa) for providing the specimens and information regarding the geological setting, and Alice Schumacher (Vienna) for macro-photography. The critical reviews of John W.M. Jagt (Maastricht) and Owen Anderson (Wellington) are gratefully acknowledged.</t>
  </si>
  <si>
    <t>10.2478/popore-2014-0024</t>
  </si>
  <si>
    <t>AT4JS</t>
  </si>
  <si>
    <t>WOS:000344906300001</t>
  </si>
  <si>
    <t>Hoffmeister, MC</t>
  </si>
  <si>
    <t>Hoffmeister, Martin Chavez</t>
  </si>
  <si>
    <t>Phylogenetic characters in the humerus and tarsometatarsus of penguins</t>
  </si>
  <si>
    <t>Sphenisciformes; limb bones; phylogenetic analysis; parsimony method; revised dataset</t>
  </si>
  <si>
    <t>ANTARCTIC PENGUINS; FOSSIL PENGUINS; NEW-ZEALAND; SPHENISCIFORMES; DIVERSITY; AVES; MORPHOLOGY; EVOLUTION; RECORD</t>
  </si>
  <si>
    <t>The present review aims to improve the scope and coverage of the phylogenetic matrices currently in use, as well as explore some aspects of the relationships among Paleogene penguins, using two key skeletal elements, the humerus and tarsometatarsus. These bones are extremely important for phylogenetic analyses based on fossils because they are commonly found solid specimens, often selected as holo- and paratypes of fossil taxa. The resulting dataset includes 25 new characters, making a total of 75 characters, along with eight previously uncoded taxa for a total of 48. The incorporation and analysis of this corrected subset of morphological characters raise some interesting questions considering the relationships among Paleogene penguins, particularly regarding the possible existence of two separate clades including Palaeeudyptes and Paraptenodytes, the monophyly of Platydyptes and Paraptenodytes, and the position of Anthropornis. Additionally, Notodyptes wimani is here recovered in the same collapsed node as Archaeospheniscus and not within Delphinornis, as in former analyses.</t>
  </si>
  <si>
    <t>[Hoffmeister, Martin Chavez] Univ Bristol, Sch Earth Sci, Bristol BS8 1RJ, Avon, England; [Hoffmeister, Martin Chavez] Univ Austral Chile, Lab Paleoecol, Inst Ciencias Atnbientales &amp; Evolut, Valdivia, Chile</t>
  </si>
  <si>
    <t>University of Bristol; Universidad Austral de Chile</t>
  </si>
  <si>
    <t>Hoffmeister, MC (corresponding author), Univ Bristol, Sch Earth Sci, Wills Mem Bldg,Queens Rd, Bristol BS8 1RJ, Avon, England.</t>
  </si>
  <si>
    <t>glmfch@bristol.ac.uk</t>
  </si>
  <si>
    <t>Chavez Hoffmeister, Martin/0000-0001-5940-5983</t>
  </si>
  <si>
    <t>Division of Ornithology Collection Study Grant of the AMNH; Palaeobiology Research Group Bob Savage Memorial Fund of the University of Bristol</t>
  </si>
  <si>
    <t>I would like to thank Peter Capainolo, Paul Sweet, Lydia Garetano, Carl Mehling and Joel Cracraft (American Museum of Natural History, USA), Piotr Jadwiszczak (Uniwersytet w Bialymstoku, Poland), Rodolfo Salas (Museo de Historia Natural de la Universidad Nacional de San Marcos, Peru), Marcelo Reguero (Museo de La Plata, Argentina), Alejandro Kramarz (Museo Argentino de Ciencias Naturales, Argentina), Diego Pol (Museo Paleontologico Egidio Feruglio, Argentina), Sylke Frahnert and Pascal Eckhoff (Museum fur Naturkunde, Germany), Bob McGowan and Stig Walsh (National Museum of Scotland, UK) and Sandra Chapman (Natural History Museum, UK) for facilitating access to important comparative specimens. Special thanks are given to the Division of Ornithology Collection Study Grant of the AMNH and the Palaeobiology Research Group Bob Savage Memorial Fund of the University of Bristol, which provided financial support for my visits to the collections of the American Museum of Natural History and Uniwersytet w Bialymstoku respectively. Roberto Yury Yanez (Universidad de Chile, Chile) and an anonymous reviewer helped to improve this paper during the submission processes. I also want to thank Michael Benton (University of Bristol, UK) and Daniel Ksepka (North Carolina State University, USA) for their support.</t>
  </si>
  <si>
    <t>POLISH ACAD SCIENCES</t>
  </si>
  <si>
    <t>PL DEFILAD 1, WARSZAWA, 00000, POLAND</t>
  </si>
  <si>
    <t>10.2478/popore-2014-0025</t>
  </si>
  <si>
    <t>WOS:000344906300002</t>
  </si>
  <si>
    <t>Laskowski, Z; Jezewski, W; Zdzitowiecki, K</t>
  </si>
  <si>
    <t>Laskowski, Zdzislaw; Jezewski, Witold; Zdzitowiecki, Krzysztof</t>
  </si>
  <si>
    <t>Changes in digenean infection of the Antarctic fish Notothenia coriiceps in Admiralty Bay, King George Island, over three decades</t>
  </si>
  <si>
    <t>Antarctic; Digenea; black rockcod; Notothenia; change of infection</t>
  </si>
  <si>
    <t>INSHORE FISH</t>
  </si>
  <si>
    <t>The infection of black rockcod, Notothenia coriiceps, with digeneans in Admiralty Bay (South Shetland Islands) within three months, from November 2007 to January 2008, is compared with the infection in the same three months in 1978/79, based on the examination of twenty fish collected in each month. Digenea found in 1978/1979 season were more numerous, and more diverse. Only five digenean species, Macvicaria georgiana, Neolebouria antarctica, Lepidapedon garrardi, Genolinea bowersi and Lecithaster macrocotyle, were recorded during both investigations, whereas three species, Neolepidapedon trematomi, Elytrophalloides oatesi and Gonocerca phycidis, only in 1978/79. M. georgiana was the dominant species in 1978/79 and sub-dominant in 2007/08. Other digeneans were found in N. coriiceps in 2007/08 invariably together with M. georgiana. G. bowersi was the sub-dominant species in 1978/79 and the most common species in 2007/2008. Infections with Digenea belonging to other species were much less intense. Of the three rare or common species in 1978/79, the two, L. garrardi and L. macrocotyle, occurred in both seasons, whereas E. oatesi occurred only in 1978/79. Three remaining species were sporadic or absent. The overall results therefore demonstrated that infections with almost all digenean species were less strong in 2007/08 than three decades earlier, in 1978/79. Only data on M. georgiana, G. bowersi and L. garrardi were statistically significant (p &lt;0.05). Data on the occurrence of 14 species of Digenea in N. coriiceps from South Shetland Islands, South Orkney Islands, South Georgia, Argentine Islands, Melchior Islands, Adelie Land and Heard Island are given.</t>
  </si>
  <si>
    <t>[Laskowski, Zdzislaw; Jezewski, Witold] Polish Acad Sci, Inst Parazytol W Stefanskiego, PL-00818 Warsaw, Poland; [Zdzitowiecki, Krzysztof] Inst Biochem &amp; Biofizyki PAN, Zaklad Biol Antarktyki, PL-02141 Warsaw, Poland</t>
  </si>
  <si>
    <t>Polish Academy of Sciences; Witold Stefanski Institute of Parasitology of the Polish Academy of Sciences; Polish Academy of Sciences; Institute of Biochemistry &amp; Biophysics - Polish Academy of Sciences</t>
  </si>
  <si>
    <t>Laskowski, Z (corresponding author), Polish Acad Sci, Inst Parazytol W Stefanskiego, Ul Twarda 51-55, PL-00818 Warsaw, Poland.</t>
  </si>
  <si>
    <t>laskowz@twarda.pan.pl; jezw@twarda.pan.pl; kzdzit@twarda.pan.pl</t>
  </si>
  <si>
    <t>Laskowski, Zdzislaw/V-5682-2018</t>
  </si>
  <si>
    <t>Laskowski, Zdzislaw/0000-0001-8542-6307; Jezewski, Witold/0000-0002-1966-294X</t>
  </si>
  <si>
    <t>10.2478/popore-2014-0009</t>
  </si>
  <si>
    <t>WOS:000344906300004</t>
  </si>
  <si>
    <t>Carmona, E; Almendros, J; Martin, R; Cortés, G; Alguacil, G; Moreno, J; Martín, JB; Martos, A; Serrano, I; Stich, D; Ibáñez, JM</t>
  </si>
  <si>
    <t>Carmona, Enrique; Almendros, Javier; Martin, Rosa; Cortes, Guillermo; Alguacil, Gerardo; Moreno, Javier; Benito Martin, Jose; Martos, Antonio; Serrano, Inmaculada; Stich, Daniel; Ibanez, Jess M.</t>
  </si>
  <si>
    <t>Advances in seismic monitoring at Deception Island volcano (Antarctica) since the International Polar Year</t>
  </si>
  <si>
    <t>ANNALS OF GEOPHYSICS</t>
  </si>
  <si>
    <t>SOUTH-SHETLAND-ISLANDS; ARRAY ANALYSIS; EARTHQUAKES; TREMOR; CLASSIFICATION; ATTENUATION; PARAMETERS; LOCATION</t>
  </si>
  <si>
    <t>Deception Island is an active volcano located in the south Shetland Islands, Antarctica. It constitutes a natural laboratory to test geophysical instruments in extreme conditions, since they have to endure not only the Antarctic climate but also the volcanic environment. Deception is one of the most visited places in Antarctica, both by scientists and tourists, which emphasize the importance of volcano monitoring. Seismic monitoring has been going on since 1986 during austral summer surveys. The recorded data include volcano-tectonic earthquakes, long-period events and volcanic tremor, among others. The level of seismicity ranges from quiet periods to seismic crises (e. g. 1992-1993, 1999). Our group has been involved in volcano monitoring at Deception Island since 1994. Based on this experience, in recent years we have made the most of the opportunities of the International Polar Year 2007-2008 to introduce advances in seismic monitoring along four lines: (1) the improvement of the seismic network installed for seismic monitoring during the summer surveys; (2) the development and improvement of seismic arrays for the detection and characterization of seismo-volcanic signals; (3) the design of automated event recognition tools, to simplify the process of data interpretation; and (4) the deployment of permanent seismic stations. These advances help us to obtain more data of better quality, and therefore to improve our interpretation of the seismo-volcanic activity at Deception Island, which is a crucial step in terms of hazards assessment.</t>
  </si>
  <si>
    <t>[Carmona, Enrique; Almendros, Javier; Martin, Rosa; Cortes, Guillermo; Alguacil, Gerardo; Moreno, Javier; Benito Martin, Jose; Martos, Antonio; Serrano, Inmaculada; Stich, Daniel; Ibanez, Jess M.] Univ Granada, Inst Andaluz Geofis, Granada, Spain; [Almendros, Javier; Alguacil, Gerardo; Serrano, Inmaculada; Stich, Daniel; Ibanez, Jess M.] Univ Granada, Dept Fis Teor &amp; Cosmos, Granada, Spain</t>
  </si>
  <si>
    <t>University of Granada; University of Granada</t>
  </si>
  <si>
    <t>Almendros, J (corresponding author), Univ Granada, Inst Andaluz Geofis, Granada, Spain.</t>
  </si>
  <si>
    <t>alm@iag.ugr.es</t>
  </si>
  <si>
    <t>Moreno-Valenzuela, Javier/D-8349-2018; IBANEZ, JESUS M/G-9910-2019; Almendros, Javier/M-2468-2014; Serrano, Inmaculada/L-2969-2014; Stich, Daniel/H-6174-2015; Cortés, Guillermo/L-1808-2019</t>
  </si>
  <si>
    <t>Moreno-Valenzuela, Javier/0000-0003-0670-5979; IBANEZ, JESUS M/0000-0002-9846-8781; Almendros, Javier/0000-0001-5936-6160; Stich, Daniel/0000-0001-7178-9887; Cortés, Guillermo/0000-0003-2664-9564; Alguacil De La Blanca, Angel Gerardo/0000-0002-0055-7365</t>
  </si>
  <si>
    <t>Spanish Ministry of Science and Innovation [POL2006-08663, CGL2007-28855, CTM2008-03062, CTM2009-07705, CTM2009-08085, CTM2010-11740]</t>
  </si>
  <si>
    <t>We thank all participants in the seismic monitoring surveys at Deception Island volcano. We are especially indebted to M. Abril, D. Zandomeneghi, and R. Abella. We acknowledge logistical support by the Spanish Army and Navy, Marine Technology Unit, and other institutions involved in the Spanish Antarctic Research Program. This work has been partially supported by the projects POL2006-08663, CGL2007-28855, CTM2008-03062, CTM2009-07705, CTM2009-08085 and CTM2010-11740 of the Spanish Ministry of Science and Innovation.</t>
  </si>
  <si>
    <t>IST NAZIONALE DI GEOFISICA E VULCANOLOGIA</t>
  </si>
  <si>
    <t>ROME</t>
  </si>
  <si>
    <t>VIA VIGNA MURATA 605, ROME, 00143, ITALY</t>
  </si>
  <si>
    <t>1593-5213</t>
  </si>
  <si>
    <t>2037-416X</t>
  </si>
  <si>
    <t>ANN GEOPHYS-ITALY</t>
  </si>
  <si>
    <t>Ann. Geophys.</t>
  </si>
  <si>
    <t>SS0321</t>
  </si>
  <si>
    <t>10.4401/ag-6378</t>
  </si>
  <si>
    <t>AS9TX</t>
  </si>
  <si>
    <t>WOS:000344585300003</t>
  </si>
  <si>
    <t>Kanao, M; Wiens, DA; Tanaka, S; Nyblade, AA; Toyokuni, G; Shore, PJ; Tsuboi, S; Heeszel, DS; Usui, Y; Parker, T</t>
  </si>
  <si>
    <t>Kanao, Masaki; Wiens, Douglas A.; Tanaka, Satoru; Nyblade, Andrew A.; Toyokuni, Genti; Shore, Patrick J.; Tsuboi, Seiji; Heeszel, David S.; Usui, Yusuke; Parker, Timothy</t>
  </si>
  <si>
    <t>Broadband seismic deployments in East Antarctica: IPY contribution to monitoring the Earth's interiors</t>
  </si>
  <si>
    <t>UPPER-MANTLE STRUCTURE; BENEATH; MOUNTAINS</t>
  </si>
  <si>
    <t>Deployment of broadband seismic stations on the Antarctica continent is an ambitious project to improve the spatial resolution of seismic data across the Antarctic Plate and surrounding regions. Several international collaborative programs for the purpose of geomonitoring were conducted in Antarctica during the International Polar Year (IPY) 2007-2008. The Antarctica's GAmburtsev Province (AGAP; IPY #147), the GAmburtsev Mountain SEISmic experiment (GAMSEIS), a part of AGAP, and the Polar Earth Observing Network (POLENET; IPY #185) were major contributions in establishing a geophysical network in Antarctica. The AGAP/GAMSEIS project was an internationally coordinated deployment of more than 30 broadband seismographs over the crest of the Gambursev Mountains (Dome-A), Dome-C and Dome-F area. The investigations provide detailed information on crustal thickness and mantle structure; provide key constraints on the origin of the Gamburtsev Mountains; and more broadly on the structure and evolution of the East Antarctic craton and subglacial environment. From GAMSEIS and POLENET data obtained, local and regional seismic signals associated with ice movements, oceanic loading, and local meteorological variations were recorded together with a significant number of teleseismic events. In this chapter, in addition to the Earth's interiors, we will demonstrate some of the remarkable seismic signals detected during IPY that illustrate the capabilities of broadband seismometers to study the sub-glacial environment, particularly at the margins of Antarctica. Additionally, the AGAP and POLENET stations have an important role in the Federation of Digital Seismographic Network (FDSN) in southern high latitude.</t>
  </si>
  <si>
    <t>[Kanao, Masaki; Toyokuni, Genti] Natl Inst Polar Res, Tokyo, Japan; [Wiens, Douglas A.; Shore, Patrick J.] Washington Univ, Dept Earth &amp; Planetary Sci, St Louis, MO 63130 USA; [Tanaka, Satoru; Tsuboi, Seiji] Japan Agcy Marine Earth Sci &amp; Technol JAMSTEC, Yokohama, Kanagawa, Japan; [Nyblade, Andrew A.] Penn State Univ, Dept Geosci, University Pk, PA 16802 USA; [Heeszel, David S.] US Nucl Regulatory Commiss, Washington, DC 20555 USA; [Usui, Yusuke] Ehime Univ, Geodynam Res Ctr, Matsuyama, Ehime, Japan</t>
  </si>
  <si>
    <t>Research Organization of Information &amp; Systems (ROIS); National Institute of Polar Research (NIPR) - Japan; Washington University (WUSTL); Japan Agency for Marine-Earth Science &amp; Technology (JAMSTEC); Pennsylvania Commonwealth System of Higher Education (PCSHE); Pennsylvania State University; Pennsylvania State University - University Park; Ehime University</t>
  </si>
  <si>
    <t>Kanao, M (corresponding author), Natl Inst Polar Res, Tokyo, Japan.</t>
  </si>
  <si>
    <t>kanao@nipr.ac.jp</t>
  </si>
  <si>
    <t>Tsuboi, Seiji/AAF-9293-2020; Wiens, Douglas/J-9259-2016</t>
  </si>
  <si>
    <t>Wiens, Douglas/0000-0002-5169-4386</t>
  </si>
  <si>
    <t>Grants-in-Aid for Scientific Research [26241010, 24403006] Funding Source: KAKEN</t>
  </si>
  <si>
    <t>SS0322</t>
  </si>
  <si>
    <t>10.4401/ag-6379</t>
  </si>
  <si>
    <t>WOS:000344585300004</t>
  </si>
  <si>
    <t>Maggi, A; de Berc, MB; Thoré, JY; Lévêque, JJ</t>
  </si>
  <si>
    <t>Maggi, Alessia; de Berc, Maxime Bes; Thore, Jean-Yves; Leveque, Jean-Jacques</t>
  </si>
  <si>
    <t>Concordia, Antarctica, seismic experiment for the International Polar Year (CASE-IPY)</t>
  </si>
  <si>
    <t>The CASE-IPY project, part of the larger POLENET initiative of geophysical observations for the International Polar Year, was built on our extensive experience of running seismological stations in Antarctica, both on rock sites (Dumont d'Urville station), and directly on the ice plateau (Concordia station). For CASE-IPY, we deployed 8 temporary seismic stations on the Antarctic plateau: 3 situated near Concordia itself (starting 2008), and the other 5 regularly spaced between Concordia and Vostok (2010-2012), following the maximum in ice topography. The technical problems we have encountered in our field deployments were essentially due to a combination of extreme environmental conditions and isolation of deployment sites. The 3 stations near Concordia were used as test sites to experiment different solutions, and to converge on a design for the 5 main stations. Results from the nearest stations, which transmit data regularly to Concordia, are very promising. The data recorded by our stations will be distributed widely in the scientific community. We expect them to be exploited essentially for structural studies involving Antarctica itself (its ice-cap, crust and lithosphere) via receiver functions, noise correlation, and surface-wave tomography, but also for studies of the Earth's core.</t>
  </si>
  <si>
    <t>[Maggi, Alessia; de Berc, Maxime Bes; Thore, Jean-Yves; Leveque, Jean-Jacques] Univ Strasbourg, CNRS, EOST, IPGS, Strasbourg, France</t>
  </si>
  <si>
    <t>Centre National de la Recherche Scientifique (CNRS); Universites de Strasbourg Etablissements Associes; Universite de Strasbourg</t>
  </si>
  <si>
    <t>Maggi, A (corresponding author), IPGS, Strasbourg, France.</t>
  </si>
  <si>
    <t>alessia.maggi@unistra.fr</t>
  </si>
  <si>
    <t>Maggi, Alessia/P-5041-2016</t>
  </si>
  <si>
    <t>Maggi, Alessia/0000-0001-8859-8948; Bes de Berc, Maxime/0000-0002-1824-966X</t>
  </si>
  <si>
    <t>ANR [ANR-07-BLAN-0147]; French Polar Institute (IPEV) [906]; GEOSCOPE; Agence Nationale de la Recherche (ANR) [ANR-07-BLAN-0147] Funding Source: Agence Nationale de la Recherche (ANR)</t>
  </si>
  <si>
    <t>ANR(Agence Nationale de la Recherche (ANR)); French Polar Institute (IPEV); GEOSCOPE; Agence Nationale de la Recherche (ANR)(Agence Nationale de la Recherche (ANR))</t>
  </si>
  <si>
    <t>The CASE-IPY project was directly supported by ANR through the ANR-07-BLAN-0147 contract. Logistical support for the CASE-IPY project was provided by IPEV and PNRA. The permanent station CCD at Concordia is supported by the French Polar Institute (IPEV) under program No 906, and by GEOSCOPE.</t>
  </si>
  <si>
    <t>SS0320</t>
  </si>
  <si>
    <t>10.4401/ag-6381</t>
  </si>
  <si>
    <t>WOS:000344585300002</t>
  </si>
  <si>
    <t>Marson, JM; Wainer, I; Mata, MM; Liu, Z</t>
  </si>
  <si>
    <t>Marson, J. M.; Wainer, I.; Mata, M. M.; Liu, Z.</t>
  </si>
  <si>
    <t>The impacts of deglacial meltwater forcing on the South Atlantic Ocean deep circulation since the Last Glacial Maximum</t>
  </si>
  <si>
    <t>LAURENTIDE ICE-SHEET; SEA-LEVEL; NORTH-ATLANTIC; THERMOHALINE CIRCULATION; PULSE 1A; WATER; CLIMATE; MODEL; CO2; HEINRICH</t>
  </si>
  <si>
    <t>A NCAR-CCSM3 (National Center for Atmospheric Research - Community Climate System Model version 3) state-of-the-art transient paleoclimate simulation with prescribed freshwater inflows is used to investigate the changes and evolution of the South Atlantic water mass structure from the Last Glacial Maximum (LGM) to the present day. Model results show that 21 000 yr ago the water column was substantially stratified due to the presence of a saltier-than-today Antarctic Bottom Water (AABW), forming a salinity barrier that prevented dense waters from the Northern Hemisphere from sinking. This salinity barrier started to erode after the termination of the Heinrich event 1, when its associated meltwater was transported southward, freshening the AABW. The removal of the barrier after 14 ka triggered the production of the North Atlantic Deep Water (NADW), which spread into the deeper layers of the South Atlantic at the onset of the Holocene. At this point, the NADW acquired its modern-day structure, establishing a deeper Atlantic meridional overturning circulation (AMOC).</t>
  </si>
  <si>
    <t>[Marson, J. M.; Wainer, I.] Univ Sao Paulo, Inst Oceanog, Sao Paulo, Brazil; [Mata, M. M.] Fundacao Univ Fed Rio Grande, Inst Oceanog, Rio Grande, RS, Brazil; [Liu, Z.] Univ Wisconsin, Ctr Climat Res, Madison, WI USA; [Liu, Z.] Univ Wisconsin, Dept Atmospher &amp; Ocean Sci, Madison, WI USA</t>
  </si>
  <si>
    <t>Universidade de Sao Paulo; Universidade Federal do Rio Grande; University of Wisconsin System; University of Wisconsin Madison; University of Wisconsin System; University of Wisconsin Madison</t>
  </si>
  <si>
    <t>Marson, JM (corresponding author), Univ Sao Paulo, Inst Oceanog, Sao Paulo, Brazil.</t>
  </si>
  <si>
    <t>jmarson@usp.br</t>
  </si>
  <si>
    <t>Marson, Juliana/KFR-2283-2024; WAINER, ILANA/B-4540-2011; Mata, Mauricio/H-4605-2011</t>
  </si>
  <si>
    <t>Marson, Juliana/0000-0001-5074-7370; WAINER, ILANA/0000-0003-3784-623X; Mata, Mauricio/0000-0002-9028-8284</t>
  </si>
  <si>
    <t>Fundacao de Amparo a Pesquisa do Estado de Sao Paulo (FAPESP) [2011/02047-9, 2013/02111-4]; CAPES-Ciencias do Mar; CNPq-MCT INCT-Criosfera; Fundacao de Amparo a Pesquisa do Estado de Sao Paulo (FAPESP) [13/02111-4, 11/02047-9] Funding Source: FAPESP</t>
  </si>
  <si>
    <t>Fundacao de Amparo a Pesquisa do Estado de Sao Paulo (FAPESP)(Fundacao de Amparo a Pesquisa do Estado de Sao Paulo (FAPESP)); CAPES-Ciencias do Mar; CNPq-MCT INCT-Criosfera(Conselho Nacional de Desenvolvimento Cientifico e Tecnologico (CNPQ)); Fundacao de Amparo a Pesquisa do Estado de Sao Paulo (FAPESP)(Fundacao de Amparo a Pesquisa do Estado de Sao Paulo (FAPESP))</t>
  </si>
  <si>
    <t>This work was supported by the grants 2011/02047-9 and 2013/02111-4 from the Fundacao de Amparo a Pesquisa do Estado de Sao Paulo (FAPESP), CAPES-Ciencias do Mar and CNPq-MCT INCT-Criosfera. We also wish to thank P2C2 program/NSF, Abrupt Change Program/DOE, INCITE program/DOE, NCAR and Bette Otto-Bliesner for making the TraCE-21K available, as well as NOAA-PANGEA for the paleoclimatic proxy data. We also wish to thank the anonymous referees for their constructive reviews. The comments of Lawrence A. Mysak in the revised version of this paper are also appreciated.</t>
  </si>
  <si>
    <t>10.5194/cp-10-1723-2014</t>
  </si>
  <si>
    <t>AT2BC</t>
  </si>
  <si>
    <t>WOS:000344734800006</t>
  </si>
  <si>
    <t>Van de Vijver, B; Kopalová, K; Zidarova, R; Levkov, Z</t>
  </si>
  <si>
    <t>Van de Vijver, Bart; Kopalova, Katerina; Zidarova, Ralitsa; Levkov, Zlatko</t>
  </si>
  <si>
    <t>Revision of the genus Halamphora (Bacillariophyta) in the Antarctic Region</t>
  </si>
  <si>
    <t>PLANT ECOLOGY AND EVOLUTION</t>
  </si>
  <si>
    <t>Antarctic Region; Bacillariophyta; Halamphora; new species; morphology; taxonomy</t>
  </si>
  <si>
    <t>SOUTH SHETLAND ISLANDS; FRESH-WATER; DIATOM FLORA; MUELLERIA BACILLARIOPHYTA; LIVINGSTON ISLAND; LAKES; COMMUNITIES; PENINSULA; LIMNOLOGY; HILLS</t>
  </si>
  <si>
    <t>Background and aims - The limnoterrestrial and aquatic diatom flora of the entire Antarctic Region (sub-Antarctic islands, Maritime Antarctic Region, Antarctic Continent) is currently under revision. One of the genera that still needed a thorough analysis is the genus Halamphora, recently split off from Amphora. Halamphora species are a typical constituent of the lake diatom flora in the Antarctic region. Methods - Using both Light Microscopical (LM) and Scanning Electron Microscopical (SEM) techniques, the morphology of a large number of Halamphora taxa, present in the samples from the Antarctic Region, has been analysed. Each taxon is properly described, illustrated and compared with other morphologically similar Halamphora taxa, known worldwide. Key results - A total of seven Halamphora taxa has been found. Two taxa could be identified using the currently available literature: Halamphora veneta (Kutz.) Levkov and H. oligotraphenta (Lange-Bert.) Levkov. Five new Halamphora species are described: Halamphora ausloosiana Van de Vijver &amp; Kopalova sp. nov., H. compereana Van de Vijver &amp; Levkov sp. nov., H. dagmarobbelsiana Van de Vijver &amp; Levkov sp. nov., H. lateantarctica Van de Vijver, Kopalova, Zidarova &amp; Levkov sp. nov. and H. vyvermaniana Van de Vijver, Kopalova, Zidarova &amp; Levkov sp. nov. Conclusions - The obtained results confirm the presence of a typical and highly specific limnoterrestrial diatom flora in the Antarctic Region and contradict the generally accepted idea about the worldwide distribution of diatoms.</t>
  </si>
  <si>
    <t>[Van de Vijver, Bart] Bot Garden Meise, Dept Bryophyta &amp; Thallophyta, BE-1860 Meise, Belgium; [Van de Vijver, Bart] Univ Antwerp, Dept Biol, ECOBE, BE-2610 Antwerp, Belgium; [Kopalova, Katerina] Charles Univ Prague, Fac Sci, Dept Ecol, CR-12844 Prague 2, Czech Republic; [Zidarova, Ralitsa] Univ Sofia, Fac Biol, Dept Bot, Sofia 1164, Bulgaria; [Levkov, Zlatko] Inst Biol, Fac Nat Sci, Skopje 1000, North Macedonia</t>
  </si>
  <si>
    <t>University of Antwerp; Charles University Prague; University of Sofia</t>
  </si>
  <si>
    <t>Van de Vijver, B (corresponding author), Bot Garden Meise, Dept Bryophyta &amp; Thallophyta, Nieuwelaan 38, BE-1860 Meise, Belgium.</t>
  </si>
  <si>
    <t>Levkov, Zlatko/0000-0002-1184-2356; Zidarova, Ralitsa/0000-0002-6451-0099; Kopalova, Katerina/0000-0002-7905-4268</t>
  </si>
  <si>
    <t>French Polar Institute-Paul-Emile Victor [136]; GA UK grant [394211]; Belspo CCAMBIO project; EU Synthesys grant; [POL2006-06635]</t>
  </si>
  <si>
    <t>French Polar Institute-Paul-Emile Victor; GA UK grant; Belspo CCAMBIO project; EU Synthesys grant;</t>
  </si>
  <si>
    <t>Sampling on Crozet and Amsterdam has been made possible thanks to the logistic and financial support of the French Polar Institute-Paul-Emile Victor in the framework of the terrestrial program 136 (Marc Lebouvier &amp; Yves Frenot). Samples on Byers Peninsula were taken in the framework of the IPY-Limnopolar Project POL2006-06635 (Prof. Dr. Antonio Quesada, Ministerio de Ciencia y Tecnologia, Spain). The authors would also like to thank the members of expeditions to the Czech J.G. Mendel Antarctic Station for field support and assistance. K. Kopalova benefited from grant GA UK grant nr. 394211. Part of the research was funded within the Belspo CCAMBIO project and an EU Synthesys grant to BVDV to visit the National History Museum in London, UK. Alex Ball, the staff of the EMMA laboratory and Eileen J. Cox at the Natural History Museum are thanked for their help with the scanning electron microscopy.</t>
  </si>
  <si>
    <t>SOC ROYAL BOTAN BELGIQUE</t>
  </si>
  <si>
    <t>MEISE</t>
  </si>
  <si>
    <t>NIEUWELAAN 38, B-1860 MEISE, BELGIUM</t>
  </si>
  <si>
    <t>2032-3913</t>
  </si>
  <si>
    <t>2032-3921</t>
  </si>
  <si>
    <t>PLANT ECOL EVOL</t>
  </si>
  <si>
    <t>Plant Ecol. Evol.</t>
  </si>
  <si>
    <t>10.5091/plecevo.2014.979</t>
  </si>
  <si>
    <t>AS9SJ</t>
  </si>
  <si>
    <t>WOS:000344581500008</t>
  </si>
  <si>
    <t>Wetzel, CE; Van de Vijver, B; Kopalová, K; Hoffmann, L; Pfister, L; Ector, L</t>
  </si>
  <si>
    <t>Wetzel, Carlos E.; Van de Vijver, Bart; Kopalova, Katerina; Hoffmann, Lucien; Pfister, Laurent; Ector, Luc</t>
  </si>
  <si>
    <t>Type analysis of the South American diatom Achnanthes haynaldii (Bacillariophyta) and description of Planothidium amphibium sp nov., from aerial and aquatic environments in Oregon (USA)</t>
  </si>
  <si>
    <t>Achnanthes; Planothidium; Planothidium haynaldii; type material; biogeography; ecology; SEM</t>
  </si>
  <si>
    <t>FRESH-WATER; ALGAL COMMUNITIES; POTTER PENINSULA; HOT-SPRINGS; BIODIVERSITY; LAKE; STREAMS; ISLAND; GENUS; ASSEMBLAGES</t>
  </si>
  <si>
    <t>Background and aims - Planothidium haynaldii (Schaarschm.) Lange-Bert. (equivalent to Achnanthes haynaldii Schaarschm.) is a widely reported species from temperate and cold zones of southern and northern hemispheres despite being originally described from a high altitude stratovolcano (Antisana, 4100 m a.s.1.) in Ecuador (tropical climatic zone). Although widely cited in the literature, studies concerning the original material were never carried out. The main objective of this paper is to clarify the identity of Planothidium haynaldii and two related species from North-western USA and Antarctic environments. Methods - The original type slide of Achnanthes haynaldii Schaarschm. was observed. Additionally, selected samples containing populations currently identified either as Planothidium haynaldii or Achnanthes lanceolata var. capitata O.Mull. collected in Oregon (USA) and James Ross Island (Antarctica) were observed. The samples were analyzed using light (LM) and scanning electron microscopy (SEM). Key results - A new species, commonly improperly identified as Planothidium haynaldii, is described as Planothidium amphibium C.E.Wetzel, Ector &amp; L.Pfister sp. nov. from aerial and aquatic habitats of Oregon (USA). This species is widely distributed in the northern hemisphere according to illustrated literature records. Achnanthes lanceolata var. capitata is erected to species level and transferred to the genus Planothidium. Planothidium capitatum (O.Mull.) Van de Vijver, Kopalova, C.E.Wetzel &amp; Ector comb. &amp; stat. nov. seems to be an important component of the communities in the Antarctic region where large populations were found on James Ross Island and Livingston Island living in the epilithon and epipelon of large lakes. Finally, Planothidium haynaldii seems to be rarer than initially expected and its occurrence is confirmed only in the Andes mountain range in South America (recent freshwater sample from Ecuador and as fossil in Chile).</t>
  </si>
  <si>
    <t>[Wetzel, Carlos E.; Hoffmann, Lucien; Pfister, Laurent; Ector, Luc] Publ Res Ctr Gabriel Lippmann, Dept Environm &amp; Agrobiotechnol EVA, LU-4422 Belvaux, Luxembourg; [Van de Vijver, Bart] Bot Garden Meise, Dept Cryptogamy Bryophyta &amp; Thallophyta, BE-1860 Meise, Belgium; [Van de Vijver, Bart] Univ Antwerp, Dept Biol, ECOBE, BE-2610 Antwerp, Belgium; [Kopalova, Katerina] Charles Univ Prague, Fac Sci, Dept Ecol, CZ-12844 Prague 2, Czech Republic</t>
  </si>
  <si>
    <t>Luxembourg Institute of Science &amp; Technology; University of Antwerp; Charles University Prague</t>
  </si>
  <si>
    <t>Wetzel, CE (corresponding author), Publ Res Ctr Gabriel Lippmann, Dept Environm &amp; Agrobiotechnol EVA, 41 Rue Brill, LU-4422 Belvaux, Luxembourg.</t>
  </si>
  <si>
    <t>wetzel@lippmann.lu</t>
  </si>
  <si>
    <t>; Kopalova, Katerina/M-6207-2017; Wetzel, Carlos Eduardo/A-2839-2015</t>
  </si>
  <si>
    <t>Pfister, Laurent/0000-0001-5494-5753; Kopalova, Katerina/0000-0002-7905-4268; Wetzel, Carlos Eduardo/0000-0001-5330-0494; Ector, Luc/0000-0002-4573-9445</t>
  </si>
  <si>
    <t>Luxembourg National Research Fund (FNR) in the framework of the BIGSTREAM project [C09/SR/14]; TAXODIA project (Public Research Centre - Gabriel Lippmann, Belvaux, Luxembourg); Belspo CCAMBIO project; EU Synthesys grant; Ministerio de Ciencia y Tecnologia, Spain [POL2006-06635]</t>
  </si>
  <si>
    <t>Luxembourg National Research Fund (FNR) in the framework of the BIGSTREAM project(Luxembourg National Research Fund); TAXODIA project (Public Research Centre - Gabriel Lippmann, Belvaux, Luxembourg); Belspo CCAMBIO project; EU Synthesys grant; Ministerio de Ciencia y Tecnologia, Spain(Spanish Government)</t>
  </si>
  <si>
    <t>This paper is dedicated to our colleague Pierre Compere (Botanic Garden Meise, Belgium) for his long dedication to algae, especially diatoms. We thank Marianne Hamnede (Swedish Museum of Natural History, Stockholm) for sending us the material and the original type slide of Achnanthes haynaldii Schaarschm. Funding for this research was provided by the Luxembourg National Research Fund (FNR) in the framework of the BIGSTREAM project (C09/SR/14) and TAXODIA project (Public Research Centre - Gabriel Lippmann, Belvaux, Luxembourg). Samples on Byers Peninsula were taken in the framework of the IPY-Limnopolar Project POL2006-06635 (Ministerio de Ciencia y Tecnologia, Spain). The authors would also like to thank the members of expeditions to the Czech J.G. Mendel Antarctic Station for field support and assistance on James Ross Island. Part of the research was funded within the Belspo CCAMBIO project and an EU Synthesys grant to BVDV to visit the National History Museum in London, UK. Alex Ball, the staff of the IAC laboratory and Eileen J. Cox at the Natural History Museum are thanked for their help with the scanning electron microscopy. Marina Potapova, Saul Blanco and an anonymous reviewer are gratefully acknowledged for suggestions and corrections on the manuscript.</t>
  </si>
  <si>
    <t>10.5091/plecevo.2014.1058</t>
  </si>
  <si>
    <t>WOS:000344581500013</t>
  </si>
  <si>
    <t>Piazza, P; Blazewicz-Paszkowycz, M; Ghiglione, C; Alvaro, MC; Schnabel, K; Schiaparelli, S</t>
  </si>
  <si>
    <t>Piazza, Paola; Blazewicz-Paszkowycz, Magdalena; Ghiglione, Claudio; Alvaro, Maria Chiara; Schnabel, Kareen; Schiaparelli, Stefano</t>
  </si>
  <si>
    <t>Distributional records of Ross Sea (Antarctica) Tanaidacea from museum samples stored in the collections of the Italian National Antarctic Museum (MNA) and the New Zealand National Institute of Water and Atmospheric Research (NIWA)</t>
  </si>
  <si>
    <t>Antarctica; Ross Sea; Crustacea; Peracarida; Tanaidacea; MNA; NIWA</t>
  </si>
  <si>
    <t>CRUSTACEA; DIVERSITY</t>
  </si>
  <si>
    <t>Here we present distributional records for Tanaidacea specimens collected during several Antarctic expeditions to the Ross Sea: the Italian PNRA expeditions (V, 1989/1990; XI, 1995/1996; XIV, 1998/1999; XIX, 2003/2004; XXV, 2009/2010) and the New Zealand historical (New Zealand Oceanographic Institute, NZOI, 1958-1961) and recent (TAN0402 BIOROSS voyage, 2004 and TAN0802 IPY-CAML Oceans Survey 20/20 voyage, 2008) expeditions. Tanaidaceans were obtained from bottom samples collected at depths ranging from 16 to 3543 m by using a variety of sampling gears. On the whole, this contribution reports distributional data for a total of 2953 individuals belonging to 33 genera and 50 species. All vouchers are permanently stored in the Italian National Antarctic Museum collection (MNA), Section of Genoa (Italy) and at the National Institute of Water and Atmospheric Research (NIWA Invertebrate Collection), Wellington (New Zealand).</t>
  </si>
  <si>
    <t>[Piazza, Paola; Alvaro, Maria Chiara; Schiaparelli, Stefano] Univ Genoa, Dept Earth Environm &amp; Life Sci DISTAV, Genoa, Italy; [Piazza, Paola; Ghiglione, Claudio; Alvaro, Maria Chiara; Schiaparelli, Stefano] Univ Genoa, Italian Natl Antarct Museum, MNA, Sect Genoa, Genoa, Italy; [Blazewicz-Paszkowycz, Magdalena] Univ Lodz, Dept Polar Biol &amp; Oceanobiol, Banacha, Poland; [Schnabel, Kareen] Natl Inst Water &amp; Atmospher Res NIWA, Wellington, New Zealand</t>
  </si>
  <si>
    <t>University of Genoa; University of Genoa; University of Lodz; National Institute of Water &amp; Atmospheric Research (NIWA) - New Zealand</t>
  </si>
  <si>
    <t>Schiaparelli, S (corresponding author), Univ Genoa, Dept Earth Environm &amp; Life Sci DISTAV, Genoa, Italy.</t>
  </si>
  <si>
    <t>stefano.schiaparelli@unige.it</t>
  </si>
  <si>
    <t>Schiaparelli, Stefano/AAI-4024-2020; Błażewicz, Magdalena/J-5175-2017</t>
  </si>
  <si>
    <t>Schiaparelli, Stefano/0000-0002-0137-3605; Blazewicz, Magdalena/0000-0002-4753-3424; Schnabel, Kareen/0000-0002-9965-9010</t>
  </si>
  <si>
    <t>Italian National Antarctic Program (PNRA); New Zealand Ministry of Fisheries; New Zealand Government under the New Zealand International Polar Year Census of Antarctic Marine Life Project</t>
  </si>
  <si>
    <t>We would like to acknowledge the Italian National Antarctic Program (PNRA) for funding and logistic support of the scientific expeditions. The TAN0402 BIOROSS voyage (2004) was undertaken by the National Institute of Water &amp; Atmospheric Research and financed by the former New Zealand Ministry of Fisheries. The TAN0802 IPY-CAML Oceans Survey 20/20voyage (2008) was funded by the New Zealand Government under the New Zealand International Polar Year Census of Antarctic Marine Life Project. We gratefully acknowledge project governance provided by the Ministry of Fisheries Science Team and the Ocean Survey 20/20 CAML Advisory Group (Land Information New Zealand, Ministry for Primary Industries (Fisheries), Antarctica New Zealand, Ministry of Foreign Affairs and Trade, and National Institute of Water and Atmospheric Research).</t>
  </si>
  <si>
    <t>10.3897/zookeys.451.8373</t>
  </si>
  <si>
    <t>AT0SA</t>
  </si>
  <si>
    <t>WOS:000344644000003</t>
  </si>
  <si>
    <t>Hara, K; Nakazawa, F; Fujita, S; Fukui, K; Enomoto, H; Sugiyama, S</t>
  </si>
  <si>
    <t>Hara, K.; Nakazawa, F.; Fujita, S.; Fukui, K.; Enomoto, H.; Sugiyama, S.</t>
  </si>
  <si>
    <t>Horizontal distributions of aerosol constituents and their mixing states in Antarctica during the JASE traverse</t>
  </si>
  <si>
    <t>ATMOSPHERIC CHEMISTRY AND PHYSICS</t>
  </si>
  <si>
    <t>SEA-SALT PARTICLES; CHEMISTRY-INVESTIGATION ANTCI; REACTIVE NITROGEN-OXIDES; DOME-FUJI STATION; BOUNDARY-LAYER; SOUTH-POLE; COASTAL ANTARCTICA; TROPOSPHERIC-CHEMISTRY; SEASONAL-VARIATIONS; DUMONT DURVILLE</t>
  </si>
  <si>
    <t>Measurements of aerosol number concentrations and direct aerosol sampling were conducted on continental Antarctica during the traverse of the Japanese-Swedish joint Antarctic expedition (JASE) from 14 November 2007 until 24 January 2008. Aerosol concentrations in background conditions decreased gradually with latitude in inland regions during the traverse. The lowest aerosol number concentrations were 160 L-1 in D-p &gt; 0.3 mu m, and 0.5 L-1 in Dp &gt; 2 mu m. In contrast, aerosol concentrations reached 3278 L-1 in Dp &gt; 0.3 mu m, and 215 L-1 in Dp &gt; 2 mu m under strong wind conditions. The estimated aerosol mass concentrations were 0.04-5.7 mu gm(-3). Single particle analysis of aerosol particles collected during the JASE traverse was conducted using a scanning electron microscope equipped with an energy dispersive x ray spectrometer. Major aerosol constituents were sulfates in fine mode, and sulfate, sea salts, modified sea salts, and fractionated sea salts in coarse mode. K-rich sulfates, Mg-rich sulfate, Ca-rich sulfates, and minerals were identified as minor aerosol constituents. Horizontal features of Cl/Na ratios imply that sea-salt modification (i.e. Cl loss) occurred on the Antarctic continent during the summer. Most sea-salt particles in the continental region near the coast were modified with acidic sulfur species such as H2SO4 and CH3SO3H. By contrast, acidic species other than the acidic sulfur species (likely HNO3) contributed markedly to sea-salt modification in inland areas during the traverse. Mg-rich sea-salt particles and Mg-free sea-salt particles were present in coarse and fine modes from the coast to inland areas. These sea-salt particles might be associated with sea-salt fractionation on the snow surface of continental Antarctica.</t>
  </si>
  <si>
    <t>[Hara, K.] Fukuoka Univ, Fac Sci, Dept Earth Syst Sci, Fukuoka 81401, Japan; [Nakazawa, F.; Fujita, S.; Fukui, K.] Natl Inst Polar Res, Tokyo, Japan; [Enomoto, H.] Kitami Inst Technol, Kitami, Hokkaido 090, Japan; [Sugiyama, S.] Hokkaido Univ, Inst Low Temp Sci, Sapporo, Hokkaido 060, Japan</t>
  </si>
  <si>
    <t>Fukuoka University; Research Organization of Information &amp; Systems (ROIS); National Institute of Polar Research (NIPR) - Japan; Kitami Institute of Technology; Hokkaido University</t>
  </si>
  <si>
    <t>Hara, K (corresponding author), Fukuoka Univ, Fac Sci, Dept Earth Syst Sci, Fukuoka 81401, Japan.</t>
  </si>
  <si>
    <t>harakei@fukuoka-u.ac.jp</t>
  </si>
  <si>
    <t>Sugiyama, Shin/C-2511-2012; Nakazawa, Fumio/R-4031-2018; Hara, Keiichiro/N-8264-2018; Fujita, Shuji/A-7884-2016; FUKUI, Kotaro/H-5600-2018</t>
  </si>
  <si>
    <t>Hara, Keiichiro/0000-0001-7440-7776; Fujita, Shuji/0000-0003-0127-0777; FUKUI, Kotaro/0000-0003-2106-0232</t>
  </si>
  <si>
    <t>Swedish Research Council (VR); Japan Society for the Promotion of Science (JSPS) [20241007]; Grants-in-Aid for Scientific Research [20241007] Funding Source: KAKEN</t>
  </si>
  <si>
    <t>Swedish Research Council (VR)(Swedish Research Council); 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</si>
  <si>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The JASE traverse was organized by several organizations both in Sweden and Japan. The National Institute of Polar Research (NIPR), Tokyo and the Swedish Polar Research Secretariat (SPRS) managed the logistics in Antarctica. Science management was a collaborative effort of NIPR, Stockholm University, the Royal Institute of Technology in Stockholm and individuals from several universities and institutes in Japan. The JASE traverse is one research project undertaken by the Japanese Antarctic Research Expedition Studies on systems for climate change and ice sheet change, by introducing new observational methods and technologies. We thank JARE48 wintering members and JARE49 members for logistic support of the JASE traverse. Special thanks are extended to the logistics members, S. Gunnarsson, H. Kaneko, T. Karlberg, P. Ljusberg and K. Taniguchi and the medical doctors, S. Eriksson and N. Shiga, for their very generous support during the traverse. We thank anonymous referees for helpful and useful comments to improve our paper. This research was supported by the Swedish Research Council (VR) and by a Grant-in-Aid for Scientific Research (A) 20241007 from the Japan Society for the Promotion of Science (JSPS).</t>
  </si>
  <si>
    <t>1680-7316</t>
  </si>
  <si>
    <t>1680-7324</t>
  </si>
  <si>
    <t>ATMOS CHEM PHYS</t>
  </si>
  <si>
    <t>Atmos. Chem. Phys.</t>
  </si>
  <si>
    <t>10.5194/acp-14-10211-2014</t>
  </si>
  <si>
    <t>AS3GM</t>
  </si>
  <si>
    <t>WOS:000344165600004</t>
  </si>
  <si>
    <t>Sackett, O; Armand, L; Beardall, J; Hill, R; Doblin, M; Connelly, C; Howes, J; Stuart, B; Ralph, P; Heraud, P</t>
  </si>
  <si>
    <t>Sackett, O.; Armand, L.; Beardall, J.; Hill, R.; Doblin, M.; Connelly, C.; Howes, J.; Stuart, B.; Ralph, P.; Heraud, P.</t>
  </si>
  <si>
    <t>Taxon-specific responses of Southern Ocean diatoms to Fe enrichment revealed by synchrotron radiation FTIR microspectroscopy</t>
  </si>
  <si>
    <t>BIOGEOSCIENCES</t>
  </si>
  <si>
    <t>TRANSFORM INFRARED-SPECTROSCOPY; IRON EXPERIMENT SOFEX; BIOGENIC SILICA; PHYTOPLANKTON; PLANKTON; GROWTH; TOOL; CLASSIFICATION; MICROORGANISMS; IDENTIFICATION</t>
  </si>
  <si>
    <t>Photosynthesis by marine diatoms contributes substantially to global biogeochemical cycling and ecosystem productivity. It is widely accepted that diatoms are extremely sensitive to changes in Fe availability, with numerous in situ experiments demonstrating rapid growth and increased export of elements (e. g. C, Si and Fe) from surface waters as a result of Fe addition. Less is known about the effects of Fe enrichment on the phenotypes of diatoms, such as associated changes in nutritional value - furthermore, data on taxon-specific responses are almost non-existent. Enhanced supply of nutrient-rich waters along the coast of the sub-antarctic Kerguelen Island provide a valuable opportunity to examine the responses of phytoplankton to natural Fe enrichment. Here we demonstrate the use of synchrotron radiation Fourier Transform Infrared (SR-FTIR) microspectroscopy to analyse changes in the macromolecular composition of diatoms collected along the coast and plateau of Kerguelen Island, Southern Ocean. SR-FTIR microspectroscopy enabled the analysis of individual diatom cells from mixed communities of field-collected samples, thereby providing insight into in situ taxon-specific responses in relation to changes in Fe availability. Phenotypic responses were taxon-specific in terms of intraspecific variability and changes in proteins, amino acids, phosphorylated molecules, silicate/silicic acid and carbohydrates. In contrast to some previous studies, silicate/silicic acid levels increased under Fe enrichment, in conjunction with increases in carbohydrate stores. The highly abundant taxon Fragilariopsis kerguelensis displayed a higher level of phenotypic plasticity than Pseudo-nitzschia spp., while analysis of the data pooled across all measured taxa showed different patterns in macromolecular composition compared to those for individual taxon. This study demonstrates that taxon-specific responses to Fe enrichment may not always be accurately reflected by bulk community measurements, highlighting the need for further research into taxon-specific phenotypic responses of phytoplankton to environmental change.</t>
  </si>
  <si>
    <t>[Sackett, O.; Doblin, M.; Howes, J.; Ralph, P.] Univ Technol Sydney, Plant Funct Biol &amp; Climate Change Cluster C3, Sydney, NSW 2007, Australia; [Sackett, O.; Beardall, J.; Heraud, P.] Monash Univ, Sch Biol Sci, Clayton, Vic 3800, Australia; [Sackett, O.; Heraud, P.] Monash Univ, Ctr Biospect, Sch Chem, Clayton, Vic 3800, Australia; [Armand, L.] Macquarie Univ, Dept Biol Sci &amp; Climate Futures, N Ryde, NSW 2109, Australia; [Hill, R.] Univ New S Wales, Ctr Marine Bioinnovat, Sydney, NSW 2052, Australia; [Connelly, C.] Deakin Univ, Sch Life &amp; Environm Sci, Geelong, Vic 3217, Australia; [Stuart, B.] Univ Technol Sydney, Sch Chem, Sydney, NSW 2007, Australia</t>
  </si>
  <si>
    <t>University of Technology Sydney; Monash University; Monash University; Macquarie University; University of New South Wales Sydney; Deakin University; University of Technology Sydney</t>
  </si>
  <si>
    <t>Heraud, P (corresponding author), Monash Univ, Sch Biol Sci, Clayton, Vic 3800, Australia.</t>
  </si>
  <si>
    <t>phil.heraud@monash.edu</t>
  </si>
  <si>
    <t>Doblin, Martina/L-1804-2019; Ralph, Peter/L-1527-2019; Hill, Ross/E-6075-2013; Beardall, John/L-5262-2019; Howes, Johanna/JXN-0030-2024; Armand, Leanne K/C-9004-2009</t>
  </si>
  <si>
    <t>Doblin, Martina/0000-0001-8750-3433; Ralph, Peter/0000-0002-3103-7346; Hill, Ross/0000-0002-4623-1563; Beardall, John/0000-0001-7684-446X; Howes, Johanna/0009-0002-1398-497X; Stuart, Barbara/0000-0001-9540-4435; Connelly, Christine/0000-0002-4140-8470; Heraud, Philip/0000-0003-4377-9184; Armand, Leanne/0000-0003-3995-308X</t>
  </si>
  <si>
    <t>Australian Antarctic Division [3214]</t>
  </si>
  <si>
    <t>We thank Stephane Blain (Chief Scientist) and Bernard Queguiner (Voyage Leader) for inviting and supporting L. Armand's and O. Sackett's participation in the KEOPS2 programme. The captain of the RV Marion Dufresne II, Cmd. B. Lassiette, and his crew, and all scientific members of KEOPS2 community are acknowledged. L. Armand's participation in KEOPS2 was supported by an Australian Antarctic Division grant (#3214). This research was undertaken on the infrared microscopy beamline at the Australian Synchrotron, Victoria, Australia with beamtime awarded on the basis of merit, as part of a peer-reviewed provision process. We thank beamline scientists, Mark Tobin and Keith Bambery, for their assistance with the synchrotron measurements.</t>
  </si>
  <si>
    <t>1726-4170</t>
  </si>
  <si>
    <t>1726-4189</t>
  </si>
  <si>
    <t>Biogeosciences</t>
  </si>
  <si>
    <t>10.5194/bg-11-5795-2014</t>
  </si>
  <si>
    <t>AT0UD</t>
  </si>
  <si>
    <t>Green Submitted, Green Accepted, Green Published, gold</t>
  </si>
  <si>
    <t>WOS:000344649300009</t>
  </si>
  <si>
    <t>Closset, I; Lasbleiz, M; Leblanc, K; Quéguiner, B; Cavagna, AJ; Elskens, M; Navez, J; Cardinal, D</t>
  </si>
  <si>
    <t>Closset, I.; Lasbleiz, M.; Leblanc, K.; Queguiner, B.; Cavagna, A. -J.; Elskens, M.; Navez, J.; Cardinal, D.</t>
  </si>
  <si>
    <t>Seasonal evolution of net and regenerated silica production around a natural Fe-fertilized area in the Southern Ocean estimated with Si isotopic approaches</t>
  </si>
  <si>
    <t>BIOGENIC SILICA; IRON FERTILIZATION; KERGUELEN PLATEAU; DISSOLUTION RATES; MARINE DIATOMS; ORGANIC-CARBON; PACIFIC SECTOR; ANTARCTIC ZONE; ACID UPTAKE; NUTRIENT</t>
  </si>
  <si>
    <t>A massive diatom bloom is observed each year in the surface waters of the naturally Fe-fertilized Kerguelen Plateau (Southern Ocean). We measured biogenic silica production and dissolution fluxes (rho Si and rho Diss, respectively) in the mixed layer in the vicinity of the Kerguelen Plateau during austral spring 2011 (KEOPS-2 cruise). We compare results from a high-nutrient low-chlorophyll reference station and stations with different degrees of iron enrichment and bloom conditions. Above the plateau biogenic rho Si are among the highest reported so far in the Southern Ocean (up to 47.9 mmol m(-2) d(-1)). Although significant (10.2 mmol m(-2) d(-1) on average), rho Diss were generally much lower than production rates. Uptake ratios (rho Si : rho C and rho Si : rho N) confirm that diatoms strongly dominate primary production in this area. At the bloom onset, decreasing dissolution-to-production ratios (D : P) indicate that the remineralization of silica could sustain most of the low silicon uptake and that the system progressively shifts toward a silica production regime which must be mainly supported by new source of silicic acid. Moreover, by comparing results from the two KEOPS expeditions (spring 2011 and summer 2005), we suggest that there is a seasonal evolution of the processes decoupling Si and N cycles in the area. Indeed, the consumption of H4SiO4 standing stocks occurs only during the growing stage of the bloom when strong net silica production is observed, contributing to higher H4SiO4 depletion relative to NO3-. Then, the decoupling of H4SiO4 and NO3- is mainly controlled by the more efficient nitrogen recycling relative to Si. Gross Si : N uptake ratios were higher in the Fe-rich regions compared to the high-nutrient low-chlorophyll (HNLC) area, likely due to different diatom communities. This suggests that the diatom responses to natural Fe fertilization are more complex than previously thought, and that natural iron fertilization over long timescales does not necessarily decrease Si : N uptake ratios as suggested by the silicic acid leakage hypothesis. Finally, we propose the first seasonal estimate of the Si biogeochemical budget above the Kerguelen Plateau based on direct measurements. This study points out that naturally iron-fertilized areas of the Southern Ocean could sustain very high regimes of biogenic silica production, similar to those observed in highly productive upwelling systems.</t>
  </si>
  <si>
    <t>[Closset, I.; Cardinal, D.] Univ Paris 06, Sorbonne Univ, LOCEAN Lab, CNRS,IRD,MNHN, F-75005 Paris, France; [Lasbleiz, M.; Leblanc, K.; Queguiner, B.] Univ Toulon &amp; Var, Aix Marseille Univ, MIO UM110, CNRS,IRD, F-13288 Marseille, France; [Cavagna, A. -J.; Elskens, M.] Vrije Univ Brussel, B-1050 Brussels, Belgium; [Navez, J.; Cardinal, D.] Royal Museum Cent Africa, Dept Earth Sci, B-3080 Tervuren, Belgium</t>
  </si>
  <si>
    <t>Sorbonne Universite; Museum National d'Histoire Naturelle (MNHN); Centre National de la Recherche Scientifique (CNRS); Institut de Recherche pour le Developpement (IRD); Centre National de la Recherche Scientifique (CNRS); Aix-Marseille Universite; Universite de Toulon; Institut de Recherche pour le Developpement (IRD); Vrije Universiteit Brussel; Royal Museum for Central Africa</t>
  </si>
  <si>
    <t>Closset, I (corresponding author), Univ Paris 06, Sorbonne Univ, LOCEAN Lab, CNRS,IRD,MNHN, 4 Pl Jussieu, F-75005 Paris, France.</t>
  </si>
  <si>
    <t>ivia.closset@locean-ipsl.upmc.fr</t>
  </si>
  <si>
    <t>Leblanc, Karine/C-6029-2009; Cardinal, Damien/AAM-6215-2021; Quéguiner, Bernard/B-4060-2008</t>
  </si>
  <si>
    <t>Cardinal, Damien/0000-0003-1238-8412; Quéguiner, Bernard/0000-0001-5020-8297; Closset, Ivia/0000-0002-6286-3296</t>
  </si>
  <si>
    <t>French research program of INSU-CNRS LEFE-CYBER (Les enveloppes fluides et l'environnement - Cycles biogeochimiques, environnement et ressources); French ANR (Agence Nationale de la Recherche, SIMI-6 program); French CNES (Centre National d'Etudes Spatiales); French Polar Institute IPEV (Institut Polaire Paul-Emile Victor); European Union [294146]</t>
  </si>
  <si>
    <t>French research program of INSU-CNRS LEFE-CYBER (Les enveloppes fluides et l'environnement - Cycles biogeochimiques, environnement et ressources); French ANR (Agence Nationale de la Recherche, SIMI-6 program)(Agence Nationale de la Recherche (ANR)); French CNES (Centre National d'Etudes Spatiales); French Polar Institute IPEV (Institut Polaire Paul-Emile Victor); European Union(European Union (EU))</t>
  </si>
  <si>
    <t>The authors would like to thank Stephane Blain as the KEOPS-2 project coordinator and the captain and the crew of the R/V Marion Dufresne II for assistance on board. We are also especially grateful to Luc Andre who allowed access to the HR-SF-ICP-MS at the Royal Museum of Central Africa. We thank the two anonymous reviewers for their constructive and helpful comments. This work was supported by the French research program of INSU-CNRS LEFE-CYBER (Les enveloppes fluides et l'environnement - Cycles biogeochimiques, environnement et ressources), the French ANR (Agence Nationale de la Recherche, SIMI-6 program), the French CNES (Centre National d'Etudes Spatiales) and the French Polar Institute IPEV (Institut Polaire Paul-Emile Victor). The research leading to these results has also received funding from the European Union Seventh Framework Programme under grant agreement no. 294146 (MuSiCC Marie Curie CIG).</t>
  </si>
  <si>
    <t>10.5194/bg-11-5827-2014</t>
  </si>
  <si>
    <t>WOS:000344649300011</t>
  </si>
  <si>
    <t>O'Brien, PE; Harris, PT; Post, AL; Young, N</t>
  </si>
  <si>
    <t>Chiocci, FL; Chivas, AR</t>
  </si>
  <si>
    <t>O'Brien, P. E.; Harris, P. T.; Post, A. L.; Young, N.</t>
  </si>
  <si>
    <t>East Antarctic continental shelf: Prydz Bay and the Mac. Robertson Land Shelf</t>
  </si>
  <si>
    <t>CONTINENTAL SHELVES OF THE WORLD: THEIR EVOLUTION DURING THE LAST GLACIO-EUSTATIC CYCLE</t>
  </si>
  <si>
    <t>Geological Society Memoirs</t>
  </si>
  <si>
    <t>AMERY ICE SHELF; PRINCE-CHARLES MOUNTAINS; LARSEMANN HILLS; GROUNDING ZONE; VESTFOLD HILLS; ODP SITE-1166; WATER MASSES; SHEET; SEDIMENTATION; SEA</t>
  </si>
  <si>
    <t>Prydz Bay and the Mac. Robertson Land Shelf exhibit many of the variations seen on Antarctic continental shelves. The Mac. Robertson shelf is relatively narrow with rugged, inner-shelf topography and shallow outer-shelf banks swept by the west-flowing Antarctic Coastal Current. U-shaped valleys cut across the shelf. It has thin sedimentary cover, deposited and eroded by cycles of glacial advance and retreat through the Neogene and Quaternary. Modern sedimentation is diatom-rich siliceous, muddy ooze in shelf deeps, while, on the banks, phytodetritus, calcareous bioclasts and terrigenous material are mixed by iceberg ploughing. Prydz Bay is a large embayment fed by the Amery Ice Shelf. It has a broad inner-shelf deep area and outer bank, with depths ranging from 2400 m beneath the ice shelf to 100 m on the outer banks. A clockwise gyre flows through the bay. Fine mud and siliceous ooze drape the seafloor; however, banks are scoured by icebergs to depths as great as 500 m. The Mac. Robertson shelf has seen advances to the shelf edge during glacial episodes and retreat during warming and rising sea level. Prydz Bay shows more complexity, with parts of the bay showing partial advance of the ice-grounding zone.</t>
  </si>
  <si>
    <t>[O'Brien, P. E.] Macquarie Univ, Dept Geog &amp; Environm, Sydney, NSW 2109, Australia; [Harris, P. T.; Post, A. L.] Geosci Australia, Canberra, ACT 378, Australia; [Young, N.] Antarctic Climate &amp; Ecosyst CRC, Hobart, Tas 7001, Australia; [Young, N.] Australian Antarctic Div, Hobart, Tas 7001, Australia</t>
  </si>
  <si>
    <t>Macquarie University; University of Tasmania; Australian Antarctic Division</t>
  </si>
  <si>
    <t>O'Brien, PE (corresponding author), Macquarie Univ, Dept Geog &amp; Environm, Sydney, NSW 2109, Australia.</t>
  </si>
  <si>
    <t>phil.obrien.ant@gmail.com</t>
  </si>
  <si>
    <t>Harris, Peter/AAI-7100-2020</t>
  </si>
  <si>
    <t>Post, Alexandra/0000-0002-6287-3283; Young, Neal/0000-0001-9729-3273; O'Brien, Philip/0000-0003-3446-3292</t>
  </si>
  <si>
    <t>GEOLOGICAL SOC PUBLISHING HOUSE</t>
  </si>
  <si>
    <t>BATH</t>
  </si>
  <si>
    <t>UNIT 7, BRASSMILL ENTERPRISE CTR, BRASSMILL LANE, BATH BA1 3JN, AVON, ENGLAND</t>
  </si>
  <si>
    <t>0435-4052</t>
  </si>
  <si>
    <t>978-1-86239-686-9</t>
  </si>
  <si>
    <t>GEOL SOC MEM</t>
  </si>
  <si>
    <t>10.1144/M41.18</t>
  </si>
  <si>
    <t>BB5KB</t>
  </si>
  <si>
    <t>WOS:000343917800018</t>
  </si>
  <si>
    <t>Häder, DP; Villafañe, VE; Helbling, EW</t>
  </si>
  <si>
    <t>Haeder, Donat-P.; Villafane, Virginia E.; Helbling, E. Walter</t>
  </si>
  <si>
    <t>Productivity of aquatic primary producers under global climate change</t>
  </si>
  <si>
    <t>PHOTOCHEMICAL &amp; PHOTOBIOLOGICAL SCIENCES</t>
  </si>
  <si>
    <t>SOLAR ULTRAVIOLET-RADIATION; FRESH-WATER PHYTOPLANKTON; MARGINAL ICE-ZONE; AMINO-ACIDS MAAS; ENHANCED UV-B; TEMPERATE MARINE-PHYTOPLANKTON; DISSOLVED ORGANIC-MATTER; KRILL EUPHAUSIA-SUPERBA; INDUCED DNA-DAMAGE; SEA-ICE</t>
  </si>
  <si>
    <t>The productivity of aquatic primary producers depends on a number of biotic and abiotic factors, such as pH, CO2 concentration, temperature, nutrient availability, solar UV and PAR irradiances, mixing frequency as well as herbivore pressure and the presence of viruses, among others. The effects of these factors, within a climate change context, may be additive, synergistic or antagonistic. Since some of them, e.g. solar radiation and temperature, vary along a latitudinal gradient, this perspective about the effects of global climate change on primary producers will consider ecosystems individually, separated into polar (Arctic and Antarctic), temperate and tropical waters. As coastal waters are characterized by lower light penetration and higher DOM and nutrient concentrations, they are considered in a separate section. Freshwater systems are also governed by different conditions and therefore also treated in their own section. Overall, we show that although there are general common trends of changes in variables associated with global change (e.g. the impact of UVR on photosynthesis tends to decrease with increasing temperature and nutrient input), the responses of aquatic primary producers have great variability in the different ecosystems across latitudes. This is mainly due to direct or indirect effects associated with physico-chemical changes that occur within water bodies. Therefore we stress the need for regional predictions on the responses of primary producers to climate change as it is not warranted to extrapolate from one system to another.</t>
  </si>
  <si>
    <t>[Villafane, Virginia E.; Helbling, E. Walter] Argentina &amp; Consejo Nacl Invest Cient &amp; Tecn CONI, Estn Fotobiol Playa Union, Santa Fe, Argentina</t>
  </si>
  <si>
    <t>Häder, DP (corresponding author), Neue Str 9, D-91096 Mohrendorf, Germany.</t>
  </si>
  <si>
    <t>donat@dphaeder.de</t>
  </si>
  <si>
    <t>Villafane, Virginia/0000-0002-9552-6069; Helbling, E. Walter/0000-0003-2478-2281</t>
  </si>
  <si>
    <t>Consejo Nacional de Investigaciones Cientificas y Tecnicas - CONICET [PIP 11220100100228]; Agencia Nacional de Promocion Cientifica y Tecnologica - ANPCyT [PICT 2012-0271]; Fundacion Playa Union</t>
  </si>
  <si>
    <t>Consejo Nacional de Investigaciones Cientificas y Tecnicas - CONICET(Consejo Nacional de Investigaciones Cientificas y Tecnicas (CONICET)); Agencia Nacional de Promocion Cientifica y Tecnologica - ANPCyT(ANPCyTSpanish Government); Fundacion Playa Union</t>
  </si>
  <si>
    <t>We thank for the comments and suggestions of two anonymous reviewers that helped in improving our manuscript. This work was supported by Consejo Nacional de Investigaciones Cientificas y Tecnicas - CONICET (PIP 11220100100228), Agencia Nacional de Promocion Cientifica y Tecnologica - ANPCyT (PICT 2012-0271) and Fundacion Playa Union. This is contribution no. 140 of Estacion de Fotobiologia Playa Union.</t>
  </si>
  <si>
    <t>1474-905X</t>
  </si>
  <si>
    <t>1474-9092</t>
  </si>
  <si>
    <t>PHOTOCH PHOTOBIO SCI</t>
  </si>
  <si>
    <t>Photochem. Photobiol. Sci.</t>
  </si>
  <si>
    <t>10.1039/c3pp50418b</t>
  </si>
  <si>
    <t>Biochemistry &amp; Molecular Biology; Biophysics; Chemistry, Physical</t>
  </si>
  <si>
    <t>Biochemistry &amp; Molecular Biology; Biophysics; Chemistry</t>
  </si>
  <si>
    <t>AS0TJ</t>
  </si>
  <si>
    <t>WOS:000343991200001</t>
  </si>
  <si>
    <t>Rivaro, P; Messa, R; Ianni, C; Magi, E; Budillon, G</t>
  </si>
  <si>
    <t>Rivaro, Paola; Messa, Roberta; Ianni, Carmela; Magi, Emanuele; Budillon, Giorgio</t>
  </si>
  <si>
    <t>Distribution of total alkalinity and pH in the Ross Sea (Antarctica) waters during austral summer 2008</t>
  </si>
  <si>
    <t>Total alkalinity; pH; saturation state; Terra Nova Bay polynya; Ross Sea</t>
  </si>
  <si>
    <t>NET COMMUNITY PRODUCTION; TERRA-NOVA BAY; SOUTHERN-OCEAN; SURFACE-WATER; CO2 EXCHANGE; ICE SHELF; PHYTOPLANKTON; CIRCULATION; TEMPERATURES; CHLOROPHYLL</t>
  </si>
  <si>
    <t>Measurements of total alkalinity (AT) and pH were made in the Ross Sea in January-February 2008 in order to characterize the carbonate system in the Ross Sea and to evaluate the variability associated with different water masses. The main water masses of the Ross Sea, Antarctic Surface Water, High Salinity Shelf Water (HSSW), Deep Ice Shelf Water, Circumpolar Deep Water (CDW) and Antarctic Bottom Water, were identified on the basis of the physical and chemical data. In particular, the AT ranged between 2275 and 2374 mu mol kg(-1) with the lowest values in the surface waters (2275-2346 mu mol kg(-1)), where the influence of the sea-ice melting and of the variability of the physical properties was significant. In the deep layers of the water column, the AT maxima were measured in correspondence to the preferential pathways of the spreading HSSW. The pH had variable values in the surface layer (7.890-8.033) with the highest values in Terra Nova Bay and Ross Sea polynyas. A low pH (7.969 +/- 0.025) traced the intrusion of the CDW in the Ross Sea shelf area. All samples revealed waters that were oversaturated with respect to both calcite and aragonite, but near corrosive levels of aragonite saturation state (Omega ca. 1.1-1.2) were associated with the entrainment of CDW over the slope. Aragonite undersaturation is of particular concern for the zooplankton species comprising to calcifying organisms such as pteropods. The partial pressure of CO2 at the sea surface was undersaturated with respect to the atmospheric value, particularly in Terra Nova Bay and the Ross Sea polynyas, but a large variability in the sea-air CO2 fluxes was observed associated with different responses in the strength of the biological and physical processes.</t>
  </si>
  <si>
    <t>[Rivaro, Paola; Messa, Roberta; Ianni, Carmela; Magi, Emanuele] Univ Genoa, Dept Chem &amp; Ind Chem, IT-16146 Genoa, Italy; [Budillon, Giorgio] Parthenope Univ, Ctr Direz, Dept Environm Sci, IT-80143 Naples, Italy</t>
  </si>
  <si>
    <t>University of Genoa; Parthenope University Naples</t>
  </si>
  <si>
    <t>Rivaro, P (corresponding author), Univ Genoa, Dept Chem &amp; Ind Chem, Via Dodecaneso 31, IT-16146 Genoa, Italy.</t>
  </si>
  <si>
    <t>rivaro@chimica.unige.it</t>
  </si>
  <si>
    <t>Magi, Emanuele/C-9564-2011; Budillon, Giorgio/O-5348-2014</t>
  </si>
  <si>
    <t>Magi, Emanuele/0000-0002-8183-5020; Budillon, Giorgio/0000-0003-1756-2221</t>
  </si>
  <si>
    <t>Italian National Agency for New Technologies, Energy and Sustainable Economic Development through a joint research programme</t>
  </si>
  <si>
    <t>This study was carried out as part of the PNRA CLIMA and Terranova bay Research Experiment (T-REX) projects and was funded by the Italian National Agency for New Technologies, Energy and Sustainable Economic Development through a joint research programme. The help of the crew on the RV Italica is kindly acknowledged. The authors are grateful to Prof. G.L. Gragnani (University of Genoa) for the calculation performed by GnuPlot software. SeaWIFS analyses and visualizations used in this paper were produced with the Giovanni online data system, developed and maintained by the National Aeronautics and Space Administration's Goddard Earth Sciences Data and Information Services Center. We thank Novilinguists Multimedia for the English editing. The comments and the suggestions of the referees were greatly appreciated and improved this paper.</t>
  </si>
  <si>
    <t>10.3402/polar.v33.20403</t>
  </si>
  <si>
    <t>AS1OJ</t>
  </si>
  <si>
    <t>WOS:000344049800001</t>
  </si>
  <si>
    <t>Rosenfeld, S; Ojeda, J; Hüne, M; Mansilla, A; Contador, T</t>
  </si>
  <si>
    <t>Rosenfeld, Sebastian; Ojeda, Jaime; Huene, Mathias; Mansilla, Andres; Contador, Tamara</t>
  </si>
  <si>
    <t>Egg masses of the Patagonian squid Doryteuthis (Amerigo) gahi attached to giant kelp (Macrocystis pyrifera) in the sub-Antarctic ecoregion</t>
  </si>
  <si>
    <t>Doryteuthis; egg masses; giant kelp; Patagonian squid; sub-Antarctic ecoregion</t>
  </si>
  <si>
    <t>C. AGARDH</t>
  </si>
  <si>
    <t>Egg masses of the Patagonian squid Doryteuthis (Amerigo) gahi attached to giant kelp (Macrocystis pyrifera) in the Magellanic channels of the sub-Antarctic ecoregion in southern South America is documented for the first time. Of seven egg masses observed between 2008 and 2011, one was taken to the laboratory to be analysed and photographed. Comprising long transparent capsules containing eggs, the masses were strongly attached to the stipes of M. pyrifera. This macroalgae is a potentially important economic resource due to its multiple industrial uses; this study shows that it also serves an important ecological role as a spawning substrate for D. gahi.</t>
  </si>
  <si>
    <t>[Rosenfeld, Sebastian; Ojeda, Jaime; Mansilla, Andres] Univ Magallanes, Lab Antarctic &amp; Subantarctic Macroalgae, Punta Arenas, Chile; [Rosenfeld, Sebastian; Ojeda, Jaime; Huene, Mathias; Mansilla, Andres; Contador, Tamara] Inst Ecol &amp; Biodivers, Santiago, Chile; [Ojeda, Jaime; Mansilla, Andres; Contador, Tamara] Univ Magallanes, Punta Arenas, Chile; [Huene, Mathias] Ichthyol Fdn, Santiago, Chile; [Contador, Tamara] Univ Magallanes, Wankara Freshwater Ecol Lab, Punta Arenas, Chile</t>
  </si>
  <si>
    <t>Universidad de Magallanes; Universidad de Magallanes; Universidad de Magallanes</t>
  </si>
  <si>
    <t>Rosenfeld, S (corresponding author), Univ Magallanes, Lab Antarctic &amp; Subantarctic Macroalgae, Casilla 113-D, Punta Arenas, Chile.</t>
  </si>
  <si>
    <t>rosenfeld.sebastian@yahoo.com</t>
  </si>
  <si>
    <t>Ojeda, Jaime/HHN-1455-2022; Contador, Tamara/AAC-2161-2021; Hüne, Mathias/ABE-6000-2020</t>
  </si>
  <si>
    <t>Contador, Tamara/0000-0002-0250-9877; ojeda, jaime/0000-0003-3863-9750; Rosenfeld, Sebastian/0000-0002-4363-8018; Mansilla, Andres/0000-0003-3505-7018</t>
  </si>
  <si>
    <t>Institute of Ecology and Biodiversity, Chile [ICM P05-002, P05-002, PFB23-2008]; AM Millennium Scientific Initiative, Chile [P05-002 ICM]; Basal Financing Program of the Comision Nacional de Investigacion Cientifica y Tecnologica, Chile [PFB-23]</t>
  </si>
  <si>
    <t>Institute of Ecology and Biodiversity, Chile; AM Millennium Scientific Initiative, Chile; Basal Financing Program of the Comision Nacional de Investigacion Cientifica y Tecnologica, Chile(Comision Nacional de Investigacion Cientifica y Tecnologica (CONICYT)CONICYT PIA/BASAL)</t>
  </si>
  <si>
    <t>SR acknowledges his scholarship from the Institute of Ecology and Biodiversity, Chile (code ICM P05-002) and his Master of Science in Conservations and Management of Sub-Antarctic Ecosystem at the University of Magellan. JO acknowledges his scholarship from the Institute of Ecology and Biodiversity, Chile (code P05-002). MH acknowledges his scholarship from the Institute of Ecology and Biodiversity, Chile (code PFB23-2008). AM would like to thank the AM Millennium Scientific Initiative (grant no. P05-002 ICM, Chile) and the Basal Financing Program of the Comision Nacional de Investigacion Cientifica y Tecnologica (grant no. PFB-23, Chile). The authors would like to thank the people of Patagonia Historica S.A. for their valuable support to our fieldwork in Punta Santa Ana. The authors also thank two anonymous referees for their contribution in improving the manuscript.</t>
  </si>
  <si>
    <t>OPEN ACADEMIA AB</t>
  </si>
  <si>
    <t>SPANGA</t>
  </si>
  <si>
    <t>STORMBYVAGEN 6, SPANGA, SE-163 55, SWEDEN</t>
  </si>
  <si>
    <t>10.3402/polar.v33.21636</t>
  </si>
  <si>
    <t>AS8DQ</t>
  </si>
  <si>
    <t>WOS:000344480800001</t>
  </si>
  <si>
    <t>Cowie, ROM; Williams, GJ; Maas, EW; Voyles, KM; Ryan, KG</t>
  </si>
  <si>
    <t>Cowie, Rebecca O. M.; Williams, Gareth J.; Maas, Elizabeth W.; Voyles, K. Matt; Ryan, Ken G.</t>
  </si>
  <si>
    <t>Antarctic sea-ice microbial communities show distinct patterns of zonation in response to algal-derived substrates</t>
  </si>
  <si>
    <t>Antarctica; Bacteria; Community structure; Ice core; Metabolic function; Phosphate; Protease; Sea ice</t>
  </si>
  <si>
    <t>16S RIBOSOMAL-RNA; BACTERIAL COMMUNITIES; ORGANIC-MATTER; MARINE WATERS; DIVERSITY; PHYTOPLANKTON; BACTERIOPLANKTON; TEMPERATURE; VARIABILITY; PHOSPHORUS</t>
  </si>
  <si>
    <t>Antarctic sea ice provides a stable environment for the colonisation of diverse and highly specialised microbes that play a central role in the assimilation and regulation of energy through the Antarctic food web. However, little is known about how the bacterial community composition changes within the sea ice, the functional role bacteria play in the sea-ice microbial loop, and the effect of variations in the environment on these patterns and processes. Using terminal restriction fragment length polymorphism (T-RFLP) analysis of the total (16S rRNA gene) and the active (16S rRNA) community, we characterised spatial patterns in Antarctic sea-ice bacterial communities (SIBCO). In addition, bacterial enzymatic activities were identified using synthetic fluorogenic substrates. Both bacterial community structure and enzymatic activity were compared to changing environmental conditions vertically down through the sea ice. The structure of the DNA-and RNA-derived bacterial communities exhibited strong vertical zonation through the ice. There was no direct relationship between changes in chlorophyll a (chl a) and bacterial numbers; however, there were direct relationships between chl a, bacterial community structure and metabolic function, thus providing evidence for a coupling of the microbial loop. The SIBCO were involved in phosphate recycling and selectively assimilated proteins over carbohydrates in response to the N- and P-poor environment. We propose that Antarctic sea ice has an active microbial loop in which the spatial dynamics of bacterial communities are influenced by algal-derived substrates and nutrient availability.</t>
  </si>
  <si>
    <t>[Cowie, Rebecca O. M.; Ryan, Ken G.] Victoria Univ Wellington, Sch Biol Sci, Wellington 6010, New Zealand; [Cowie, Rebecca O. M.; Maas, Elizabeth W.; Voyles, K. Matt] Natl Inst Water &amp; Atmospher Res NIWA, Wellington 6021, New Zealand; [Williams, Gareth J.] Univ Calif San Diego, Scripps Inst Oceanog, La Jolla, CA 92093 USA</t>
  </si>
  <si>
    <t>Victoria University Wellington; National Institute of Water &amp; Atmospheric Research (NIWA) - New Zealand; University of California System; University of California San Diego; Scripps Institution of Oceanography</t>
  </si>
  <si>
    <t>Ryan, KG (corresponding author), Victoria Univ Wellington, Sch Biol Sci, Wellington 6010, New Zealand.</t>
  </si>
  <si>
    <t>ken.ryan@vuw.ac.nz</t>
  </si>
  <si>
    <t>Ryan, Ken/0000-0001-7075-0112; Williams, Dr Gareth J./0000-0001-7837-1619</t>
  </si>
  <si>
    <t>Foundation of Research Science and Technology (FRST) [VICX-0706]</t>
  </si>
  <si>
    <t>Foundation of Research Science and Technology (FRST)(New Zealand Foundation for Research, Science and Technology)</t>
  </si>
  <si>
    <t>We acknowledge the logistical support of Antarctica New Zealand, in particular, S. Gordon, Project Manager of the Latitudinal Gradient Project. The authors thank Lisa Bryant, Simon Davy, Mark Heath and Eileen Koh for assistance with sample collection, Charles Lee for analysing the raw T-RFLP data and 3 anonymous reviewers for comments that greatly improved the manuscript. K. G. R. acknowledges the support of the Foundation of Research Science and Technology (FRST): contract number VICX-0706. This research was also funded in part by a FRST scholarship awarded to R.O.M.C.</t>
  </si>
  <si>
    <t>10.3354/ame01710</t>
  </si>
  <si>
    <t>AR4ZE</t>
  </si>
  <si>
    <t>WOS:000343594000003</t>
  </si>
  <si>
    <t>Gigova, L; Toshkova, R; Ivanova, N; Yossifova, L; Gardeva, E</t>
  </si>
  <si>
    <t>Gigova, Liliana; Toshkova, Reneta; Ivanova, Natalia; Yossifova, Liliya; Gardeva, Elena</t>
  </si>
  <si>
    <t>ANTITUMOUR ACTIVITY OF STREPTOMYCES SP (ACTINOBACTERIA) POLYSACCHARIDE</t>
  </si>
  <si>
    <t>COMPTES RENDUS DE L ACADEMIE BULGARE DES SCIENCES</t>
  </si>
  <si>
    <t>apoptosis; extracellular polysaccharides; Graffi myeloid tumour; in vitro; in vivo</t>
  </si>
  <si>
    <t>EXTRACELLULAR POLYSACCHARIDE; ANTIOXIDANT ENZYMES; MOLECULAR-WEIGHT; IN-VITRO; CATALASE</t>
  </si>
  <si>
    <t>The in vivo and in vitro antitumour activities of extracellular polysaccharide derived from the Antarctic Streptomyees sp. 1010 (StrEPS) were assessed and compared with those of the red microalga Dixoniella grisea polysaccharide (DixEPS). Experimental myeloid Graffi tumour in hamsters was used as a model. In vivo administration of StrEPS suppressed the tumour transplantability and growth, while the mean survival time of the tumour-bearing hamsters was increased. Genomic DNA of polysaccharide-treated cells displayed a concentration-dependent fragmentation pattern, typical for apoptosis. Apoptotic process was related to the increase in cellular superoxide dismutase activity coupled with a decrease in glutathione reductase activity and undetectable catalase activity. StrEPS exhibited antitumour potential and mechanism of action similar to those of DixEPS, despite the differences in the origin, the molecular weight and monosaccharide composition of the two polysaccharides. The results showed that the bacterial polysaccharide, like the red alga polysaccharide, might be a promising alternative to synthetic substances as a natural antitumour compound with potential for future pharmacological and medical applications.</t>
  </si>
  <si>
    <t>[Gigova, Liliana; Ivanova, Natalia] Bulgarian Acad Sci, Inst Plant Physiol &amp; Genet, Dept Expt Algol, BU-1113 Sofia, Bulgaria; [Toshkova, Reneta; Yossifova, Liliya; Gardeva, Elena] Bulgarian Acad Sci, Dept Pathol, Inst Expt Morphol Pathol &amp; Anthropol Museum, BU-1113 Sofia, Bulgaria</t>
  </si>
  <si>
    <t>Bulgarian Academy of Sciences; Bulgarian Academy of Sciences; Medical University Sofia</t>
  </si>
  <si>
    <t>Gigova, L (corresponding author), Bulgarian Acad Sci, Inst Plant Physiol &amp; Genet, Dept Expt Algol, Acad G Bonchev St,Bl 21, BU-1113 Sofia, Bulgaria.</t>
  </si>
  <si>
    <t>gigova01@gmail.com</t>
  </si>
  <si>
    <t>Ivanova, Natalia Evgenievna/ABA-8915-2021</t>
  </si>
  <si>
    <t>Bulgarian Science Fund [TKL-1604/2006, DO02-299/2008]</t>
  </si>
  <si>
    <t>Bulgarian Science Fund(National Science Fund of Bulgaria)</t>
  </si>
  <si>
    <t>This study was supported by research grants TKL-1604/2006; DO02-299/2008 from The Bulgarian Science Fund.</t>
  </si>
  <si>
    <t>PUBL HOUSE BULGARIAN ACAD SCI</t>
  </si>
  <si>
    <t>ACADEMICIAN G BONCEV ST, 1113 SOFIA, BULGARIA</t>
  </si>
  <si>
    <t>1310-1331</t>
  </si>
  <si>
    <t>CR ACAD BULG SCI</t>
  </si>
  <si>
    <t>C. R. Acad. Bulg. Sci.</t>
  </si>
  <si>
    <t>AR5NM</t>
  </si>
  <si>
    <t>WOS:000343631200010</t>
  </si>
  <si>
    <t>Suzuki, AC; Kristensen, RM</t>
  </si>
  <si>
    <t>Suzuki, Atsushi C.; Kristensen, Reinhardt Mobjerg</t>
  </si>
  <si>
    <t>Spermatozoa in the reproductive system of a hermaphroditic marine tardigrade, Orzeliscus belopus (Tardigrada: Arthrotardigrada)</t>
  </si>
  <si>
    <t>ZOOLOGISCHER ANZEIGER</t>
  </si>
  <si>
    <t>Ovotestis; Hermaphrodites; Ultrastructure; Sperm; Bermuda; Tardigrada</t>
  </si>
  <si>
    <t>HETEROTARDIGRADA; SPERMIOGENESIS; ULTRASTRUCTURE; ECHINISCOIDIDAE; EUTARDIGRADA; FAUNA</t>
  </si>
  <si>
    <t>Orzeliscus belopus has long been regarded as the only hermaphroditic marine tardigrade, yet there has been no published detailed information on its internal anatomy. Our study elucidates the ultrastructure of the ovotestis and the spermatozoa of Orzeliscus cf. belopus from Bermuda. The ovotestis had no septum to separate male and female germ cells and, while early stages of spermatogenesis were not observed, many spermatozoa were found at the periphery in both anterior and posterior areas of the gonad. The nucleus and the mitochondria of the spermatozoa in the ovotestis extend backward from the centriole region, forming a half-headed arrow-shape with the nucleus on the outer side of the 'arrowhead'. The cross section of a long vesicular body (the paranuclear vesicle) is dumbbell- or horseshoe-shaped and attached to almost the entire length of the nucleus. In the seminal receptacle, we found both a complete spermatozoon and some which started to degrade. There is an indication that sperm is further modified after discharge as within the receptacle duct the sperm is no longer half-headed arrow-shaped but has a straight nucleus. This modification might be correlated with the degeneration of the paranuclear vesicle. Our observations clearly show that O. belopus is a simultaneous hermaphrodite, and suggests that the reproductive mode includes copulation and cross-fertilization. (C) 2014 The Authors. Published by Elsevier GmbH. This is an open access article under the CC BY-NC-ND license (http://creativecommons.org/licenses/by-nc-nd/3.0/).</t>
  </si>
  <si>
    <t>[Suzuki, Atsushi C.] Keio Univ, Dept Biol, Yokohama, Kanagawa 2238521, Japan; [Kristensen, Reinhardt Mobjerg] Univ Copenhagen, Nat Hist Museum Denmark, Sect Biosystemat, DK-2100 Copenhagen, Denmark</t>
  </si>
  <si>
    <t>Keio University; University of Copenhagen</t>
  </si>
  <si>
    <t>Suzuki, AC (corresponding author), Keio Univ, Dept Biol, Yokohama, Kanagawa 2238521, Japan.</t>
  </si>
  <si>
    <t>chu@a6.keio.jp</t>
  </si>
  <si>
    <t>Suzuki, Atsushi C/AAO-9231-2020; Kristensen, Reinhardt Mobjerg/A-8772-2013; Suzuki, Atsushi/E-9704-2014</t>
  </si>
  <si>
    <t>Kristensen, Reinhardt Mobjerg/0000-0001-9549-1188; Suzuki, Atsushi/0000-0002-3027-7110</t>
  </si>
  <si>
    <t>Keio Gijuku Academic Development Funds; Smithsonian Institution, Washington D.C.; Carlsberg Foundation [9231988, 970345/30-488]; Danish Research Council [FNU 272-08-0576, 09-066003/FNU]</t>
  </si>
  <si>
    <t>Keio Gijuku Academic Development Funds; Smithsonian Institution, Washington D.C.(Smithsonian Institution); Carlsberg Foundation(Carlsberg Foundation); Danish Research Council(Det Frie Forskningsrad (DFF))</t>
  </si>
  <si>
    <t>The first author thanks all members of the Zoological Museum, Natural History Museum of Denmark, for their great hospitality during his stay there at the start of this work. Dr. Sandra McInnes (British Antarctic Survey, Cambridge) is greatly acknowledged for the English revision and comments on the manuscript. We are grateful to Professor Dr. Ojvind Moestrup and Dr. Gert Hansen (Department of Biology, Copenhagen University), for use of the TEM facility, and to Mrs. Else Schiott Hansen (former Institute of Comparative Anatomy, Copenhagen University) for making all the ultrasections. Finally, Professor Dr. Hans Ramlov (Roskilde University Centre (RUC), Denmark) and Dr. Wolfgang Sterrer (Former Director of Biological Station at Bermuda) are acknowledged for supporting the collections of Orzeliscus belopus in Egypt and Bermuda. This work was financially supported by grants from Keio Gijuku Academic Development Funds, Smithsonian Institution, Washington D.C., Carlsberg Foundation (Grant No. 9231988 and 970345/30-488) and the Danish Research Council (Grant No. FNU 272-08-0576 and 09-066003/FNU).</t>
  </si>
  <si>
    <t>ELSEVIER GMBH, URBAN &amp; FISCHER VERLAG</t>
  </si>
  <si>
    <t>JENA</t>
  </si>
  <si>
    <t>OFFICE JENA, P O BOX 100537, 07705 JENA, GERMANY</t>
  </si>
  <si>
    <t>0044-5231</t>
  </si>
  <si>
    <t>ZOOL ANZ</t>
  </si>
  <si>
    <t>Zool. Anz.</t>
  </si>
  <si>
    <t>10.1016/j.jcz.2014.07.003</t>
  </si>
  <si>
    <t>AR5NT</t>
  </si>
  <si>
    <t>WOS:000343631900007</t>
  </si>
  <si>
    <t>Karanovic, T</t>
  </si>
  <si>
    <t>Karanovic, Tomislav</t>
  </si>
  <si>
    <t>On the phylogeny of Euryteinae (Crustacea, Copepoda, Cyclopoida), with description of one new species from Korea</t>
  </si>
  <si>
    <t>Taxonomy; Phylogeny; Cladistics; Shallow littoral; New genus</t>
  </si>
  <si>
    <t>PATTERNS</t>
  </si>
  <si>
    <t>Euryte koreana sp. nov. is described from the shallow littoral on the East Coast of South Korea, and represents the first record of the subfamily Euryteinae Monchenko, 1974 in the Pacific Ocean north of the tropics. It belongs to a group of species that have the caudal rami length/width ratio of around four, but differs from all congeners by a number of morphological features. Detailed drawings and extensive scanning electron micrographs of many characters of ornamentation provided for this species should serve as a benchmark for distinguishing closely related species in this subfamily with conservative macro-morphology. A morphologically distinct population from anchialine caves in Mallorca, identified previously as Euryte longicauda Philippi, 1843, is described as another new species: Euryte jaumei sp. nov. To test the phylogenetic relationships of its members and previous hypotheses about generic placement of two species associated with scleractinian corals, several cladistic analyses are performed on all 16 currently recognized species of Euryteinae and two outgroups, Neocyclops australiensis Karanovic, 2008 and Troglocyclops janstocki Rocha and Iliffe, 1994, using 25 morphological characters. All resulting trees suggest a close relationship between the two commensal species and them as a sister clade to all other Euryteinae. They are transferred into a newly erected genus Coraleuryte gen. nov., as C bellatula (Humes, 1991) comb. nov. and C. verecunda (Humes, 1992) comb. nov., and a revised diagnoses is provided for the genus Euryte Philippi, 1843. Obtained cladograms also show that Ancheuryte Herbst, 1989 is nested deeply within the Euryte clade, so the genus is synonymized and its only species is transferred, as E. notabilis (Herbst, 1989) comb. nov. A key to species of Euryteinae is also provided. (C) 2014 Elsevier GmbH. All rights reserved.</t>
  </si>
  <si>
    <t>[Karanovic, Tomislav] Hanyang Univ, Dept Life Sci, Seoul 133791, South Korea; [Karanovic, Tomislav] Univ Tasmania, Inst Marine &amp; Antarctic Studies, Hobart, Tas 7001, Australia</t>
  </si>
  <si>
    <t>National Institute of Biological Resources (NIBR) - Ministry of Environment of the Republic of Korea (NIBR) [2013-02-001]</t>
  </si>
  <si>
    <t>National Institute of Biological Resources (NIBR) - Ministry of Environment of the Republic of Korea (NIBR)</t>
  </si>
  <si>
    <t>This work was supported by a grant from the National Institute of Biological Resources (NIBR), funded by the Ministry of Environment of the Republic of Korea (NIBR No. 2013-02-001). The scanning electron microscope was made available through Prof. Jin Hyun Jun (Eulji University, Seoul), and sincere thanks are extended to Mr. Junho Kim (Eulji University, Seoul) for the technical help provided. Professor Ivana Karanovic (Hanyang University, Seoul) provided help during field work. For the help in providing necessary facilities at the Hanyang University in Seoul, gratitude is extended to Prof. Wonchoel Lee and his many graduate students, and for securing some old references the help of Mr. Chad Walter (Smithsonian Institution, Washington) was invaluable. Constructive remarks of an anonymous reviewer improved the manuscript considerably.</t>
  </si>
  <si>
    <t>ELSEVIER GMBH</t>
  </si>
  <si>
    <t>MUNICH</t>
  </si>
  <si>
    <t>HACKERBRUCKE 6, 80335 MUNICH, GERMANY</t>
  </si>
  <si>
    <t>10.1016/j.jcz.2014.07.002</t>
  </si>
  <si>
    <t>WOS:000343631900008</t>
  </si>
  <si>
    <t>Hao, N; Koukouli, ME; Inness, A; Valks, P; Loyola, DG; Zimmer, W; Balis, DS; Zyrichidou, I; Van Roozendael, M; Lerot, C; Spurr, RJD</t>
  </si>
  <si>
    <t>Hao, N.; Koukouli, M. E.; Inness, A.; Valks, P.; Loyola, D. G.; Zimmer, W.; Balis, D. S.; Zyrichidou, I.; Van Roozendael, M.; Lerot, C.; Spurr, R. J. D.</t>
  </si>
  <si>
    <t>GOME-2 total ozone columns from MetOp-A/MetOp-B and assimilation in the MACC system</t>
  </si>
  <si>
    <t>ATMOSPHERIC MEASUREMENT TECHNIQUES</t>
  </si>
  <si>
    <t>ABSORPTION CROSS-SECTIONS; SENSORS GOME/ERS-2; PROFILE RETRIEVALS; TROPOSPHERIC NO2; ULTRAVIOLET; BREWER; DOBSON; SCIAMACHY/ENVISAT; SPECTROMETER; VALIDATION</t>
  </si>
  <si>
    <t>The two Global Ozone Monitoring Instrument (GOME-2) sensors operated in tandem are flying onboard EUMETSAT's (European Organisation for the Exploitation of Meteorological Satellites) MetOp-A and MetOp-B satellites, launched in October 2006 and September 2012 respectively. This paper presents the operational GOME-2/MetOp-A (GOME-2A) and GOME2/MetOp-B (GOME-2B) total ozone products provided by the EUMETSAT Satellite Application Facility on Ozone and Atmospheric Chemistry Monitoring (O3M-SAF). These products are generated using the latest version of the GOME Data Processor (GDP version 4.7). The enhancements in GDP 4.7, including the application of Brion-Daumont-Malicet ozone absorption cross sections, are presented here. On a global scale, GOME-2B has the same high accuracy as the corresponding GOME-2A products. There is an excellent agreement between the ozone total columns from the two sensors, with GOME-2B values slightly lower with a mean difference of only 0.55 +/- 0.29 %. First global validation results for 6 months of GOME-2B total ozone using ground-based measurements show that on average the GOME-2B total ozone data obtained with GDP 4.7 are slightly higher than, both, Dobson observations by about 2.0 +/- 1.0% and Brewer observations by about 1.0 +/- 0.8 %. It is concluded that the total ozone columns (TOCs) provided by GOME2A and GOME-2B are consistent and may be used simultaneously without introducing systematic effects, which has been illustrated for the Antarctic ozone hole on 18 October 2013. GOME-2A total ozone data have been used operationally in the Copernicus atmospheric service project MACC-II (Monitoring Atmospheric Composition and Climate - Interim Implementation) near-real-time (NRT) system since October 2013. The magnitude of the bias correction needed for assimilating GOME-2A ozone is reduced (to about -6DU in the global mean) when the GOME-2 ozone retrieval algorithm changed to GDP 4.7.</t>
  </si>
  <si>
    <t>[Hao, N.; Valks, P.; Loyola, D. G.; Zimmer, W.] Deutsch Zentrum Luft &amp; Raumfahrt DLR, IMF, Oberpfaffenhofen, Germany; [Koukouli, M. E.; Balis, D. S.; Zyrichidou, I.] Aristotle Univ Thessaloniki, Lab Atmospher Phys, GR-54006 Thessaloniki, Greece; [Inness, A.] ECMWF, Reading, Berks, England; [Van Roozendael, M.; Lerot, C.] Belgian Inst Space Aeron, Brussels, Belgium; [Spurr, R. J. D.] RT Solut Inc, Cambridge, MA USA</t>
  </si>
  <si>
    <t>Helmholtz Association; German Aerospace Centre (DLR); Aristotle University of Thessaloniki; European Centre for Medium-Range Weather Forecasts (ECMWF)</t>
  </si>
  <si>
    <t>Hao, N (corresponding author), Deutsch Zentrum Luft &amp; Raumfahrt DLR, IMF, Oberpfaffenhofen, Germany.</t>
  </si>
  <si>
    <t>nan.hao@dlr.de</t>
  </si>
  <si>
    <t>Koukouli, Maria Elissavet/O-9711-2019; Hao, Nan/B-9475-2011; Hao, Nan/A-4367-2016; Loyola, Diego/GYO-3213-2022; Zyrichidou, Irene/E-2168-2017</t>
  </si>
  <si>
    <t>Koukouli, Maria Elissavet/0000-0002-7509-4027; Zyrichidou, Irene/0000-0003-4837-7440; Loyola R., Diego G./0000-0002-8547-9350; Inness, Antje/0000-0003-0603-5389; Balis, Dimitris/0000-0003-1161-7746; Valks, Pieter/0000-0002-2846-7863</t>
  </si>
  <si>
    <t>O3M-SAF project; EUMETSAT; ESA-MOST Dragon 3 cooperation project [10455]; European Commission under the EU [283576]</t>
  </si>
  <si>
    <t>O3M-SAF project; EUMETSAT; ESA-MOST Dragon 3 cooperation project; European Commission under the EU</t>
  </si>
  <si>
    <t>Development of the GOME-2 total ozone products and their validation has been funded by the O3M-SAF project with EUMETSAT and national contributions. The authors thank DFD colleagues S. Kiemle, K. H. Seitz, T. Padsuren and M. Schwinger, who are responsible for day-to-day operations of the O3M-SAF facility at the DLR. We thank EUMETSAT for the ground segment interfacing work with the O3M-SAF systems and for the provision of GOME-2 level 1 products. The authors would like to thank the ESA-MOST Dragon 3 cooperation project (ID: 10455). The Belgian national contribution was provided by the PRODEX A3C project. Ground-based measurements used in this work were taken from the World Ozone and Ultraviolet Data Centre (WOUDC; http://www.woudc.org). MACC-II was funded by the European Commission under the EU Seventh Research Framework Programme, grant number 283576.</t>
  </si>
  <si>
    <t>1867-1381</t>
  </si>
  <si>
    <t>1867-8548</t>
  </si>
  <si>
    <t>ATMOS MEAS TECH</t>
  </si>
  <si>
    <t>Atmos. Meas. Tech.</t>
  </si>
  <si>
    <t>10.5194/amt-7-2937-2014</t>
  </si>
  <si>
    <t>AQ8WR</t>
  </si>
  <si>
    <t>Green Accepted, gold, Green Submitted</t>
  </si>
  <si>
    <t>WOS:000343119600010</t>
  </si>
  <si>
    <t>Keller, A; Hutter, K</t>
  </si>
  <si>
    <t>Keller, Arne; Hutter, Kolumban</t>
  </si>
  <si>
    <t>Conceptual thoughts on continuum damage mechanics for shallow ice shelves</t>
  </si>
  <si>
    <t>Antarctic glaciology; calving; ice-shelf break-up</t>
  </si>
  <si>
    <t>SHEET; DYNAMICS</t>
  </si>
  <si>
    <t>We consider a theory for shallow ice shelves that includes an isotropic damage variable. A zeroth-order shallow-shelf approximation allows a simple yet consistent treatment of both ice dynamics and damage evolution. We find that the damage variable (like temperature) has, in general, to vary with depth; a purely two-dimensional membrane theory can only be considered a rough approximation for isothermal ice shelves.</t>
  </si>
  <si>
    <t>[Keller, Arne; Hutter, Kolumban] ETH, Versuchsanstalt Wasserbau Hydrol &amp; Glaziol VAW, Zurich, Switzerland</t>
  </si>
  <si>
    <t>Swiss Federal Institutes of Technology Domain; ETH Zurich</t>
  </si>
  <si>
    <t>Keller, A (corresponding author), ETH, Versuchsanstalt Wasserbau Hydrol &amp; Glaziol VAW, Zurich, Switzerland.</t>
  </si>
  <si>
    <t>keller@vaw.baug.ethz.ch</t>
  </si>
  <si>
    <t>Laboratory of Hydraulics, Hydrology and Glaciology, ETH Zurich</t>
  </si>
  <si>
    <t>We thank Martin Funk and the Laboratory of Hydraulics, Hydrology and Glaciology, ETH Zurich, for supporting the work of A.K. on this project. We also thank Nina Kirchner and an anonymous referee for detailed and constructive reviews, which helped to improve the paper.</t>
  </si>
  <si>
    <t>10.3189/2014JoG14J010</t>
  </si>
  <si>
    <t>AR0OV</t>
  </si>
  <si>
    <t>WOS:000343272100007</t>
  </si>
  <si>
    <t>Libois, Q; Picard, G; Dumont, M; Arnaud, L; Sergent, C; Pougatch, E; Sudul, M; Vial, D</t>
  </si>
  <si>
    <t>Libois, Quentin; Picard, Ghislain; Dumont, Marie; Arnaud, Laurent; Sergent, Claude; Pougatch, Evelyne; Sudul, Marcel; Vial, David</t>
  </si>
  <si>
    <t>Experimental determination of the absorption enhancement parameter of snow</t>
  </si>
  <si>
    <t>snow; snow chemistry; snow physics; snow/ice surface processes</t>
  </si>
  <si>
    <t>SURFACE-AREA; INFRARED REFLECTANCE; OPTICAL-PROPERTIES; SOLAR-RADIATION; MULTIPLE-SCATTERING; SPECTRAL ALBEDO; ANTARCTIC SNOW; GRAIN SHAPE; DEPTH-HOAR; MODEL</t>
  </si>
  <si>
    <t>In optical models snow is commonly treated as a disperse collection of particles. In this representation, the penetration depth of solar radiation is sensitive to the shape of the particles, in particular to the absorption enhancement parameter, B, that quantifies the lengthening of the photon path inside grains due to internal multiple reflections. Spherical grains, with theoretical B=1.25, are often used. We propose an experimental method to determine B, and apply it to 36 snow samples and 56 snow strata. The method is based on radiative transfer modeling and combined measurements of reflectance and irradiance profiles. Such measurements are performed in the laboratory and in the field, in Antarctica and the French Alps. The retrieved values of B are in the range 0.7-2.4, with a wide peak between 1.4 and 1.8. An analysis of measurement error propagation based on a Bayesian framework shows that the uncertainty on B is +/- 0.1, which is the order of magnitude of variations between different snow types. Thus, no systematic link between B and snow type can be inferred. Here we recommend using shapes with B=1.6 to model snow optical properties, rather than spherical grains.</t>
  </si>
  <si>
    <t>[Libois, Quentin; Picard, Ghislain; Arnaud, Laurent; Vial, David] Univ Grenoble Alpes, LGGE, UMR5183, Grenoble, France; [Vial, David] CNRS, LGGE, UMR5183, Grenoble, France; [Dumont, Marie; Sergent, Claude; Pougatch, Evelyne; Sudul, Marcel; Vial, David] Meteo France CNRS, Ctr Etud Neige, Grenoble, France</t>
  </si>
  <si>
    <t>Communaute Universite Grenoble Alpes; Universite Grenoble Alpes (UGA); Communaute Universite Grenoble Alpes; Universite Grenoble Alpes (UGA); Centre National de la Recherche Scientifique (CNRS); Centre National de la Recherche Scientifique (CNRS); Meteo France</t>
  </si>
  <si>
    <t>Libois, Q (corresponding author), Univ Grenoble Alpes, LGGE, UMR5183, Grenoble, France.</t>
  </si>
  <si>
    <t>quentin.libois@lgge.obs.ujf-grenoble.fr</t>
  </si>
  <si>
    <t>Dumont, Marie/R-4507-2019; Picard, Ghislain/D-4246-2013; Dumont, Marie/A-7271-2015</t>
  </si>
  <si>
    <t>Dumont, Marie/0000-0002-4002-5873; Picard, Ghislain/0000-0003-1475-5853; libois, quentin/0000-0001-8963-4170; arnaud, laurent/0000-0002-4432-4205</t>
  </si>
  <si>
    <t>ANR MONISNOW programme; French region Rhones-Alpes [RA0000R457]</t>
  </si>
  <si>
    <t>ANR MONISNOW programme(Agence Nationale de la Recherche (ANR)); French region Rhones-Alpes(Region Auvergne-Rhone-Alpes)</t>
  </si>
  <si>
    <t>This study was supported by the ANR MONISNOW programme. We are grateful to the French Polar Institute (IPEV) for logistic support at Concordia station in Antarctica through the CALVA-Neige programme. The CIBLE programme of the French region Rhones-Alpes (RA0000R457) contributed to the experimental setting.</t>
  </si>
  <si>
    <t>10.3189/2014JoG14J015</t>
  </si>
  <si>
    <t>WOS:000343272100010</t>
  </si>
  <si>
    <t>Yang, YD; Bo, S; Wang, ZM; Ding, MH; Hwang, CW; Ai, ST; Wang, LZ; Du, YJ; E, DC</t>
  </si>
  <si>
    <t>Yang, Yuande; Sun, Bo; Wang, Zemin; Ding, Minghu; Hwang, Cheinway; Ai, Songtao; Wang, Lianzhong; Du, Yujun; E, Dongchen</t>
  </si>
  <si>
    <t>GPS-derived velocity and strain fields around Dome Argus, Antarctica</t>
  </si>
  <si>
    <t>Antarctic glaciology; ice velocity</t>
  </si>
  <si>
    <t>SURFACE-TOPOGRAPHY; ZHONGSHAN STATION; TRAVERSE ROUTE; ICE-SHEET; FLOW</t>
  </si>
  <si>
    <t>Knowledge of the surface topography, velocity field and strain field at an ice-core site is critical to the accurate interpretation of ice-core records. At Dome Argus (Dome A), where a Chinese deep ice-core drilling project is being carried out, we have produced an accurate surface digital elevation model from GPS measurements in January 2013 at 47 sites. We identify two peaks at Dome A, with the northern peak similar to 7 cm higher than the southern peak. Repeat GPS measurements at 12 sites in 2008 and 2013 provide a surface velocity field around the dome. The surface velocity ranges from 3.1 +/- 2.6 to 29.4 +/- 1.2 cm a(-1), with a mean of 11.1 +/- 2.4 cm a(-1). The surface flow directions are near perpendicular to the surface elevation contours. Velocities from GPS are lower than derived from satellite radar interferometry (InSAR). From GPS velocities, the accuracy of velocity from the existing InSAR velocity field is determined, resulting in a standard deviation of 0.570 m a(-1) in speed and 117.5 degrees in direction. This result is consistent with the reported accuracy of InSAR, showing the value of in situ GPS measurements for assessing and correcting remote-sensing results. A surface strain field for the drilling site over Dome A is calculated from 24 strain triangles, showing north-south extension, east-west compression and vertical layer thinning.</t>
  </si>
  <si>
    <t>[Yang, Yuande; Wang, Zemin; Ai, Songtao; Du, Yujun; E, Dongchen] Wuhan Univ, Chinese Antarctic Ctr Surveying &amp; Mapping, Wuhan 430072, Peoples R China; [Sun, Bo] Polar Res Inst China, Shanghai, Peoples R China; [Ding, Minghu] Chinese Acad Meteorol Sci, Inst Climate Syst, Beijing, Peoples R China; [Hwang, Cheinway] Natl Chiao Tung Univ, Dept Civil Engn, Hsinchu, Taiwan; [Hwang, Cheinway; Du, Yujun] Wuhan Univ, Sch Geodesy &amp; Geomat, Wuhan 430072, Peoples R China; [Wang, Lianzhong] Heilongjiang Bur Surveying &amp; Mapping, Haerbin, Peoples R China</t>
  </si>
  <si>
    <t>Wuhan University; Polar Research Institute of China; China Meteorological Administration; Chinese Academy of Meteorological Sciences (CAMS); National Yang Ming Chiao Tung University; Wuhan University</t>
  </si>
  <si>
    <t>Yang, YD (corresponding author), Wuhan Univ, Chinese Antarctic Ctr Surveying &amp; Mapping, Wuhan 430072, Peoples R China.</t>
  </si>
  <si>
    <t>yuandeyang@whu.edu.cn</t>
  </si>
  <si>
    <t>ZeMin, Wang/AAU-3422-2020; Ai, Songtao/AAA-7338-2019; Ding, Minghu/AFU-3600-2022; BO, SATHIVEL MURUGAN/AAE-2897-2022; Du, Yu/IAQ-9365-2023</t>
  </si>
  <si>
    <t>Ding, Minghu/0000-0002-1142-6598;</t>
  </si>
  <si>
    <t>MOST [2013CBA01804]; National Natural Science Foundation of China [41106163, 41206179, 41206177]; National High Technology Research and Development Program [2012AA12A304]; SOA (CHINARE)</t>
  </si>
  <si>
    <t>MOST; National Natural Science Foundation of China(National Natural Science Foundation of China (NSFC)); National High Technology Research and Development Program(National High Technology Research and Development Program of China); SOA (CHINARE)</t>
  </si>
  <si>
    <t>We thank the Chinese Arctic and Antarctic Administration, State Oceanic Administration, for sponsoring the field surveying and research work. This study is funded by MOST (2013CBA01804), the National Natural Science Foundation of China (41106163, 41206179, 41206177), the National High Technology Research and Development Program (2012AA12A304) and SOA (CHINARE 2013, 2014).</t>
  </si>
  <si>
    <t>10.3189/2014JoG14J078</t>
  </si>
  <si>
    <t>WOS:000343272100012</t>
  </si>
  <si>
    <t>Winberry, JP; Anandakrishnan, S; Alley, RB; Wiens, DA; Pratt, MJ</t>
  </si>
  <si>
    <t>Winberry, J. Paul; Anandakrishnan, Sridhar; Alley, Richard B.; Wiens, Douglas A.; Pratt, Martin J.</t>
  </si>
  <si>
    <t>Tidal pacing, skipped slips and the slowdown of Whillans Ice Stream, Antarctica</t>
  </si>
  <si>
    <t>Antarctic glaciology; ice dynamics; ice streams; subglacial lakes</t>
  </si>
  <si>
    <t>WEST ANTARCTICA; SIPLE COAST; SATELLITE RADAR; STICKY SPOTS; MASS-BALANCE; SHEET; VELOCITY; ROSS; FLOW; BENEATH</t>
  </si>
  <si>
    <t>We summarize new observations of the deceleration and stick-slip motion of Whillans Ice Stream (WIS), Antarctica. We refine the location of the large sticky spots that resist motion between slip events, the locations of which are controlled by the patterns of subglacial water flow. Our examination of the long-term velocity time series for the ice stream reveals that the decadal-scale deceleration is not occurring at a steady rate, but varies at the sub-decadal timescale. This unsteady deceleration modulates the temporal evolution of a broad (similar to 50 km across) surface-elevation bulge forming at the junction between the relatively narrow upstream portion of the ice stream and broad ice plain that constitutes the downstream end of WIS. Comparison of observations from April 2003 and November 2010 reveals significant changes in the tidally modulated stick-slip cycle that regulates motion on the ice plain. We observe that the timing of slip events has become less regular in response to decreased flow speed in the upstream portions of the ice stream. The decreased regularity of slip events has reduced the release of stored elastic strain during slip events, increasing the rate of deceleration.</t>
  </si>
  <si>
    <t>[Winberry, J. Paul] Cent Washington Univ, Dept Geol Sci, Ellensburg, WA 98926 USA; [Anandakrishnan, Sridhar; Alley, Richard B.] Penn State Univ, Dept Geosci, University Pk, PA 16802 USA; [Wiens, Douglas A.; Pratt, Martin J.] Washington Univ, Dept Earth &amp; Planetary Sci, St Louis, MO 63130 USA</t>
  </si>
  <si>
    <t>Central Washington University; Pennsylvania Commonwealth System of Higher Education (PCSHE); Pennsylvania State University; Pennsylvania State University - University Park; Washington University (WUSTL)</t>
  </si>
  <si>
    <t>Winberry, JP (corresponding author), Cent Washington Univ, Dept Geol Sci, Ellensburg, WA 98926 USA.</t>
  </si>
  <si>
    <t>winberry@geology.cwu.edu</t>
  </si>
  <si>
    <t>Anandakrishnan, Sridhar/JCN-5026-2023; Winberry, Paul/HLQ-2673-2023; Wiens, Douglas/J-9259-2016</t>
  </si>
  <si>
    <t>Winberry, Paul/0000-0003-1205-0745; Wiens, Douglas/0000-0002-5169-4386</t>
  </si>
  <si>
    <t>US National Science Foundation Office of Polar Programs [0944794]; Office of Polar Programs (OPP); Directorate For Geosciences [0944794] Funding Source: National Science Foundation; Office of Polar Programs (OPP); Directorate For Geosciences [0944671] Funding Source: National Science Foundation</t>
  </si>
  <si>
    <t>US National Science Foundation Office of Polar Programs(National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</si>
  <si>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We thank Alex Brisbourne, Peter Burkett, Angela Hoffer, Randy Justin, Tarun Luthra and Stephanie Kay for help with data collection in 2010 and 2011, and the entire TIDES team for data collection efforts in 2003 and 2004. GPS data were processed using Natural Resources Canada's PPP-direct service. Instrumentation and support was provided by the University Navstar Consortium (UNAVCO) instrument center. Logistical support was provided by Raytheon Polar Services, the New York Air National Guard and Kenn Borek Air. Ross Sea tides were computed using software provided by Laurence Padman. We thank investigators as well as the US National Snow and Ice Data Center for making ICESat, MODIS, InSAR and Siple Coast Project datasets publicly available. Two anonymous reviews improved the quality of the presentation. This work was supported by the US National Science Foundation Office of Polar Programs grant 0944794.</t>
  </si>
  <si>
    <t>10.3189/2014JoG14J038</t>
  </si>
  <si>
    <t>WOS:000343272100017</t>
  </si>
  <si>
    <t>Li, ZY; Yuan, XY</t>
  </si>
  <si>
    <t>Angeli, GZ; Dierickx, P</t>
  </si>
  <si>
    <t>Li, Zhengyang; Yuan, Xiangyan</t>
  </si>
  <si>
    <t>One of Align Metrologies for Antarctic Telescopes</t>
  </si>
  <si>
    <t>MODELING, SYSTEMS ENGINEERING, AND PROJECT MANAGEMENT FOR ASTRONOMY VI</t>
  </si>
  <si>
    <t>Conference on Modeling, Systems Engineering, and Project Management for Astronomy VI</t>
  </si>
  <si>
    <t>JUN 22-24, 2014</t>
  </si>
  <si>
    <t>Alignment; telescopes; field aberrations; Antarctica</t>
  </si>
  <si>
    <t>DOME</t>
  </si>
  <si>
    <t>The preliminary site testing performed since the beginning of 2008 shows that Antarctic Dome A is an excellent astronomical site. The Chinese Antarctic optical telescopes CSTAR and the first Antarctic Survey Telescope AST3-1 has been in operation on Dome A, and several Antarctic telescopes are being developed and proposed. However, the harsh environment and manpower shortage make the in-situ alignment task difficult. The study will introduce the completed alignment work of AST3 and discuss an improved align metrology based on the previous treatments of the field dependent optical aberrations, as well as its application on Antarctic Bright Star Survey Telescope BSST.</t>
  </si>
  <si>
    <t>[Li, Zhengyang; Yuan, Xiangyan] Chinese Acad Sci, Nanjing Inst Astron Opt &amp; Technol, Natl Astron Observ, Nanjing 210042, Jiangsu, Peoples R China</t>
  </si>
  <si>
    <t>Chinese Academy of Sciences; Nanjing Institute of Astronomical Optics &amp; Technology, NAOC, CAS; National Astronomical Observatory, CAS</t>
  </si>
  <si>
    <t>Li, ZY (corresponding author), Chinese Acad Sci, Nanjing Inst Astron Opt &amp; Technol, Natl Astron Observ, 188 Bancang St, Nanjing 210042, Jiangsu, Peoples R China.</t>
  </si>
  <si>
    <t>zyli@niaot.ac.cn</t>
  </si>
  <si>
    <t>978-0-8194-9618-8</t>
  </si>
  <si>
    <t>91501Y</t>
  </si>
  <si>
    <t>10.1117/12.2056192</t>
  </si>
  <si>
    <t>Astronomy &amp; Astrophysics; Optics</t>
  </si>
  <si>
    <t>BB3SN</t>
  </si>
  <si>
    <t>WOS:000343032800062</t>
  </si>
  <si>
    <t>Leith, P; Ogier, E; Haward, M</t>
  </si>
  <si>
    <t>Leith, Peat; Ogier, Emily; Haward, Marcus</t>
  </si>
  <si>
    <t>Science and Social License: Defining Environmental Sustainability of Atlantic Salmon Aquaculture in South-Eastern Tasmania, Australia</t>
  </si>
  <si>
    <t>SOCIAL EPISTEMOLOGY</t>
  </si>
  <si>
    <t>Science Policy; Environmental Governance; Legitimacy; Trust</t>
  </si>
  <si>
    <t>STYLES</t>
  </si>
  <si>
    <t>Social license reflects environmental and social change, and sees community as an important stakeholder and partner. Science, scientists, and science policy have a key role in the processes that generate social license. In this paper, we focus on the interaction between science and social license in salmon aquaculture in south-eastern Tasmania. This research suggests that social license will be supported by distributed and credible knowledge co-production. Drawing on qualitative, interpretive social research we argue that targeted science, instilled by appropriate science policy, can underpin social license by supporting emerging, distributed, and pluralistic knowledge production. Where social license is important and environmental contexts are complex, such knowledge production might support environmental governance, and so improve outcomes in coastal zone management and beyond.</t>
  </si>
  <si>
    <t>[Leith, Peat] Univ Tasmania, Tasmanian Inst Agr, Hobart, Tas, Australia; [Leith, Peat] Univ Tasmania, Tasmanian Inst Agr, Sci Soc &amp; Policy Program, Hobart, Tas 7001, Australia; [Haward, Marcus] Univ Tasmania, Inst Marine &amp; Antarctic Studies IMAS, Hobart, Tas, Australia; [Ogier, Emily] UTAS, IMAS, Sandy Bay, Tas, Australia</t>
  </si>
  <si>
    <t>University of Tasmania; University of Tasmania; University of Tasmania; University of Tasmania</t>
  </si>
  <si>
    <t>Leith, P (corresponding author), Univ Tasmania, Tasmanian Inst Agr, Hobart, Tas, Australia.</t>
  </si>
  <si>
    <t>Peat.Leith@utas.edu.au</t>
  </si>
  <si>
    <t>Leith, Peat/ABB-2829-2021; Haward, Marcus/G-3369-2014</t>
  </si>
  <si>
    <t>Haward, Marcus/0000-0003-4775-0864; Ogier, Emily/0000-0001-6157-5279</t>
  </si>
  <si>
    <t>2-4 PARK SQUARE, MILTON PARK, ABINGDON OX14 4RN, OXON, ENGLAND</t>
  </si>
  <si>
    <t>0269-1728</t>
  </si>
  <si>
    <t>1464-5297</t>
  </si>
  <si>
    <t>SOC EPISTEMOL</t>
  </si>
  <si>
    <t>Soc. Epistemol.</t>
  </si>
  <si>
    <t>10.1080/02691728.2014.922641</t>
  </si>
  <si>
    <t>History &amp; Philosophy Of Science; Philosophy; Social Sciences, Interdisciplinary</t>
  </si>
  <si>
    <t>History &amp; Philosophy of Science; Philosophy; Social Sciences - Other Topics</t>
  </si>
  <si>
    <t>AQ9VT</t>
  </si>
  <si>
    <t>WOS:000343206500005</t>
  </si>
  <si>
    <t>Thomsen, HA; Ostergaard, JB</t>
  </si>
  <si>
    <t>Thomsen, Helge A.; Ostergaard, Jette B.</t>
  </si>
  <si>
    <t>Coccolithophorids in Polar Waters: Pappomonas spp. Revisited</t>
  </si>
  <si>
    <t>ACTA PROTOZOOLOGICA</t>
  </si>
  <si>
    <t>coccolithophorid; Pappomonas; Balaniger; P. garrisonii sp nov.; polar regions; electron microscopy</t>
  </si>
  <si>
    <t>SP-NOV PRYMNESIOPHYCEAE; ARCTIC COCCOLITHOPHORIDS; WEST GREENLAND; SEA-ICE; GEN-NOV; ALASKA</t>
  </si>
  <si>
    <t>A contingent of weakly calcified coccolithophorid genera and species were described from polar regions almost 40 years ago. In the interim period a few additional findings have been reported enlarging the realm of some of the species. The genus Pappomonas is revisited here with the purpose of providing, based on additional sampling from both polar regions, an update on species morphology, life history aspects and biogeography that can serve as a reference for the future. The examination of a substantial number of cells unequivocally supports the elevation to species level of P. borealis stat. nov. (previously referred to as P. flabellifera var. borealis) as a separate taxon which is different from P. flabellifera in a number of critical morphological features. Additional evidence in favour of linking P. virgulosa and Balaniger balticus in a shared life history in combination with significant differences in coccolith morphology between the Pappomonas type species (P. flabellifera) and P. virgulosa has prompted us to synonymise Balaniger balticus with Pappomonas virgulosa, while informally keeping the names of the phases as Balaniger virgulosa HET (= Pappomonas virgulosa phase) and Balaniger virgulosa HOL (= Balaniger balticus phase). A new species, Pappomonas garrisonii sp. nov. is described to accommodate Antarctic material from the Weddell Sea. While fitting into the Pappomonas generic concept, the species adds new dimensions to the overall appearance of the coccolith armour of the cell and emphasizes the close relationship between species of Pappomonas and Papposphaera.</t>
  </si>
  <si>
    <t>[Thomsen, Helge A.] Tech Univ Denmark, Natl Inst Aquat Resources, Charlottenlund, Denmark</t>
  </si>
  <si>
    <t>Technical University of Denmark</t>
  </si>
  <si>
    <t>Thomsen, HA (corresponding author), DTU Aqua, Jaegersborg 1, DK-2920 Charlottenlund, Denmark.</t>
  </si>
  <si>
    <t>hat@aqua.dtu.dk</t>
  </si>
  <si>
    <t>Thomsen, Helge Abildhauge/0000-0002-0748-5755</t>
  </si>
  <si>
    <t>ERC Advanced Grant project MINOS [250254]; NRC project MicroPolar through M. Heldal, University of Bergen [225956/E10]</t>
  </si>
  <si>
    <t>ERC Advanced Grant project MINOS; NRC project MicroPolar through M. Heldal, University of Bergen</t>
  </si>
  <si>
    <t>Thanks are due to crew members and scientific personnel participating in the research cruises that supplied material for this publication. Staff at the Arctic Station, W. Greenland, are acknowledged for granting us access to the station and its facilities on many occasions. The work was supported by the ERC Advanced Grant project MINOS (project number 250254) and the NRC project MicroPolar (project number 225956/E10) through M. Heldal, University of Bergen. We greatly appreciate - courtesy of M. Heldal - the possibility to include SEM micrographs from various northern latitude regions. Carol Kosman, Johanna Ikavalko and Marie Gammelgaard are acknowledged for their contribution to the TEM examination of various parts of the material sampled. Finally we would like to acknowledge valuable comments to the manuscript received from two reviewers.</t>
  </si>
  <si>
    <t>JAGIELLONIAN UNIV, INST ENVIRONMENTAL SCIENCES</t>
  </si>
  <si>
    <t>KRAKOW</t>
  </si>
  <si>
    <t>GRONOSTAJOWA 7, KRAKOW, 30-387, POLAND</t>
  </si>
  <si>
    <t>0065-1583</t>
  </si>
  <si>
    <t>1689-0027</t>
  </si>
  <si>
    <t>ACTA PROTOZOOL</t>
  </si>
  <si>
    <t>Acta Protozool.</t>
  </si>
  <si>
    <t>10.4467/16890027AP.14.022.1997</t>
  </si>
  <si>
    <t>AQ7LX</t>
  </si>
  <si>
    <t>WOS:000343000300001</t>
  </si>
  <si>
    <t>Kim, MK; Park, H; Oh, TJ</t>
  </si>
  <si>
    <t>Kim, Mi-Kyeong; Park, Hyun; Oh, Tae-Jin</t>
  </si>
  <si>
    <t>Antibacterial and Antioxidant Capacity of Polar Microorganisms Isolated from Arctic Lichen Ochrolechia sp.</t>
  </si>
  <si>
    <t>Arctic; antibacterial/antioxidant activity bacterial association; lichen; Ochrolechia sp.</t>
  </si>
  <si>
    <t>BACTERIAL COMMUNITIES; SECONDARY METABOLITES; IN-VITRO; DIVERSITY; ACID; SUSCEPTIBILITY; FLAVONOIDS</t>
  </si>
  <si>
    <t>Although many scientists have been studying lichens, the bacterial communities among lichens have not been fully explored. In this study, the biological activities of bacterial isolates from Arctic lichen Ochrolechia sp. were screened. Cell cultures were extracted using ethyl acetate, and these cultures were tested for antibacterial and antioxidant activities. To evaluate the antibacterial activities, we carried out a disk diffusion test and minimum inhibitory concentration assay. The inhibition zone diameter (mm) was 8 to 12, and its MIC value ranged from 222.0 to &gt;1000 mu g/ml (control antibiotic ampicillin ranged from 0.31 to 0.58 mu g/ml). PAMC26625 (Sphingomonas sp., sequence similarity: 99.108%) showed a high amount of total phenolic and total flavonoid contents within 5 extracts and also exhibited 77.23% and 80.02% in the 1,1-diphenyl-2-picryl-hydrazyl assay and the 2,2'-azino-bis(3-ethyl benzothiazoline-6-sulphonic acid) assay, respectively. In the ferric reducing antioxidant power assay, it was determined that PAMC26625 contained a higher amount of ferrous ion [8.72 mM Fe(II)/mg extract] than control ascorbic acid [6.21 mM Fe(II)/mg extract]. Our data indicated that they had potential to be novel sources of antibacterials and antioxidants.</t>
  </si>
  <si>
    <t>[Kim, Mi-Kyeong; Oh, Tae-Jin] SunMoon Univ, Dept Pharmaceut Engn, Asan 336708, Chungnam, South Korea; [Park, Hyun] Korea Polar Res Inst KOPRI, Inchon 406840, South Korea</t>
  </si>
  <si>
    <t>Sun Moon University; Korea Polar Research Institute (KOPRI)</t>
  </si>
  <si>
    <t>Oh, TJ (corresponding author), SunMoon Univ, Dept Pharmaceut Engn, 100 Kalsan Ri, Asan 336708, Chungnam, South Korea.</t>
  </si>
  <si>
    <t>tjoh3782@sunmoon.ac.kr</t>
  </si>
  <si>
    <t>Park, Hyun/0000-0002-8055-2010</t>
  </si>
  <si>
    <t>Korea Polar Research Institute [PE14070]</t>
  </si>
  <si>
    <t>This study was supported by the Antarctic organisms: Cold-Adaptation Mechanisms and its application grant (PE14070) funded by the Korea Polar Research Institute.</t>
  </si>
  <si>
    <t>AQ1FL</t>
  </si>
  <si>
    <t>WOS:000342527200008</t>
  </si>
  <si>
    <t>Engrand, C</t>
  </si>
  <si>
    <t>Ollivier, M; Maurel, MC</t>
  </si>
  <si>
    <t>Engrand, C.</t>
  </si>
  <si>
    <t>Cometary micrometeorites and input of prebiotic compounds</t>
  </si>
  <si>
    <t>EPOV 2012: FROM PLANETS TO LIFE - COLLOQUIUM OF THE CNRS INTERDISCIPLINARY INITIATIVE PLANETARY ENVIRONMENTS AND ORIGINS OF LIFE</t>
  </si>
  <si>
    <t>BIO Web of Conferences</t>
  </si>
  <si>
    <t>Colloquium of the CNRS Interdisciplinary Initiative Planetary Environments and Origins of Life</t>
  </si>
  <si>
    <t>NOV 29-30, 2012</t>
  </si>
  <si>
    <t>Paris, FRANCE</t>
  </si>
  <si>
    <t>ULTRACARBONACEOUS ANTARCTIC MICROMETEORITES; ISOTOPIC COMPOSITIONS; COSMIC SPHERULES; AMINO-ACIDS; CARBONACEOUS CHONDRITES; 433 EROS; OXYGEN; DUST; PARTICLES; NITROGEN</t>
  </si>
  <si>
    <t>The apparition of life on the early Earth was probably favored by inputs of extraterrestrial matter brought by carbonaceous chondrite-like objects or cometary material. Interplanetary dust collected nowadays on Earth is related to carbonaceous chondrites and to cometary material. They contain in particular at least a few percent of organic matter, organic compounds (amino-acids, PAHs,...), hydrous silicates, and could have largely contributed to the budget of prebiotic matter on Earth, about 4 Ga ago. A new population of cometary dust was recently discovered in the Concordia Antarctic micrometeorite collection. These Ultracarbonaceous Antarctic Micrometeorites (UCAMMs) are dominated by deuterium-rich and nitrogen-rich organic matter. They seem related to the CHON grains identified in the comet Halley in 1986. Although rare in the micrometeorites flux (&lt;5% of the micrometeorites), UCAMMs could have significantly contributed to the input of prebiotic matter. Their content in soluble organic matter is currently under study.</t>
  </si>
  <si>
    <t>Univ Paris 11, CSNSM CNRS, IN2P3, F-91405 Orsay, France</t>
  </si>
  <si>
    <t>Universite Paris Saclay; Centre National de la Recherche Scientifique (CNRS); CNRS - National Institute of Nuclear and Particle Physics (IN2P3)</t>
  </si>
  <si>
    <t>Engrand, C (corresponding author), Univ Paris 11, CSNSM CNRS, IN2P3, Bat 104, F-91405 Orsay, France.</t>
  </si>
  <si>
    <t>E D P SCIENCES</t>
  </si>
  <si>
    <t>CEDEX A</t>
  </si>
  <si>
    <t>17 AVE DU HOGGAR PARC D ACTIVITES COUTABOEUF BP 112, F-91944 CEDEX A, FRANCE</t>
  </si>
  <si>
    <t>2117-4458</t>
  </si>
  <si>
    <t>978-2-7598-1180-9</t>
  </si>
  <si>
    <t>BIO WEB CONF</t>
  </si>
  <si>
    <t>10.1051/bioconf/20140203003</t>
  </si>
  <si>
    <t>Biology; Environmental Sciences</t>
  </si>
  <si>
    <t>Life Sciences &amp; Biomedicine - Other Topics; Environmental Sciences &amp; Ecology</t>
  </si>
  <si>
    <t>BB2YW</t>
  </si>
  <si>
    <t>WOS:000342571200012</t>
  </si>
  <si>
    <t>Kirchman, DL; Stegman, MR; Nikradir, MP; Cottrell, MT</t>
  </si>
  <si>
    <t>Kirchman, David L.; Stegman, Monica R.; Nikradir, Mrinalini P.; Cottrell, Matthew T.</t>
  </si>
  <si>
    <t>Abundance, size, and activity of aerobic anoxygenic phototrophic bacteria in coastal waters of the West Antarctic Peninsula</t>
  </si>
  <si>
    <t>Aerobic anoxygenic phototrophs; Photoheterotrophs; Bacterial growth; Leucine incorporation; Single-cell activity</t>
  </si>
  <si>
    <t>GROWTH-RATES; GAMMAPROTEOBACTERIAL SUBGROUPS; ARCTIC-OCEAN; BALTIC SEA; BACTERIOPLANKTON; SUMMER; BACTERIOCHLOROPHYLL; ATLANTIC; ECOLOGY; WINTER</t>
  </si>
  <si>
    <t>The objective of this study was to examine the abundance, size, and single-cell activity of aerobic anoxygenic phototrophic (AAP) bacteria in summer and fall over 2 yr in coastal waters of the West Antarctic Peninsula. Single-cell incorporation of H-3-leucine was measured using a new microautoradiography approach coupled to infrared epifluorescence microscopy. The relative abundance of these photoheterotrophic bacteria was higher in January (1 to 8%) than in May (0.3 to 1 %) but differed greatly between the 2 yr we sampled, as did several biogeochemical properties. The biovolume of AAP bacteria was nearly 3-fold larger than that of cells in the total bacterial community and ca. 2-fold larger than AAP bacterial biovolumes in low latitude coastal waters. A large fraction of AAP bacteria and of the total community incorporated 3H-leucine in January (ca. 48% for both communities), which then decreased by 4-fold in May. The area of silver grains formed around active cells in microautoradiography preparations decreased nearly 5-fold from January to May. Silver grain area data indicated that AAP bacteria were about 40% more active than the total community in January but there was no difference in May, probably because of the nearly 20-fold decrease in light availability from January to May. These data suggest that AAP bacteria contribute more to biomass production in these polar waters than suggested by their abundance, but only in the austral summer.</t>
  </si>
  <si>
    <t>[Kirchman, David L.; Stegman, Monica R.; Nikradir, Mrinalini P.; Cottrell, Matthew T.] Univ Delaware, Sch Marine Sci &amp; Policy, Lewes, DE 19958 USA</t>
  </si>
  <si>
    <t>University of Delaware</t>
  </si>
  <si>
    <t>Kirchman, DL (corresponding author), Univ Delaware, Sch Marine Sci &amp; Policy, Lewes, DE 19958 USA.</t>
  </si>
  <si>
    <t>kirchman@udel.edu</t>
  </si>
  <si>
    <t>Cottrell, Matthew T/C-3266-2009</t>
  </si>
  <si>
    <t>Cottrell, Matthew/0000-0003-0449-9999</t>
  </si>
  <si>
    <t>NSF [OPP-0838830, MCB-0453993, OCE-1030306, OPP-0632233]; Partners University Fund; Directorate For Geosciences; Division Of Ocean Sciences [1030306] Funding Source: National Science Foundation</t>
  </si>
  <si>
    <t>NSF(National Science Foundation (NSF)); Partners University Fund; Directorate For Geosciences; Division Of Ocean Sciences(National Science Foundation (NSF)NSF - Directorate for Geosciences (GEO))</t>
  </si>
  <si>
    <t>This work was supported mainly by NSF grant OPP-0838830. The MAB work was supported by NSF grants MCB-0453993 and OCE-1030306 and the Partners University Fund, while the Arctic work was supported by NSF OPP-0632233. We thank colleagues and staff at Palmer Station, Antarctica for science support. We also thank Hugh Ducklow and the Palmer LTER project for supporting data and help with sampling.</t>
  </si>
  <si>
    <t>10.3354/ame01709</t>
  </si>
  <si>
    <t>AQ1EW</t>
  </si>
  <si>
    <t>WOS:000342525700004</t>
  </si>
  <si>
    <t>Pan, LJ; Yin, P</t>
  </si>
  <si>
    <t>Sun, J; Jiao, W; Wu, H; Lu, M</t>
  </si>
  <si>
    <t>Pan, Lijing; Yin, Ping</t>
  </si>
  <si>
    <t>Analysis of Polar Ionospheric Scintillation Characteristics Based on GPS Data</t>
  </si>
  <si>
    <t>CHINA SATELLITE NAVIGATION CONFERENCE (CSNC) 2014 PROCEEDINGS, VOL I</t>
  </si>
  <si>
    <t>Lecture Notes in Electrical Engineering</t>
  </si>
  <si>
    <t>5th China Satellite Navigation Conference (CSNC)</t>
  </si>
  <si>
    <t>MAY 21-23, 2014</t>
  </si>
  <si>
    <t>Nanjing, PEOPLES R CHINA</t>
  </si>
  <si>
    <t>Ionospheric scintillation; Antarctica; Statistical analysis; GPS; Sigma phi</t>
  </si>
  <si>
    <t>Ionospheric scintillation is one of the important factors that affect the performance of satellite navigation system, so ionospheric scintillation monitoring has been drawn more attention. Based on ionospheric scintillation monitoring data at South Pole station in Antarctica, we are able to investigate ionospheric scintillation characteristics over there. Through analyzing scintillation data of 354 days at this site in the year of 2011 we can estimate the statistical occurrence rate of phase scintillation and amplitude scintillation. The temporal, diurnal, monthly and seasonal variations of the characteristics of ionospheric phase scintillation have been studied, as well as the correlation between phase scintillation and geomagnetic disturbance index (Kp). Statistical results show that phase scintillation activities are more pronounced than amplitude scintillation activities at South Pole. The Antarctic ionospheric scintillation were relatively quiet and the phase scintillation index (Sigma phi) with Sigma phi &gt;0.3 took place infrequently only with the occurrence rate of is 0.14 % throughout the year. The occurrence rate of phase scintillation in March, April, September and October is higher than that in other months. The highest occurrence rate is in April and October and the lowest in January. In April, September and October, phase scintillation mainly appeared on the 12-18 UTC, and the different intensities of phase scintillation have a similar time variation characteristics. As shown in the results, higher kp always correlates with stronger phase scintillation.</t>
  </si>
  <si>
    <t>[Pan, Lijing; Yin, Ping] Civil Aviat Univ China, Coll Elect &amp; Informat Engn, Tianjin, Peoples R China</t>
  </si>
  <si>
    <t>Civil Aviation University of China</t>
  </si>
  <si>
    <t>Pan, LJ (corresponding author), Civil Aviat Univ China, Coll Elect &amp; Informat Engn, Tianjin, Peoples R China.</t>
  </si>
  <si>
    <t>lijingpan9130@163.com; pyin@cauc.edu.cn</t>
  </si>
  <si>
    <t>233 SPRING STREET, NEW YORK, NY 10013, UNITED STATES</t>
  </si>
  <si>
    <t>1876-1100</t>
  </si>
  <si>
    <t>978-3-642-54737-9; 978-3-642-54736-2</t>
  </si>
  <si>
    <t>LECT NOTES ELECTR EN</t>
  </si>
  <si>
    <t>10.1007/978-3-642-54737-9_2</t>
  </si>
  <si>
    <t>BB2WP</t>
  </si>
  <si>
    <t>WOS:000342438900002</t>
  </si>
  <si>
    <t>Dobri, N; Oumarou, EEN; Alimenti, C; Vallesi, A</t>
  </si>
  <si>
    <t>Dobri, N.; Oumarou, E. E. Ngueng; Alimenti, C.; Vallesi, A.</t>
  </si>
  <si>
    <t>Polar and non-polar species of the protozoan ciliate Euplotes behave differently in response to environmental oxidative stress</t>
  </si>
  <si>
    <t>ITALIAN JOURNAL OF ZOOLOGY</t>
  </si>
  <si>
    <t>Polar ciliates; oxidative stress; Euplotes-environment interactions; methionine sulfoxide reductases; MsrA</t>
  </si>
  <si>
    <t>METHIONINE SULFOXIDE REDUCTASES; ANTIOXIDANT DEFENSE; PROTEINS; REDUCTION; EVOLUTION; TOXICITY; RESIDUES; NOBILII; GROWTH; FISH</t>
  </si>
  <si>
    <t>Polar coastal seawaters are saturated by high oxygen concentrations, which impose very effective adaptive strategies to strive against a continuous environmental oxidative stress. We studied these strategies in Euplotes nobilii (Ciliophora: Spirotrichea), a ciliate species dwelling in Antarctic and Arctic coastal seawaters, in comparison with Euplotes raikovi, a sister species living in temperate seawaters. Cell samples of the two species were exposed to hydrogen peroxide (H2O2)-induced oxidative stress and analyzed for their survival rates and levels of expression of the genes encoding the enzyme methionine-sulfoxide reductase (Msr) A, which restores oxidized methionines (in their S form) of damaged proteins to the status of functional methionines. While 6 h of exposure to a 750-mu M concentration of H2O2 did not affect E. nobilii viability, these conditions were lethal to E. raikovi. In correlation with this inter-specific difference in the cell survival to oxidative stress, the MsrA-coding genes of the two species showed different mechanisms of expression: constitutive in E. nobilii, elicited by induction in E. raikovi.</t>
  </si>
  <si>
    <t>[Dobri, N.; Oumarou, E. E. Ngueng; Alimenti, C.; Vallesi, A.] Univ Camerino, Lab Eukaryot Microbiol &amp; Anim Biol, I-62032 Camerino, MC, Italy</t>
  </si>
  <si>
    <t>University of Camerino</t>
  </si>
  <si>
    <t>Vallesi, A (corresponding author), Univ Camerino, Lab Eukaryot Microbiol &amp; Anim Biol, Via Gentile 3 Varano, I-62032 Camerino, MC, Italy.</t>
  </si>
  <si>
    <t>adriana.vallesi@unicam.it</t>
  </si>
  <si>
    <t>Vallesi, Adriana/I-9933-2016</t>
  </si>
  <si>
    <t>Vallesi, Adriana/0000-0002-4127-090X; Alimenti, Claudio/0000-0003-2231-2948</t>
  </si>
  <si>
    <t>National Program of Antarctic Research (PNRA)</t>
  </si>
  <si>
    <t>The authors would like to thank Prof. P. Luporini for valuable suggestions and help in manuscript preparation, and Mrs. Sheila Betty for English language revision. This work was financially supported by the National Program of Antarctic Research (PNRA).</t>
  </si>
  <si>
    <t>1125-0003</t>
  </si>
  <si>
    <t>1748-5851</t>
  </si>
  <si>
    <t>ITAL J ZOOL</t>
  </si>
  <si>
    <t>Ital. J. Zoolog.</t>
  </si>
  <si>
    <t>10.1080/11250003.2014.947337</t>
  </si>
  <si>
    <t>AP8CL</t>
  </si>
  <si>
    <t>WOS:000342305800011</t>
  </si>
  <si>
    <t>Haward, M</t>
  </si>
  <si>
    <t>Schofield, C; Lee, S; Kwon, MS</t>
  </si>
  <si>
    <t>Haward, Marcus</t>
  </si>
  <si>
    <t>THE SOUTHERN OCEAN, CLIMATE CHANGE AND OCEAN GOVERNANCE</t>
  </si>
  <si>
    <t>LIMITS OF MARITIME JURISDICTION</t>
  </si>
  <si>
    <t>WATER</t>
  </si>
  <si>
    <t>Univ Tasmania, IMAS, Oceans &amp; Antarctic Governance Program, Hobart, Tas 7001, Australia</t>
  </si>
  <si>
    <t>Haward, M (corresponding author), Univ Tasmania, IMAS, Oceans &amp; Antarctic Governance Program, Hobart, Tas 7001, Australia.</t>
  </si>
  <si>
    <t>Haward, Marcus/G-3369-2014</t>
  </si>
  <si>
    <t>Haward, Marcus/0000-0003-4775-0864</t>
  </si>
  <si>
    <t>MARTINUS NIJHOFF</t>
  </si>
  <si>
    <t>PO BOX 163, AD-3300 DORDRECHT, NETHERLANDS</t>
  </si>
  <si>
    <t>978-90-04-26259-1; 978-90-04-26258-4</t>
  </si>
  <si>
    <t>BB2KJ</t>
  </si>
  <si>
    <t>WOS:000341833700025</t>
  </si>
  <si>
    <t>Klein, N; Stephens, T</t>
  </si>
  <si>
    <t>Klein, Natalie; Stephens, Tim</t>
  </si>
  <si>
    <t>WHALING IN THE ANTARCTIC: PROTECTING RIGHTS IN AREAS BEYOND NATIONAL JURISDICTION THROUGH INTERNATIONAL LITIGATION</t>
  </si>
  <si>
    <t>[Klein, Natalie] Macquarie Univ, Fac Law, N Ryde, NSW 2109, Australia; [Stephens, Tim] Univ Sydney, Fac Law, Sydney Ctr Int Law, Sydney, NSW 2006, Australia</t>
  </si>
  <si>
    <t>Macquarie University; University of Sydney</t>
  </si>
  <si>
    <t>Klein, N (corresponding author), Macquarie Univ, Fac Law, N Ryde, NSW 2109, Australia.</t>
  </si>
  <si>
    <t>Stephens, Tim/J-4115-2019</t>
  </si>
  <si>
    <t>Stephens, Tim/0000-0001-9678-2227; Klein, Natalie/0000-0001-9838-4302</t>
  </si>
  <si>
    <t>WOS:000341833700026</t>
  </si>
  <si>
    <t>Milligan, B</t>
  </si>
  <si>
    <t>Milligan, Ben</t>
  </si>
  <si>
    <t>MARINE PROTECTED AREAS IN ANTARCTIC WATERS: A REVIEW OF POLICY OPTIONS IN THE CONTEXT OF INTERNATIONAL LAW</t>
  </si>
  <si>
    <t>ENVIRONMENTAL-PROTECTION; ECOSYSTEMS; TOOTHFISH; PROTOCOL</t>
  </si>
  <si>
    <t>[Milligan, Ben] UCL, Ctr Law &amp; Environm, London WC1E 6BT, England; [Milligan, Ben] Univ Wollongong, Australian Natl Ctr Ocean Resources &amp; Secur, Wollongong, NSW 2522, Australia</t>
  </si>
  <si>
    <t>University of London; University College London; University of Wollongong</t>
  </si>
  <si>
    <t>Milligan, B (corresponding author), UCL, Ctr Law &amp; Environm, London WC1E 6BT, England.</t>
  </si>
  <si>
    <t>WOS:000341833700027</t>
  </si>
  <si>
    <t>Wing, SR; Jack, L; Shatova, O; Leichter, JJ; Barr, D; Frew, RD; Gault-Ringold, M</t>
  </si>
  <si>
    <t>Wing, S. R.; Jack, L.; Shatova, O.; Leichter, J. J.; Barr, D.; Frew, R. D.; Gault-Ringold, M.</t>
  </si>
  <si>
    <t>Seabirds and marine mammals redistribute bioavailable iron in the Southern Ocean</t>
  </si>
  <si>
    <t>Fe; Micronutrient; Sub-Antarctic; Biological vector; Trophic position; Primary productivity</t>
  </si>
  <si>
    <t>ALLOCHTHONOUS INPUT; DIOMEDEA-EPOMOPHORA; STABLE-ISOTOPES; CARBON; NITROGEN; FERTILIZATION; DYNAMICS; ISLANDS; ECOLOGY; WHALES</t>
  </si>
  <si>
    <t>Biological vectors are important for redistribution of nutrients in many ecological systems. While availability of iron (Fe) to phyto plankton limits pelagic productivity in the Southern Ocean, biomagnification within marine food webs can lead to high concentrations of Fe in the diet of seabirds and marine mammals. We investigated patterns in concentrations of the micronutrients Fe, Co, Zn and Mn, and the toxins Cd and As, in the guano of oceanic, coastal and predatory seabirds and in faeces of 2 species of marine mammals that congregate to breed in the sub-Antarctic Auckland Islands. We found that much of the variability in concentrations of Fe, Co, Zn and Mn among species could be explained by foraging behaviour and by trophic position. We observed concentrations of Fe to be 8 orders of magnitude higher in the guano of predators and coastal foragers than in the sub-Antarctic mixed layer. High concentrations of As and Cd were associated with organic matter sources from macroalgae. Analyses of the molar ratio Fe:Al indicated that Fe within food webs supporting seabirds has likely been extensively recycled from its lithogenic source. Patterns in Fe:N among species indicated that Fe is concentrated 2 to 4 orders of magnitude in the guano of seabirds compared to limiting conditions for phytoplankton growth in sub-Antarctic waters. These data highlight the potential role of seabirds and marine mammals in the redistribution of micronutrients in the Southern Ocean and their likely role as key nutrient vectors in the ecosystem, particularly around the sub-Antarctic islands during the breeding season.</t>
  </si>
  <si>
    <t>[Wing, S. R.; Jack, L.; Shatova, O.] Univ Otago, Dept Marine Sci, Dunedin 9054, New Zealand; [Leichter, J. J.] Univ Calif San Diego, Scripps Inst Oceanog, San Diego, CA 92093 USA; [Barr, D.; Frew, R. D.; Gault-Ringold, M.] Univ Otago, Dept Chem, Dunedin 9054, New Zealand; [Barr, D.] Univ Otago, Otago Ctr Trace Element Anal, Dunedin 9054, New Zealand</t>
  </si>
  <si>
    <t>University of Otago; University of California System; University of California San Diego; Scripps Institution of Oceanography; University of Otago; University of Otago</t>
  </si>
  <si>
    <t>Wing, SR (corresponding author), Univ Otago, Dept Marine Sci, POB 56, Dunedin 9054, New Zealand.</t>
  </si>
  <si>
    <t>steve.wing@otago.ac.nz</t>
  </si>
  <si>
    <t>Frew, Russell/HDN-6138-2022; Frew, Russell/I-5591-2012; Gault-Ringold, Melanie/H-4089-2011; Jack, Lucy/B-1553-2012; Wing, Lucy/B-8833-2019</t>
  </si>
  <si>
    <t>Frew, Russell/0000-0002-6138-2116; Wing, Lucy/0000-0001-8681-6147; Wing, Stephen/0000-0003-3536-5627; East, Melanie/0000-0002-0040-6428</t>
  </si>
  <si>
    <t>New Zealand's Department of Conservation; University of Otago Research Committee; Royal Society of New Zealand's Marsden Fund [UOO1008]</t>
  </si>
  <si>
    <t>New Zealand's Department of Conservation; University of Otago Research Committee; Royal Society of New Zealand's Marsden Fund(Royal Society of New ZealandMarsden Fund (NZ))</t>
  </si>
  <si>
    <t>We thank Will Rayment, Peter McClelland, Robert Van Hale, Bill Dickson, C. Lalas, Clive Hesseltine and Steve Little for valuable contributions to this research. Support was provided from New Zealand's Department of Conservation, the University of Otago Research Committee and from the Royal Society of New Zealand's Marsden Fund (UOO1008).</t>
  </si>
  <si>
    <t>10.3354/meps10923</t>
  </si>
  <si>
    <t>AQ0FH</t>
  </si>
  <si>
    <t>WOS:000342457800001</t>
  </si>
  <si>
    <t>Knibbe, JS; van Der, RJ; de Laat, ATJ</t>
  </si>
  <si>
    <t>Knibbe, J. S.; van der, R. J.; de Laat, A. T. J.</t>
  </si>
  <si>
    <t>Spatial regression analysis on 32 years of total column ozone data</t>
  </si>
  <si>
    <t>QUASI-BIENNIAL OSCILLATION; ANTARCTIC OZONE; STRATOSPHERIC OZONE; VOLCANIC AEROSOL; TRENDS; CLIMATOLOGY; VARIABILITY; CHEMISTRY; EVOLUTION; TRANSPORT</t>
  </si>
  <si>
    <t>Multiple-regression analyses have been performed on 32 years of total ozone column data that was spatially gridded with a 1x1.5 degrees resolution. The total ozone data consist of the MSR (Multi Sensor Reanalysis; 1979-2008) and 2 years of assimilated SCIAMACHY (SCanning Imaging Absorption spectroMeter for Atmospheric CHartographY) ozone data (2009-2010). The two-dimensionality in this data set allows us to perform the regressions locally and investigate spatial patterns of regression coefficients and their explanatory power. Seasonal dependencies of ozone on regressors are included in the analysis. A new physically oriented model is developed to parameterize stratospheric ozone. Ozone variations on nonseasonal timescales are parameterized by explanatory variables describing the solar cycle, stratospheric aerosols, the quasi-biennial oscillation (QBO), El Nino-Southern Oscillation (ENSO) and stratospheric alternative halogens which are parameterized by the effective equivalent stratospheric chlorine (EESC). For several explanatory variables, seasonally adjusted versions of these explanatory variables are constructed to account for the difference in their effect on ozone throughout the year. To account for seasonal variation in ozone, explanatory variables describing the polar vortex, geopotential height, potential vorticity and average day length are included. Results of this regression model are compared to that of a similar analysis based on a more commonly applied statistically oriented model. The physically oriented model provides spatial patterns in the regression results for each explanatory variable. The EESC has a significant depleting effect on ozone at mid and high latitudes, the solar cycle affects ozone positively mostly in the Southern Hemisphere, stratospheric aerosols affect ozone negatively at high northern latitudes, the effect of QBO is positive and negative in the tropics and mid-to high latitudes, respectively, and ENSO affects ozone negatively between 30 degrees N and 30 degrees S, particularly over the Pacific. The contribution of explanatory variables describing seasonal ozone variation is generally large at mid-to high latitudes. We observe ozone increases with potential vorticity and day length and ozone decreases with geopotential height and variable ozone effects due to the polar vortex in regions to the north and south of the polar vortices. Recovery of ozone is identified globally. However, recovery rates and uncertainties strongly depend on choices that can be made in defining the explanatory variables. The application of several trend models, each with their own pros and cons, yields a large range of recovery rate estimates. Overall these results suggest that care has to be taken in determining ozone recovery rates, in particular for the Antarctic ozone hole.</t>
  </si>
  <si>
    <t>[Knibbe, J. S.; van der, R. J.; de Laat, A. T. J.] Royal Netherlands Meteorol Inst, NL-3730 AE De Bilt, Netherlands; [Knibbe, J. S.] Vrije Univ Amsterdam, Fac Earth &amp; Life Sci, Amsterdam, Netherlands</t>
  </si>
  <si>
    <t>Royal Netherlands Meteorological Institute; Vrije Universiteit Amsterdam</t>
  </si>
  <si>
    <t>Knibbe, JS (corresponding author), Royal Netherlands Meteorol Inst, POB 201, NL-3730 AE De Bilt, Netherlands.</t>
  </si>
  <si>
    <t>j.s.knibbe@vu.nl</t>
  </si>
  <si>
    <t>Knibbe, Jurrien/B-8793-2014</t>
  </si>
  <si>
    <t>Knibbe, Jurrien/0000-0003-1955-7039; de Laat, Jos/0000-0003-1078-5334</t>
  </si>
  <si>
    <t>10.5194/acp-14-8461-2014</t>
  </si>
  <si>
    <t>AP3QK</t>
  </si>
  <si>
    <t>WOS:000341991600015</t>
  </si>
  <si>
    <t>Battle, MO; Severinghaus, JP; Sofen, ED; Plotkin, D; Orsi, AJ; Aydin, M; Montzka, SA; Sowers, T; Tans, PP</t>
  </si>
  <si>
    <t>Battle, M. O.; Severinghaus, J. P.; Sofen, E. D.; Plotkin, D.; Orsi, A. J.; Aydin, M.; Montzka, S. A.; Sowers, T.; Tans, P. P.</t>
  </si>
  <si>
    <t>Controls on the movement and composition of firn air at the West Antarctic Ice Sheet Divide (vol 11, pg 11007, 2011)</t>
  </si>
  <si>
    <t>[Battle, M. O.; Sofen, E. D.; Plotkin, D.] Bowdoin Coll, Dept Phys &amp; Astron, Coll Stn 8800, Brunswick, ME 04011 USA; [Severinghaus, J. P.; Orsi, A. J.] Univ Calif San Diego, Scripps Inst Oceanog, La Jolla, CA 92093 USA; [Aydin, M.] Univ Calif Irvine, Dept Earth Syst Sci, Irvine, CA 92697 USA; [Montzka, S. A.] NOAA, Earth Syst Res Lab, Global Monitoring Div, Boulder, CO 80305 USA; [Sowers, T.; Tans, P. P.] Penn State Univ, Earth &amp; Environm Syst Inst, University Pk, PA 16802 USA</t>
  </si>
  <si>
    <t>Bowdoin College; University of California System; University of California San Diego; Scripps Institution of Oceanography; University of California System; University of California Irvine; National Oceanic Atmospheric Admin (NOAA) - USA; Pennsylvania Commonwealth System of Higher Education (PCSHE); Pennsylvania State University; Pennsylvania State University - University Park</t>
  </si>
  <si>
    <t>Battle, MO (corresponding author), Bowdoin Coll, Dept Phys &amp; Astron, Coll Stn 8800, Brunswick, ME 04011 USA.</t>
  </si>
  <si>
    <t>mbattle@bowdoin.edu</t>
  </si>
  <si>
    <t>montzka, stephen/V-6162-2019; Tans, Pieter/AAG-8273-2019</t>
  </si>
  <si>
    <t>montzka, stephen/0000-0002-9396-0400; Tans, Pieter/0000-0002-9883-0787; Sofen, Eric/0000-0002-4495-2148</t>
  </si>
  <si>
    <t>10.5194/acp-14-9511-2014</t>
  </si>
  <si>
    <t>AP3QX</t>
  </si>
  <si>
    <t>WOS:000341993100003</t>
  </si>
  <si>
    <t>Vance, TDR; Olijve, LLC; Campbell, RL; Voets, IK; Davies, PL; Guo, SQ</t>
  </si>
  <si>
    <t>Vance, Tyler D. R.; Olijve, Luuk L. C.; Campbell, Robert L.; Voets, Ilja K.; Davies, Peter L.; Guo, Shuaiqi</t>
  </si>
  <si>
    <t>Ca2+-stabilized adhesin helps an Antarctic bacterium reach out and bind ice</t>
  </si>
  <si>
    <t>BIOSCIENCE REPORTS</t>
  </si>
  <si>
    <t>bacterial lg-like fold; Ca2+-binding; crystal structure; extender domain; ice-binding adhesin; solution structure</t>
  </si>
  <si>
    <t>SMALL-ANGLE SCATTERING; ANTIFREEZE PROTEINS; BIOLOGICAL MACROMOLECULES; PSEUDOMONAS-PUTIDA; SEDIMENTATION; SHAPE; SIZE</t>
  </si>
  <si>
    <t>The large size of a 1.5-MDa ice-binding adhesin [MpAFP (Marinomonas primoryensis antifreeze protein)] from an Antarctic Gram-negative bacterium, M. primoryensis, is mainly due to its highly repetitive RII (Region II). MpAFP_RII contains roughly 120 tandem copies of an identical 104-residue repeat. We have previously determined that a single RII repeat folds as a Ca2+-dependent immunoglobulin-like domain. Here, we solved the crystal structure of RII tetra-tandemer (four tandem RII repeats) to a resolution of 1.8 A. The RII tetra-tandemer reveals an extended (similar to 190-angstrom x similar to 25-angstrom), rod-like structure with four RH-repeats aligned in series with each other. The inter-repeat regions of the RII tetra-tandemer are strengthened by Ca2+ bound to acidic residues. SAXS (small-angle X-ray scattering) profiles indicate the RII tetra-tandemer is significantly rigidified upon Ca2+ binding, and that the protein's solution structure is in excellent agreement with its crystal structure. We hypothesize that &gt;600 Ca2+ help rigidify the chain of similar to 120 104-residue repeats to form a similar to 0.6 mu m rod-like structure in order to project the ice-binding domain of MpAFP away from the bacterial cell surface. The proposed extender role of RII can help the strictly aerobic, motile bacterium bind ice in the upper reaches of the Antarctic lake where oxygen and nutrients are most abundant. Ca2+-induced rigidity of tandem lg-like repeats in large adhesins might be a general mechanism used by bacteria to bind to their substrates and help colonize specific niches.</t>
  </si>
  <si>
    <t>[Vance, Tyler D. R.; Campbell, Robert L.; Davies, Peter L.; Guo, Shuaiqi] Queens Univ, Prot Funct Discovery Grp, Kingston, ON, Canada; [Vance, Tyler D. R.; Campbell, Robert L.; Davies, Peter L.; Guo, Shuaiqi] Queens Univ, Dept Biomed &amp; Mol Sci, Kingston, ON, Canada; [Olijve, Luuk L. C.; Voets, Ilja K.] Eindhoven Univ Technol, Dept Chem Engn &amp; Chem, Lab Macromol &amp; Organ Chem, NL-5600 MB Eindhoven, Netherlands; [Olijve, Luuk L. C.; Voets, Ilja K.] Eindhoven Univ Technol, Dept Chem Engn &amp; Chem, Inst Complex Mol Syst, NL-5600 MB Eindhoven, Netherlands</t>
  </si>
  <si>
    <t>Queens University - Canada; Queens University - Canada; Eindhoven University of Technology; Eindhoven University of Technology</t>
  </si>
  <si>
    <t>Guo, SQ (corresponding author), Queens Univ, Prot Funct Discovery Grp, Kingston, ON, Canada.</t>
  </si>
  <si>
    <t>guo.shuaiqi@queensu.ca</t>
  </si>
  <si>
    <t>Voets, Ilja/AAG-7502-2021; Voets, Ilja K/E-3604-2014</t>
  </si>
  <si>
    <t>Voets, Ilja/0000-0003-3543-4821; Campbell, Robert/0000-0002-5473-5876</t>
  </si>
  <si>
    <t>Canadian Institutes of Health Research; Ontario Graduate Scholarship; Canada Research Chair in Protein Engineering; Netherlands Organisation for Scientific Research (NWO-VENI) [700.10.406]; European Union [293788]</t>
  </si>
  <si>
    <t>Canadian Institutes of Health Research(Canadian Institutes of Health Research (CIHR)); Ontario Graduate Scholarship(Ontario Graduate Scholarship); Canada Research Chair in Protein Engineering(Canada Research Chairs); Netherlands Organisation for Scientific Research (NWO-VENI)(Netherlands Organization for Scientific Research (NWO)); European Union(European Union (EU))</t>
  </si>
  <si>
    <t>This work was supported by the Canadian Institutes of Health Research (to P.L.D.) T.D.R.V. was the recipient of an Ontario Graduate Scholarship. P.L.D. holds the Canada Research Chair in Protein Engineering. I.K.V. gratefully acknowledges the Netherlands Organisation for Scientific Research (NWO-VENI) [grant number 700.10.406] and the European Union through the Marie Curie Fellowship program FP7-PEOPLE-2011-CIG [grant number 293788] for funding.</t>
  </si>
  <si>
    <t>PORTLAND PRESS LTD</t>
  </si>
  <si>
    <t>1ST FLR, 10 QUEEN STREET PLACE, LONDON, ENGLAND</t>
  </si>
  <si>
    <t>0144-8463</t>
  </si>
  <si>
    <t>1573-4935</t>
  </si>
  <si>
    <t>BIOSCIENCE REP</t>
  </si>
  <si>
    <t>Biosci. Rep.</t>
  </si>
  <si>
    <t>U218</t>
  </si>
  <si>
    <t>e00121</t>
  </si>
  <si>
    <t>10.1042/BSR20140083</t>
  </si>
  <si>
    <t>Biochemistry &amp; Molecular Biology; Cell Biology</t>
  </si>
  <si>
    <t>AP2YW</t>
  </si>
  <si>
    <t>WOS:000341943100005</t>
  </si>
  <si>
    <t>Gallet, JC; Domine, F; Savarino, J; Dumont, M; Brun, E</t>
  </si>
  <si>
    <t>Gallet, J. -C.; Domine, F.; Savarino, J.; Dumont, M.; Brun, E.</t>
  </si>
  <si>
    <t>The growth of sublimation crystals and surface hoar on the Antarctic plateau</t>
  </si>
  <si>
    <t>ENERGY-BALANCE; DOME C; BIDIRECTIONAL REFLECTANCE; RADIATIVE-TRANSFER; SPECTRAL ALBEDO; SNOW SURFACE; DAILY CYCLE; AREA; DENSITY; ICE</t>
  </si>
  <si>
    <t>On the Antarctic plateau, precipitation quantities are so low that the surface mass budget is for an important part determined by exchanges of water vapor between the snow surface and the atmosphere surface. At Dome C (75 degrees S, 123 degrees E), we have frequently observed the growth of crystals on the snow surface under calm sunny weather. Here we present the time variations of specific surface area (SSA) and density of these crystals. Using the detailed snow model Crocus, we conclude that the formation of these crystals was very likely due to the nighttime formation of surface hoar crystals and to the daytime formation of sublimation crystals. These latter crystals form by processes similar to those involved in the formation of frost flowers on young sea ice. The formation of these crystals impacts the albedo, mass and energy budget of the Antarctic plateau. In particular, the SSA variations of the surface layer can induce an instantaneous forcing at the snow surface up to -10 W m(-2) at noon, resulting in a surface temperature drop of 0.45 K. This result confirms that snow SSA is a crucial variable to consider in the energy budget and climate of snow-covered surfaces.</t>
  </si>
  <si>
    <t>[Gallet, J. -C.] Norwegian Polar Res Inst, Tromso, Norway; [Gallet, J. -C.; Domine, F.; Savarino, J.] CNRS, LGGE, F-38041 Grenoble, France; [Gallet, J. -C.; Domine, F.; Savarino, J.] Univ Grenoble Alpes, LGGE, F-38041 Grenoble, France; [Domine, F.] Univ Laval, Takuvik Joint Int Lab, Quebec City, PQ, Canada; [Domine, F.] Univ Laval, Dept Chem, Quebec City, PQ G1K 7P4, Canada; [Domine, F.] CNRS, Quebec City, PQ, Canada; [Dumont, M.] CEN, CNRM GAME UMR 3589, Meteo France CNRS, St Martin Dheres, France; [Brun, E.] CNRM GAME UMR 3589, Meteo France CNRS, Toulouse, France</t>
  </si>
  <si>
    <t>Norwegian Polar Institute; Communaute Universite Grenoble Alpes; Universite Grenoble Alpes (UGA); Centre National de la Recherche Scientifique (CNRS); Communaute Universite Grenoble Alpes; Universite Grenoble Alpes (UGA); Laval University; Laval University; Centre National de la Recherche Scientifique (CNRS); CNRS - National Institute for Earth Sciences &amp; Astronomy (INSU); Meteo France; Meteo France; Centre National de la Recherche Scientifique (CNRS); CNRS - National Institute for Earth Sciences &amp; Astronomy (INSU)</t>
  </si>
  <si>
    <t>Domine, F (corresponding author), CNRS, LGGE, F-38041 Grenoble, France.</t>
  </si>
  <si>
    <t>florent.domine@gmail.com</t>
  </si>
  <si>
    <t>Dumont, Marie/R-4507-2019; Dumont, Marie/A-7271-2015; Savarino, Joel/H-9730-2012</t>
  </si>
  <si>
    <t>Dumont, Marie/0000-0002-4002-5873; Savarino, Joel/0000-0002-6708-9623; Gallet, Jean-Charles/0000-0002-6153-1361</t>
  </si>
  <si>
    <t>French Polar Institute (IPEV) under grant Nite DC [1011]; Norwegian Research council (Norklima program) [193717]; Norwegian Research Council [209681/E10]</t>
  </si>
  <si>
    <t>French Polar Institute (IPEV) under grant Nite DC; Norwegian Research council (Norklima program); Norwegian Research Council(Research Council of Norway)</t>
  </si>
  <si>
    <t>This work was funded by the French Polar Institute (IPEV) under grant Nite DC, no. 1011. We thank G. Picard for discussions on energy and mass exchanges at the surface. We are grateful to L. Arnaud for providing us with the snow surface temperature data and the BSRN network for the radiation data. We thank all the technical staff of the Dome Concordia station for their help during the campaign. C. Genthon kindly provided data at 4 m from the tower. JCG was also supported through the project Long range transport of Black Carbon and its effect on snow albedo in North East China and in the Arctic funded by the Norwegian Research council (Norklima program, project 193717) and Satellite Remote Sensing of Atmosphere-Surface Systems and Ground Truth Measurements funded by the Norwegian Research Council (Norklima program, project 209681/E10).</t>
  </si>
  <si>
    <t>10.5194/tc-8-1205-2014</t>
  </si>
  <si>
    <t>AO8RU</t>
  </si>
  <si>
    <t>WOS:000341622700007</t>
  </si>
  <si>
    <t>Huss, M; Farinotti, D</t>
  </si>
  <si>
    <t>Huss, M.; Farinotti, D.</t>
  </si>
  <si>
    <t>A high-resolution bedrock map for the Antarctic Peninsula</t>
  </si>
  <si>
    <t>ICE-THICKNESS DISTRIBUTION; RADIO-ECHO SOUNDINGS; BED TOPOGRAPHY; MASS-BALANCE; GLACIER; SURFACE; FLOW; GREENLAND; VOLUME; MODEL</t>
  </si>
  <si>
    <t>Assessing and projecting the dynamic response of glaciers on the Antarctic Peninsula to changed atmospheric and oceanic forcing requires high-resolution ice thickness data as an essential geometric constraint for ice flow models. Here, we derive a complete bedrock data set for the Antarctic Peninsula north of 70 degrees S on a 100 m grid. We calculate distributed ice thickness based on surface topography and simple ice dynamic modelling. Our approach is constrained with all available thickness measurements from Operation IceBridge and gridded ice flow speeds for the entire study region. The new data set resolves the rugged subglacial topography in great detail, indicates deeply incised troughs, and shows that 34% of the ice volume is grounded below sea level. The Antarctic Peninsula has the potential to raise global sea level by 69 +/- 5 mm. In comparison to Bedmap2, covering all Antarctica on a 1 km grid, a significantly higher mean ice thickness (+48%) is found.</t>
  </si>
  <si>
    <t>[Huss, M.] Swiss Fed Inst Technol, Lab Hydraul Hydrol &amp; Glaciol VAW, CH-8093 Zurich, Switzerland; [Huss, M.] Univ Fribourg, Dept Geosci, CH-1700 Fribourg, Switzerland; [Farinotti, D.] German Res Ctr Geosci GFZ, D-14473 Potsdam, Germany</t>
  </si>
  <si>
    <t>Swiss Federal Institutes of Technology Domain; ETH Zurich; University of Fribourg; Helmholtz Association; Helmholtz-Center Potsdam GFZ German Research Center for Geosciences</t>
  </si>
  <si>
    <t>Huss, M (corresponding author), Swiss Fed Inst Technol, Lab Hydraul Hydrol &amp; Glaciol VAW, CH-8093 Zurich, Switzerland.</t>
  </si>
  <si>
    <t>huss@vaw.baug.ethz.ch</t>
  </si>
  <si>
    <t>Huss, Matthias/O-1399-2019; Huss, Matthias/JLL-6340-2023</t>
  </si>
  <si>
    <t>Huss, Matthias/0000-0002-2377-6923; Farinotti, Daniel/0000-0003-3417-4570</t>
  </si>
  <si>
    <t>10.5194/tc-8-1261-2014</t>
  </si>
  <si>
    <t>WOS:000341622700010</t>
  </si>
  <si>
    <t>Sun, S; Cornford, SL; Liu, Y; Moore, JC</t>
  </si>
  <si>
    <t>Sun, S.; Cornford, S. L.; Liu, Y.; Moore, J. C.</t>
  </si>
  <si>
    <t>Dynamic response of Antarctic ice shelves to bedrock uncertainty</t>
  </si>
  <si>
    <t>PINE ISLAND GLACIER; MASS-BALANCE; WEST ANTARCTICA; GROUNDING LINES; HIGHER-ORDER; MARINE ICE; SHEET; RETREAT; WIDESPREAD; SATELLITE</t>
  </si>
  <si>
    <t>Accurate and extensive bedrock geometry data is essential in ice sheet modelling. The shape of the bedrock on fine scales can influence ice sheet evolution, for example through the formation of pinning points that alter grounding line dynamics. Here we test the sensitivity of the BISICLES adaptive mesh ice sheet model to small-amplitude height fluctuations on different spatial scales in the bedrock topography provided by Bedmap2 in the catchments of Pine Island Glacier, the Amery Ice shelf and a region of East Antarctica including the Aurora Basin, Law Dome and Totten Glacier. We generate an ensemble of bedrock topographies by adding random noise to the Bedmap2 data with amplitude determined by the accompanying estimates of bedrock uncertainty. We find that the small-amplitude fluctuations result in only minor changes in the way these glaciers evolve. However, lower-frequency noise, with a broad spatial scale (over tens of kilometres) is more important than higher-frequency noise even when the features have the same height amplitudes and the total noise power is maintained. This is cause for optimism regarding credible sea level rise estimates with presently achievable density of thickness measurements. Pine Island Glacier and the region around Totten Glacier and Law Dome undergo substantial retreat and appear to be more sensitive to errors in bed topography than the Amery Ice shelf region which remains stable under the present-day observational data uncertainty.</t>
  </si>
  <si>
    <t>[Sun, S.; Liu, Y.; Moore, J. C.] Beijing Normal Univ, Coll Global Change &amp; Earth Syst Sci, Beijing 100875, Peoples R China; [Cornford, S. L.] Univ Bristol, Sch Geog Sci, Bristol BS8 1SS, Avon, England; [Moore, J. C.] Univ Lapland, Arctic Ctr, Rovaniemi 96100, Finland; [Moore, J. C.] Uppsala Univ, Dept Earth Sci, S-75236 Uppsala, Sweden</t>
  </si>
  <si>
    <t>Beijing Normal University; University of Bristol; University of Lapland; Uppsala University</t>
  </si>
  <si>
    <t>Moore, JC (corresponding author), Beijing Normal Univ, Coll Global Change &amp; Earth Syst Sci, Beijing 100875, Peoples R China.</t>
  </si>
  <si>
    <t>john.moore.bnu@gmail.com</t>
  </si>
  <si>
    <t>Moore, John C/B-2868-2013; Liu）, 刘岩（Yan/AAT-5481-2020</t>
  </si>
  <si>
    <t>Moore, John C/0000-0001-8271-5787; Sun, Sainan/0000-0002-1614-2658; Cornford, Stephen/0000-0003-1844-274X</t>
  </si>
  <si>
    <t>NBRPC [2012CB957702, 2012CB957704]; NSFC [41076125]; Fundamental Research Funds for the Central Universities of China [2013NT53]; Nordic Top-level Research Initiative; US Department of Energy; UK Natural Environment Research Council</t>
  </si>
  <si>
    <t>NBRPC(National Basic Research Program of China); NSFC(National Natural Science Foundation of China (NSFC)); Fundamental Research Funds for the Central Universities of China(Fundamental Research Funds for the Central Universities); Nordic Top-level Research Initiative; US Department of Energy(United States Department of Energy (DOE)); UK Natural Environment Research Council(UK Research &amp; Innovation (UKRI)Natural Environment Research Council (NERC))</t>
  </si>
  <si>
    <t>Funding came from NBRPC 2012CB957702, NSFC No. 41076125, NBRPC 2012CB957704, Fundamental Research Funds for the Central Universities of China 2013NT53, and is publication number 35 of the Nordic Centre of Excellence SVALI, Stability and Variations of Arctic Land Ice, funded by the Nordic Top-level Research Initiative. BISICLES development is led by D. F. Martin at Lawrence Berkeley National Laboratory, California, USA, and S. L. Cornford at the University of Bristol, UK, with financial support provided by the US Department of Energy and the UK Natural Environment Research Council. The geometry of Pine Island Glacier is developed by A. Le Brocq. We thank O. Gagliardini for assistance with Elmer/Ice.</t>
  </si>
  <si>
    <t>10.5194/tc-8-1561-2014</t>
  </si>
  <si>
    <t>Green Submitted, gold, Green Accepted</t>
  </si>
  <si>
    <t>WOS:000341622700031</t>
  </si>
  <si>
    <t>Xia, WT; Xie, HJ; Ke, CQ</t>
  </si>
  <si>
    <t>Xia, Wentao; Xie, Hongjie; Ke, Changqing</t>
  </si>
  <si>
    <t>Assessing trend and variation of Arctic sea-ice extent during 1979-2012 from a latitude perspective of ice edge</t>
  </si>
  <si>
    <t>NSIDC ice index; Arctic; sea-ice extent; ice-edge latitude</t>
  </si>
  <si>
    <t>RECORD; TEMPERATURE; VARIABILITY; CIRCULATION; IMPACT; COVER</t>
  </si>
  <si>
    <t>Arctic sea-ice extent (in summer) has been shrinking since the 1970s. However, we have little knowledge of the detailed spatial variability of this shrinking. In this study, we examine the (latitudinal) ice extent along each degree of longitude, using the monthly Arctic ice index data sets (1979-2012) from the National Snow and Ice Data Center. Statistical analysis suggests that: (1) for summer months (July-October), there was a 34-year declining trend in sea-ice extent at most regions, except for the Canadian Arctic Archipelago, Greenland and Svalbard, with retreat rates of 0.0562-0.0898 latitude degree/year (or 6.26-10.00 km/year, at a significance level of 0.05); (2) for sea ice not geographically muted by the continental coastline in winter months (January-April), there was a declining trend of 0.0216-0.0559 latitude degree/year (2.40-6.22 km/year, at a significance level of 0.05). Regionally, the most evident sea-ice decline occurred in the Chukchi Sea from August to October, Baffin Bay and Greenland Sea from January to May, Barents Sea in most months, Kara Sea from July to August and Laptev Sea and eastern Siberian Sea in August and September. Trend analysis also indicates that: (1) the decline in summer ice extent became significant (at a 0.05 significance level) since 1999 and (2) winter ice extent showed a clear changing point (decline) around 2000, becoming statistically significant around 2005. The Pacific-Siberian sector of the Arctic accounted for most of the summer sea-ice decline, while the winter recovery of sea ice in the Atlantic sector tended to decrease.</t>
  </si>
  <si>
    <t>[Xia, Wentao; Xie, Hongjie] Univ Texas San Antonio, Dept Geol Sci, Lab Remote Sensing &amp; Geoinformat, San Antonio, TX 78249 USA; [Ke, Changqing] Nanjing Univ, Sch Geog &amp; Oceanog Sci, Nanjing 210093, Jiangsu, Peoples R China</t>
  </si>
  <si>
    <t>University of Texas System; University of Texas at San Antonio (UTSA); Nanjing University</t>
  </si>
  <si>
    <t>Xie, HJ (corresponding author), Univ Texas San Antonio, Dept Geol Sci, Lab Remote Sensing &amp; Geoinformat, San Antonio, TX 78249 USA.</t>
  </si>
  <si>
    <t>hongjie.xie@utsa.edu</t>
  </si>
  <si>
    <t>Xie, Hongjie/B-5845-2009</t>
  </si>
  <si>
    <t>Xie, Hongjie/0000-0003-3516-1210</t>
  </si>
  <si>
    <t>University of Texas at San Antonio Collaborative Research Seed Grant Program; International Cooperation Program of Chinese Arctic and Antarctic Administration [IC201301]; Chinese Polar Environment Comprehensive Investigation &amp; Assessment Programs [CHINARE2013-04-03]</t>
  </si>
  <si>
    <t>University of Texas at San Antonio Collaborative Research Seed Grant Program; International Cooperation Program of Chinese Arctic and Antarctic Administration; Chinese Polar Environment Comprehensive Investigation &amp; Assessment Programs</t>
  </si>
  <si>
    <t>This work was partially supported by the University of Texas at San Antonio Collaborative Research Seed Grant Program, the International Cooperation Program of Chinese Arctic and Antarctic Administration (no. IC201301), and the Chinese Polar Environment Comprehensive Investigation &amp; Assessment Programs (no. CHINARE2013-04-03). Provision of ice index data through NSIDC is sincerely appreciated. Critical reviews and constructional comments from two anonymous reviewers to improve the quality of this manuscript are greatly appreciated.</t>
  </si>
  <si>
    <t>POLAR RES-SWEDEN</t>
  </si>
  <si>
    <t>10.3402/polar.v33.21249</t>
  </si>
  <si>
    <t>AP0LS</t>
  </si>
  <si>
    <t>WOS:000341753600001</t>
  </si>
  <si>
    <t>Balcerzak, AK; Capicciotti, CJ; Briard, JG; Ben, RN</t>
  </si>
  <si>
    <t>Balcerzak, Anna K.; Capicciotti, Chantelle J.; Briard, Jennie G.; Ben, Robert N.</t>
  </si>
  <si>
    <t>Designing ice recrystallization inhibitors: from antifreeze (glyco)proteins to small molecules</t>
  </si>
  <si>
    <t>RSC ADVANCES</t>
  </si>
  <si>
    <t>UMBILICAL-CORD BLOOD; FLOUNDER PSEUDOPLEURONECTES-AMERICANUS; THERMAL HYSTERESIS PROTEIN; ANTARCTIC FISHES; FREEZING RESISTANCE; POLAR FISH; NONEQUILIBRIUM ANTIFREEZE; GLYCOPROTEIN ANALOGS; POLY(VINYL ALCOHOL); WINTER FLOUNDER</t>
  </si>
  <si>
    <t>Ice recrystallization occurs during cryopreservation and is correlated with reduced cell viability after thawing. Therefore, ice recrystallization inhibition (IRI) activity is a very desirable property for an effective cryoprotectant. Antifreeze proteins (AFPs) and antifreeze glycoproteins (AFGPs) were the first compounds discovered with this property, however they are poor cryoprotectants due to their unique ability to bind to ice and alter habits of ice crystals. Consequently, AFGP analogues with custom-tailored antifreeze activity have been developed which exhibit potent IRI activity but do not bind to ice. Subsequent to this, it was reported that simple mono- and disaccharides exhibit moderate IRI activity and this has ultimately facilitated the discovery of several small carbohydrate-based ice recrystallization inhibitors with IRI activity similar to that of native AFGP-8. This represents a major advancement in the field of ice recrystallization inhibitors (IRIs). The recent developments of IRIs will be reviewed, focusing on novel small molecules that have great potential for use as cryoprotectants.</t>
  </si>
  <si>
    <t>[Balcerzak, Anna K.; Capicciotti, Chantelle J.; Briard, Jennie G.; Ben, Robert N.] Univ Ottawa, Dept Chem, Ottawa, ON K1N 6N5, Canada</t>
  </si>
  <si>
    <t>Ben, RN (corresponding author), Univ Ottawa, Dept Chem, 10 Marie Curie, Ottawa, ON K1N 6N5, Canada.</t>
  </si>
  <si>
    <t>rben@uottawa.ca</t>
  </si>
  <si>
    <t>Ben, Robert/0000-0002-4625-5389</t>
  </si>
  <si>
    <t>Natural Sciences and Engineering Research Council of Canada (NSERC); Canadian Blood Services (CBS); Canadian Institutes of Health Research (CIHR); Canadian Foundation Innovation (CFI); GreenCentre Canada; CBS</t>
  </si>
  <si>
    <t>Natural Sciences and Engineering Research Council of Canada (NSERC)(Natural Sciences and Engineering Research Council of Canada (NSERC)); Canadian Blood Services (CBS); Canadian Institutes of Health Research (CIHR)(Canadian Institutes of Health Research (CIHR)); Canadian Foundation Innovation (CFI)(Canada Foundation for Innovation); GreenCentre Canada; CBS</t>
  </si>
  <si>
    <t>The authors acknowledge the Natural Sciences and Engineering Research Council of Canada (NSERC), Canadian Blood Services (CBS), Canadian Institutes of Health Research (CIHR), Canadian Foundation Innovation (CFI) and GreenCentre Canada for financial support. The views expressed herein do not necessarily represent the views of the federal government. C.J.C and J.G.B. acknowledge CBS for a graduate fellowship program award.</t>
  </si>
  <si>
    <t>ROYAL SOC CHEMISTRY</t>
  </si>
  <si>
    <t>THOMAS GRAHAM HOUSE, SCIENCE PARK, MILTON RD, CAMBRIDGE CB4 0WF, CAMBS, ENGLAND</t>
  </si>
  <si>
    <t>2046-2069</t>
  </si>
  <si>
    <t>RSC ADV</t>
  </si>
  <si>
    <t>RSC Adv.</t>
  </si>
  <si>
    <t>10.1039/c4ra06893a</t>
  </si>
  <si>
    <t>Chemistry, Multidisciplinary</t>
  </si>
  <si>
    <t>Chemistry</t>
  </si>
  <si>
    <t>AP6PF</t>
  </si>
  <si>
    <t>WOS:000342199000062</t>
  </si>
  <si>
    <t>Dachwald, B; Mikucki, J; Tulaczyk, S; Digel, I; Espe, C; Feldmann, M; Francke, G; Kowalski, J; Xu, CS</t>
  </si>
  <si>
    <t>Dachwald, Bernd; Mikucki, Jill; Tulaczyk, Slawek; Digel, Ilya; Espe, Clemens; Feldmann, Marco; Francke, Gero; Kowalski, Julia; Xu, Changsheng</t>
  </si>
  <si>
    <t>IceMole: a maneuverable probe for clean in situ analysis and sampling of subsurface ice and subglacial aquatic ecosystems</t>
  </si>
  <si>
    <t>Antarctic glaciology; extraterrestrial glaciology; glaciological instruments and methods; subglacial exploration geophysics; subglacial lakes</t>
  </si>
  <si>
    <t>TAYLOR GLACIER; BLOOD FALLS; ENCELADUS; ANTARCTICA; PLUME; WATER; LIFE</t>
  </si>
  <si>
    <t>There is significant interest in sampling subglacial environments for geobiological studies, but they are difficult to access. Existing ice-drilling technologies make it cumbersome to maintain microbiologically clean access for sample acquisition and environmental stewardship of potentially fragile subglacial aquatic ecosystems. The IceMole is a maneuverable subsurface ice probe for clean in situ analysis and sampling of glacial ice and subglacial materials. The design is based on the novel concept of combining melting and mechanical propulsion. It can change melting direction by differential heating of the melting head and optional side-wall heaters. The first two prototypes were successfully tested between 2010 and 2012 on glaciers in Switzerland and Iceland. They demonstrated downward, horizontal and upward melting, as well as curve driving and dirt layer penetration. A more advanced probe is currently under development as part of the Enceladus Explorer (EnEx) project. It offers systems for obstacle avoidance, target detection, and navigation in ice. For the EnEx-IceMole, we will pay particular attention to clean protocols for the sampling of subglacial materials for biogeochemical analysis. We plan to use this probe for clean access into a unique subglacial aquatic environment at Blood Falls, Antarctica, with return of a subglacial brine sample.</t>
  </si>
  <si>
    <t>[Dachwald, Bernd; Espe, Clemens; Feldmann, Marco; Francke, Gero; Kowalski, Julia; Xu, Changsheng] FH Aachen Univ Appl Sci, Fac Aerosp Engn, Aachen, Germany; [Mikucki, Jill] Univ Tennessee, Dept Microbiol, Knoxville, TN 37996 USA; [Tulaczyk, Slawek] Univ Calif Santa Cruz, Dept Earth &amp; Planetary Sci, Santa Cruz, CA 95064 USA; [Digel, Ilya] FH Aachen Univ Appl Sci, Inst Bioengn, Julich, Germany</t>
  </si>
  <si>
    <t>University of Tennessee System; University of Tennessee Knoxville; University of California System; University of California Santa Cruz</t>
  </si>
  <si>
    <t>Dachwald, B (corresponding author), FH Aachen Univ Appl Sci, Fac Aerosp Engn, Aachen, Germany.</t>
  </si>
  <si>
    <t>dachwald@fh-aachen.de</t>
  </si>
  <si>
    <t>Digel, Ilya/B-9711-2008; Dachwald, Bernd/K-6552-2019; Tulaczyk, Slawek/O-7375-2018</t>
  </si>
  <si>
    <t>Digel, Ilya/0000-0002-3418-0252; Dachwald, Bernd/0000-0001-8765-8339; Tulaczyk, Slawek/0000-0002-9711-4332; Kowalski, Julia/0000-0003-4123-5896</t>
  </si>
  <si>
    <t>resolution of the German parliament [50 NA 1206]; NSF Office of Polar Programs [ANT-1144178, ANT-1144192]; Office of Polar Programs (OPP); Directorate For Geosciences [1144192] Funding Source: National Science Foundation; Office of Polar Programs (OPP); Directorate For Geosciences [1727387, 1619795] Funding Source: National Science Foundation</t>
  </si>
  <si>
    <t>resolution of the German parliament; NSF Office of Polar Programs(National Science Foundation (NSF)); Office of Polar Programs (OPP); Directorate For Geosciences(National Science Foundation (NSF)NSF - Directorate for Geosciences (GEO)); Office of Polar Programs (OPP); Directorate For Geosciences(National Science Foundation (NSF)NSF - Directorate for Geosciences (GEO))</t>
  </si>
  <si>
    <t>The IceMole team thanks Thorsteinn Thorsteinsson and his colleagues at the Icelandic Meteorological Office for their kind field-test support at Hofsjokull. The Enceladus Explorer project is based on an idea and initiative of the DLR Space Administration. It is funded by resolution of the German parliament under project No. 50 NA 1206. The Enceladus Explorer collaboration comprises the following universities: FH Aachen University of Applied Sciences; Bundeswehr University Munich; University of Bremen; Braunschweig University of Technology; RWTH Aachen University; and University of Wuppertal. The MIDGE project is funded by the NSF Office of Polar Programs under grants ANT-1144178 to J.M. and ANT-1144192 to S.T.</t>
  </si>
  <si>
    <t>10.3189/2014AoG65A004</t>
  </si>
  <si>
    <t>AO9LI</t>
  </si>
  <si>
    <t>WOS:000341676800003</t>
  </si>
  <si>
    <t>Talalay, PG; Zagorodnov, VS; Markov, AN; Sysoev, MA; Hong, J</t>
  </si>
  <si>
    <t>Talalay, P. G.; Zagorodnov, V. S.; Markov, A. N.; Sysoev, M. A.; Hong, J.</t>
  </si>
  <si>
    <t>Recoverable autonomous sonde (RECAS) for environmental exploration of Antarctic subglacial lakes: general concept</t>
  </si>
  <si>
    <t>The proposed RECoverable Autonomous Sonde (RECAS) will allow analysis and sampling of subglacial water while the subglacial lake remains isolated from the surface. The probe is equipped with two electrically heated melting tips, one on the bottom and one on the top of a cylindrical probe. When one of the tips is powered, the RECAS moves up or down similarly to a hot-point thermal electric drill. The electric power and signal cable is coiled inside the probe on an electric-motor-powered coil. When the lower tip is powered, the probe advances downwards by gravity. In order to move the probe up, power is applied to the upper heated tip and the coil motor pulls the cable, moving the probe upwards and melting the borehole above the probe. A conventional internal combustion engine electric generator on the glacier surface provides 9-10 kW of power to the RECAS via an umbilical cable stored in the probe. Electric power enables a penetration rate of 2.4-2.9 mh(-1), and thus 4-5 months will be required to reach a depth of 3500 m and return to the surface.</t>
  </si>
  <si>
    <t>[Talalay, P. G.; Zagorodnov, V. S.; Markov, A. N.; Sysoev, M. A.; Hong, J.] Jilin Univ, Polar Res Ctr, Changchun 130023, Peoples R China; [Zagorodnov, V. S.] Ohio State Univ, Byrd Polar Res Ctr, Columbus, OH 43210 USA</t>
  </si>
  <si>
    <t>Jilin University; University System of Ohio; Ohio State University</t>
  </si>
  <si>
    <t>Talalay, PG (corresponding author), Jilin Univ, Polar Res Ctr, Changchun 130023, Peoples R China.</t>
  </si>
  <si>
    <t>ptalalay@yahoo.com</t>
  </si>
  <si>
    <t>Hong, Jialin/0000-0002-9664-6361; Talalay, Pavel/0000-0002-8230-4600</t>
  </si>
  <si>
    <t>10.3189/2014AoG65A003</t>
  </si>
  <si>
    <t>WOS:000341676800004</t>
  </si>
  <si>
    <t>Talalay, P; Hu, ZY; Xu, HW; Yu, DH; Han, LL; Han, JJ; Wang, LL</t>
  </si>
  <si>
    <t>Talalay, Pavel; Hu, Zhengyi; Xu, Huiwen; Yu, Dahui; Han, Lili; Han, Junjie; Wang, Lili</t>
  </si>
  <si>
    <t>Environmental considerations of low-temperature drilling fluids</t>
  </si>
  <si>
    <t>glaciological instruments and methods; ice coring; subglacial lakes</t>
  </si>
  <si>
    <t>ICE SHEETS; TECHNOLOGY; CLOSURE; OZONE</t>
  </si>
  <si>
    <t>The introduction of low-temperature fluid into boreholes drilled in ice sheets helps to remove drilling cuttings and to prevent borehole closure through visco-plastic deformation. Only special fluids, or mixtures of fluids, can satisfy the very strict criteria for deep drilling in cold ice. The effects of drilling fluid on the natural environment are analyzed from the following points of view: (1) occupational safety and health; (2) ozone depletion and global warming; (3) chemical pollution; and (4) biological pollution. Traditional low-temperature drilling fluids (kerosene-based fluids with density additives, ethanol and n-butyl acetate) cannot be qualified as intelligent choices from the safety, environmental and technological standpoints. This paper introduces a new type of low-temperature drilling fluid composed of synthetic ESTISOLTM esters, which are non-hazardous substances. ESTISOLTM 140 mixtures with ESTISOLTM 165 or ESTISOLTM F2887 have an acceptable density and viscosity at low temperature. To avoid the potential for biological contamination of the subglacial environment, the borehole drilling fluid should be treated carefully on the surface.</t>
  </si>
  <si>
    <t>[Talalay, Pavel; Hu, Zhengyi; Xu, Huiwen; Yu, Dahui; Han, Junjie; Wang, Lili] Jilin Univ, Polar Res Ctr, Changchun 130023, Peoples R China; [Han, Lili] CAGS, Inst Explorat Tech, Langfang, Hebei, Peoples R China</t>
  </si>
  <si>
    <t>Jilin University</t>
  </si>
  <si>
    <t>Talalay, P (corresponding author), Jilin Univ, Polar Res Ctr, Changchun 130023, Peoples R China.</t>
  </si>
  <si>
    <t>wang, lili/HDL-7210-2022</t>
  </si>
  <si>
    <t>Talalay, Pavel/0000-0002-8230-4600</t>
  </si>
  <si>
    <t>National Science Foundation of China [41276189]; Ministry of Land and Resources of China [201311041]</t>
  </si>
  <si>
    <t>National Science Foundation of China(National Natural Science Foundation of China (NSFC)); Ministry of Land and Resources of China</t>
  </si>
  <si>
    <t>This paper describes the research conducted under the general project 'Research on environmentally friendly drilling fluid impact on Polar regions environment' (No. 41276189) organized by the National Science Foundation of China, and the non-profit project 'Technology of wall stability retention in deep boreholes drilled in ice sheets' (No. 201311041) granted by the Ministry of Land and Resources of China. We thank Alex Pyne and Robyn McFarlane of the Antarctic Research Centre, Victoria University of Wellington, New Zealand, for very helpful comments and for editing this paper, and anonymous reviewers for helpful advice.</t>
  </si>
  <si>
    <t>10.3189/2014AoG65A226</t>
  </si>
  <si>
    <t>WOS:000341676800005</t>
  </si>
  <si>
    <t>Tulaczyk, S; Mikucki, JA; Siegfried, MR; Priscu, JC; Barcheck, CG; Beem, LH; Behar, A; Burnett, J; Christner, BC; Fisher, AT; Fricker, HA; Mankoff, KD; Powell, RD; Rack, F; Sampson, D; Scherer, RP; Schwartz, SY</t>
  </si>
  <si>
    <t>Tulaczyk, Slawek; Mikucki, Jill A.; Siegfried, Matthew R.; Priscu, John C.; Barcheck, C. Grace; Beem, Lucas H.; Behar, Alberto; Burnett, Justin; Christner, Brent C.; Fisher, Andrew T.; Fricker, Helen A.; Mankoff, Kenneth D.; Powell, Ross D.; Rack, Frank; Sampson, Daniel; Scherer, Reed P.; Schwartz, Susan Y.</t>
  </si>
  <si>
    <t>WISSARD SCI TEAM</t>
  </si>
  <si>
    <t>WISSARD at Subglacial Lake Whillans, West Antarctica: scientific operations and initial observations</t>
  </si>
  <si>
    <t>Antarctic glaciology; ice streams; subglacial lakes; subglacial processes; subglacial sediments</t>
  </si>
  <si>
    <t>ACTIVE RESERVOIR BENEATH; ICE STREAM; VOSTOK; DISCHARGE; CONSTRAINTS; INVENTORY; MECHANICS; SYSTEM; FLOW</t>
  </si>
  <si>
    <t>A clean hot-water drill was used to gain access to Subglacial Lake Whillans (SLW) in late January 2013 as part of the Whillans Ice Stream Subglacial Access Research Drilling (WISSARD) project. Over 3 days, we deployed an array of scientific tools through the SLW borehole: a downhole camera, a conductivity-temperature-depth (CTD) probe, a Niskin water sampler, an in situ filtration unit, three different sediment corers, a geothermal probe and a geophysical sensor string. Our observations confirm the existence of a subglacial water reservoir whose presence was previously inferred from satellite altimetry and surface geophysics. Subglacial water is about two orders of magnitude less saline than sea water (0.37-0.41 psu vs 35 psu) and two orders of magnitude more saline than pure drill meltwater (&lt;0.002 psu). It reaches a minimum temperature of -0.55 degrees C, consistent with depression of the freezing point by 7.019 MPa of water pressure. Subglacial water was turbid and remained turbid following filtration through 0.45 mu m filters. The recovered sediment cores, which sampled down to 0.8 m below the lake bottom, contained a macroscopically structureless diamicton with shear strength between 2 and 6 kPa. Our main operational recommendation for future subglacial access through water-filled boreholes is to supply enough heat to the top of the borehole to keep it from freezing.</t>
  </si>
  <si>
    <t>[Tulaczyk, Slawek; Barcheck, C. Grace; Beem, Lucas H.; Fisher, Andrew T.; Mankoff, Kenneth D.; Sampson, Daniel; Schwartz, Susan Y.] Univ Calif Santa Cruz, Dept Earth &amp; Planetary Sci, Santa Cruz, CA 95064 USA; [Mikucki, Jill A.] Univ Tennessee, Dept Microbiol, Knoxville, TN 37996 USA; [Siegfried, Matthew R.; Fricker, Helen A.] Univ Calif San Diego, Scripps Inst Oceanog, Inst Geophys &amp; Planetary Phys, La Jolla, CA 92093 USA; [Priscu, John C.] Montana State Univ, Dept Land Resources &amp; Environm Sci, Bozeman, MT 59717 USA; [Behar, Alberto] CALTECH, Jet Prop Lab, Pasadena, CA USA; [Burnett, Justin; Rack, Frank] Univ Nebraska, Antarctic Geol Drilling Sci Management Off, Lincoln, NE USA; [Christner, Brent C.] Louisiana State Univ, Dept Biol Sci, Baton Rouge, LA 70803 USA; [Powell, Ross D.; Scherer, Reed P.] No Illinois Univ, De Kalb, IL USA</t>
  </si>
  <si>
    <t>University of California System; University of California Santa Cruz; University of Tennessee System; University of Tennessee Knoxville; University of California System; University of California San Diego; Scripps Institution of Oceanography; Montana State University System; Montana State University Bozeman; National Aeronautics &amp; Space Administration (NASA); NASA Jet Propulsion Laboratory (JPL); California Institute of Technology; University of Nebraska System; University of Nebraska Lincoln; Louisiana State University System; Louisiana State University; Northern Illinois University</t>
  </si>
  <si>
    <t>Tulaczyk, S (corresponding author), Univ Calif Santa Cruz, Dept Earth &amp; Planetary Sci, Santa Cruz, CA 95064 USA.</t>
  </si>
  <si>
    <t>stulaczyk@ucsc.edu</t>
  </si>
  <si>
    <t>Fisher, Andrew T/A-1113-2016; Tulaczyk, Slawek/O-7375-2018; Mankoff, Kenneth/G-1197-2010</t>
  </si>
  <si>
    <t>Fricker, Helen Amanda/0000-0002-0921-1432; Tulaczyk, Slawek/0000-0002-9711-4332; Mankoff, Kenneth/0000-0001-5453-2019</t>
  </si>
  <si>
    <t>US National Science Foundation, Section for Antarctic Sciences, Antarctic Integrated System Science program as part of the interdisciplinary WISSARD (Whillans Ice Stream Subglacial Access Research Drilling) project; Gordon and Betty Moore Foundation; National Aeronautics and Space Administration (Astrobiology and Cryospheric Sciences programs); US National Oceanic and Atmospheric Administration; Directorate For Geosciences [0838947] Funding Source: National Science Foundation; Directorate For Geosciences; Division Of Polar Programs [0838933] Funding Source: National Science Foundation; Directorate For Geosciences; Office of Polar Programs (OPP) [0838896, 1346249, 0839107] Funding Source: National Science Foundation; Division Of Earth Sciences; Directorate For Geosciences [1129003] Funding Source: National Science Foundation; Division Of Earth Sciences; Directorate For Geosciences [1128999] Funding Source: National Science Foundation; Office of Polar Programs (OPP) [0838947] Funding Source: National Science Foundation; Office of Polar Programs (OPP); Directorate For Geosciences [1043784, 0839059, 1146554, 0839142, 0838885] Funding Source: National Science Foundation</t>
  </si>
  <si>
    <t>US National Science Foundation, Section for Antarctic Sciences, Antarctic Integrated System Science program as part of the interdisciplinary WISSARD (Whillans Ice Stream Subglacial Access Research Drilling) project(National Science Foundation (NSF)NSF - Directorate for Geosciences (GEO)); Gordon and Betty Moore Foundation(Gordon and Betty Moore Foundation); National Aeronautics and Space Administration (Astrobiology and Cryospheric Sciences programs); US National Oceanic and Atmospheric Administration(National Oceanic Atmospheric Admin (NOAA) - USA); Directorate For Geosciences(National Science Foundation (NSF)NSF - Directorate for Geosciences (GEO)); Directorate For Geosciences; Division Of Polar Programs(National Science Foundation (NSF)NSF - Directorate for Geosciences (GEO)); Directorate For Geosciences; Office of Polar Programs (OPP)(National Science Foundation (NSF)NSF - Directorate for Geosciences (GEO)); Division Of Earth Sciences; Directorate For Geosciences(National Science Foundation (NSF)NSF - Directorate for Geosciences (GEO)); Division Of Earth Sciences;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</si>
  <si>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This material is based upon work supported by the US National Science Foundation, Section for Antarctic Sciences, Antarctic Integrated System Science program as part of the interdisciplinary WISSARD (Whillans Ice Stream Subglacial Access Research Drilling) project. Additional funding for instrumentation development was provided by grants from the Gordon and Betty Moore Foundation, the National Aeronautics and Space Administration (Astrobiology and Cryospheric Sciences programs) and the US National Oceanic and Atmospheric Administration. We are particularly thankful to the entire drilling team from the University of Nebraska Lincoln and the WISSARD traverse personnel for crucial technical and logistical support. The United States Antarctic Program enabled our fieldwork, and Air National Guard and Kenn Borek Air provided air support. The manuscript was improved as a result of insightful comments from two anonymous reviewers.</t>
  </si>
  <si>
    <t>10.3189/2014AoG65A009</t>
  </si>
  <si>
    <t>WOS:000341676800007</t>
  </si>
  <si>
    <t>Lukin, VV; Vasiliev, NI</t>
  </si>
  <si>
    <t>Lukin, Valery V.; Vasiliev, Nikolay I.</t>
  </si>
  <si>
    <t>Technological aspects of the final phase of drilling borehole 5G and unsealing Vostok Subglacial Lake, East Antarctica</t>
  </si>
  <si>
    <t>Antarctic glaciology; ice core; ice coring; lake ice; subglacial lakes</t>
  </si>
  <si>
    <t>This paper considers the state of the deep ice borehole 5G at the Russian Antarctic Vostok station after penetration to the surface water of Vostok Subglacial Lake. It discusses the peculiar features of drilling the 'fresh frozen' lake water that has risen in the borehole and the technology for subsequent study of the lake water layer via borehole 5G filled with a kerosene-Freon (R) mixture. The extremely high rise of lake water via the borehole is attributed to a hydraulic fracture at the side of the borehole, which diverted a large amount of drilling fluid. The proposed technology for the study of the water layer envisages minimal environmental impact and excludes penetration of any of the kerosene-Freon (R) mixture to the water layer. This technology has been presented several times at different international forums. There was no critical comment on the Environmental Impact Assessment of the technology at the 37th Antarctic Treaty Consultative Meeting in 2014 and it was adopted for implementation.</t>
  </si>
  <si>
    <t>[Lukin, Valery V.] Russian Antarctic Expedit, Arctic &amp; Antarctic Res Inst, St Petersburg, Russia; [Vasiliev, Nikolay I.] St Petersburg State Min Univ, St Petersburg, Russia</t>
  </si>
  <si>
    <t>Arctic &amp; Antarctic Research Institute; Saint Petersburg Mining University</t>
  </si>
  <si>
    <t>Lukin, VV (corresponding author), Russian Antarctic Expedit, Arctic &amp; Antarctic Res Inst, St Petersburg, Russia.</t>
  </si>
  <si>
    <t>lukin@aari.ru</t>
  </si>
  <si>
    <t>Vasilyev, Nikolay I./AAS-2261-2020; Lukin, Valeriy/N-1147-2015</t>
  </si>
  <si>
    <t>Vasilyev, Nikolay I./0000-0002-2279-699X; Lukin, Valeriy/0000-0003-1726-7361</t>
  </si>
  <si>
    <t>10.3189/2014AoG65A002</t>
  </si>
  <si>
    <t>WOS:000341676800010</t>
  </si>
  <si>
    <t>Steig, EJ; Gkinis, V; Schauer, AJ; Schoenemann, SW; Samek, K; Hoffnagle, J; Dennis, KJ; Tan, SM</t>
  </si>
  <si>
    <t>Steig, E. J.; Gkinis, V.; Schauer, A. J.; Schoenemann, S. W.; Samek, K.; Hoffnagle, J.; Dennis, K. J.; Tan, S. M.</t>
  </si>
  <si>
    <t>Calibrated high-precision 17O-excess measurements using cavity ring-down spectroscopy with laser-current-tuned cavity resonance</t>
  </si>
  <si>
    <t>STABLE-ISOTOPE MEASUREMENTS; RATIO MASS-SPECTROMETRY; DEUTERIUM EXCESS; ABSORPTION-SPECTROSCOPY; ENHANCED ABSORPTION; ORGANIC-COMPOUNDS; CARBON-DIOXIDE; WATER SAMPLES; ICE CORE; OXYGEN</t>
  </si>
  <si>
    <t>High-precision analysis of the O-17/O-16 isotope ratio in water and water vapor is of interest in hydrological, paleoclimate, and atmospheric science applications. Of specific interest is the parameter (17)Oexcess (Delta O-17), a measure of the deviation from a linear relationship between O-17/O-16 and O-18/O-16 ratios. Conventional analyses of Delta O-17 of water are obtained by fluorination of H2O to O-2 that is analyzed by dual-inlet isotope ratio mass spectrometry (IRMS). We describe a new laser spectroscopy instrument for high-precision Delta O-17 measurements. The new instrument uses cavity ring-down spectroscopy (CRDS) with laser-current-tuned cavity resonance to achieve reduced measurement drift compared with previous-generation instruments. Liquid water and water-vapor samples can be analyzed with a better than 8 per meg precision for Delta O-17 using integration times of less than 30 min. Calibration with respect to accepted water standards demonstrates that both the precision and the accuracy of Delta O-17 are competitive with conventional IRMS methods. The new instrument also achieves simultaneous analysis of delta O-18, delta O-17 and delta D with precision of &lt; 0.03 parts per thousand, &lt; 0.02 and &lt; 0.2 parts per thousand, respectively, based on repeated calibrated measurements.</t>
  </si>
  <si>
    <t>[Steig, E. J.; Schauer, A. J.; Schoenemann, S. W.; Samek, K.] Univ Washington, IsoLab, Seattle, WA 98195 USA; [Steig, E. J.; Schauer, A. J.; Schoenemann, S. W.; Samek, K.] Univ Washington, Quaternary Res Ctr, Seattle, WA 98195 USA; [Steig, E. J.; Gkinis, V.] Univ Copenhagen, Niels Bohr Inst, Ctr Ice &amp; Climate, DK-2100 Copenhagen, Denmark; [Gkinis, V.] Univ Colorado, Inst Arctic &amp; Alpine Res, Boulder, CO 80309 USA; [Hoffnagle, J.; Dennis, K. J.; Tan, S. M.] Picarro Inc, Santa Clara, CA 95054 USA</t>
  </si>
  <si>
    <t>University of Washington; University of Washington Seattle; University of Washington; University of Washington Seattle; University of Copenhagen; Niels Bohr Institute; University of Colorado System; University of Colorado Boulder</t>
  </si>
  <si>
    <t>Steig, EJ (corresponding author), Univ Washington, IsoLab, Seattle, WA 98195 USA.</t>
  </si>
  <si>
    <t>Gkinis, Vasileios/E-8185-2011; /G-9088-2015</t>
  </si>
  <si>
    <t>Gkinis, Vasileios/0000-0002-5910-1549; /0000-0002-8191-5549; Schauer, Andrew/0000-0002-5941-5396</t>
  </si>
  <si>
    <t>US National Science Foundation Division of Polar Programs (Antarctic Glaciology Program); US National Science Foundation Division of Atmospheric and Geospace Sciences (Paleoclimate Program; Climate and Large Scale Dynamics Program); US National Science Foundation Division of Industrial Innovation &amp; Partnerships (Academic Liaison with Industry Program) (NSF) [DPP-1341360, OPP-0806387]; Quaternary Research Center at the University of Washington; Centre for Ice and Climate at the University of Copenhagen; Lundbeck Foundation, Copenhagen, Denmark; Office of Polar Programs (OPP); Directorate For Geosciences [1341360] Funding Source: National Science Foundation</t>
  </si>
  <si>
    <t>US National Science Foundation Division of Polar Programs (Antarctic Glaciology Program); US National Science Foundation Division of Atmospheric and Geospace Sciences (Paleoclimate Program; Climate and Large Scale Dynamics Program); US National Science Foundation Division of Industrial Innovation &amp; Partnerships (Academic Liaison with Industry Program) (NSF); Quaternary Research Center at the University of Washington; Centre for Ice and Climate at the University of Copenhagen; Lundbeck Foundation, Copenhagen, Denmark(Lundbeckfonden); Office of Polar Programs (OPP); Directorate For Geosciences(National Science Foundation (NSF)NSF - Directorate for Geosciences (GEO))</t>
  </si>
  <si>
    <t>We thank B. Vanden Heuvel, B. H. Vaughn, J. W. C. White, B. Vinther, G. Hsiao and E. Crosson. Reviews by E. Kerstel, J. Kaiser and E. Berman led to improvements in the manuscript. We also thank the editor for his handling of the manuscript. This work was supported by the US National Science Foundation Division of Polar Programs (Antarctic Glaciology Program), Division of Atmospheric and Geospace Sciences (Paleoclimate Program; Climate and Large Scale Dynamics Program) and Division of Industrial Innovation &amp; Partnerships (Academic Liaison with Industry Program) (NSF award numbers DPP-1341360 and OPP-0806387). It was also supported by the Quaternary Research Center at the University of Washington, the Centre for Ice and Climate at the University of Copenhagen, and the Lundbeck Foundation, Copenhagen, Denmark.</t>
  </si>
  <si>
    <t>10.5194/amt-7-2421-2014</t>
  </si>
  <si>
    <t>AO8LE</t>
  </si>
  <si>
    <t>WOS:000341605200004</t>
  </si>
  <si>
    <t>Skachko, S; Errera, Q; Ménard, R; Christophe, Y; Chabrillat, S</t>
  </si>
  <si>
    <t>Skachko, S.; Errera, Q.; Menard, R.; Christophe, Y.; Chabrillat, S.</t>
  </si>
  <si>
    <t>Comparison of the ensemble Kalman filter and 4D-Var assimilation methods using a stratospheric tracer transport model</t>
  </si>
  <si>
    <t>GEOSCIENTIFIC MODEL DEVELOPMENT</t>
  </si>
  <si>
    <t>CHEMICAL-DATA ASSIMILATION; VARIATIONAL DATA ASSIMILATION; ECMWF IMPLEMENTATION; PART II; 3D-VAR; OZONE</t>
  </si>
  <si>
    <t>An ensemble Kalman filter (EnKF) assimilation method is applied to the tracer transport using the same stratospheric transport model as in the four-dimensional variational (4D-Var) assimilation system BASCOE (Belgian Assimilation System for Chemical ObsErvations). This EnKF version of BASCOE was built primarily to avoid the large costs associated with the maintenance of an adjoint model. The EnKF developed in BASCOE accounts for two adjustable parameters: a parameter alpha controlling the model error term and a parameter r controlling the observational error. The EnKF system is shown to be markedly sensitive to these two parameters, which are adjusted based on the monitoring of a chi(2) test measuring the misfit between the control variable and the observations. The performance of the EnKF and 4D-Var versions was estimated through the assimilation of Aura-MLS (microwave limb sounder) ozone observations during an 8-month period which includes the formation of the 2008 Antarctic ozone hole. To ensure a proper comparison, despite the fundamental differences between the two assimilation methods, both systems use identical and carefully calibrated input error statistics. We provide the detailed procedure for these calibrations, and compare the two sets of analyses with a focus on the lower and middle stratosphere where the ozone lifetime is much larger than the observational update frequency. Based on the observation-minusforecast statistics, we show that the analyses provided by the two systems are markedly similar, with biases less than 5% and standard deviation errors less than 10% in most of the stratosphere. Since the biases are markedly similar, they most probably have the same causes: these can be deficiencies in the model and in the observation data set, but not in the assimilation algorithm nor in the error calibration. The remarkably similar performance also shows that in the context of stratospheric transport, the choice of the assimilation method can be based on application-dependent factors, such as CPU cost or the ability to generate an ensemble of forecasts.</t>
  </si>
  <si>
    <t>[Skachko, S.; Errera, Q.; Christophe, Y.; Chabrillat, S.] BIRA IASB, Belgian Inst Space Aeron, B-1180 Brussels, Belgium; [Menard, R.] Environm Canada, Air Qual Res Div, Dorval, PQ, Canada</t>
  </si>
  <si>
    <t>Environment &amp; Climate Change Canada</t>
  </si>
  <si>
    <t>Skachko, S (corresponding author), BIRA IASB, Belgian Inst Space Aeron, B-1180 Brussels, Belgium.</t>
  </si>
  <si>
    <t>sergey.skachko@aeronomie.be</t>
  </si>
  <si>
    <t>Chabrillat, Simon/AAM-7850-2020</t>
  </si>
  <si>
    <t>Chabrillat, Simon/0000-0003-4378-1567; Christophe, Yves/0000-0003-3243-5036; Skachko, Sergey/0000-0003-4168-4499; Errera, Quentin/0000-0002-4818-4879</t>
  </si>
  <si>
    <t>BIRA-IASB by the Belspo/ESA/PRODEX programme (PRODEX project BACCHUS)</t>
  </si>
  <si>
    <t>This research was financially supported at BIRA-IASB by the Belspo/ESA/PRODEX programme (PRODEX project BACCHUS). Sergey Skachko wishes to thank Laurent Bertino for his help in the numerical implementation of the inversion of the innovation matrix within the EnKF Kalman gain, as well as Mark Buehner, Takemasa Miyoshi, Emil Constantinescu and Saroja Polavarapu for helpful discussion on EnKF issues. We are grateful to NASA JPL for providing EOS Aura-MLS data and to ECMWF for providing the ERA-Interim reanalysis.</t>
  </si>
  <si>
    <t>1991-959X</t>
  </si>
  <si>
    <t>1991-9603</t>
  </si>
  <si>
    <t>GEOSCI MODEL DEV</t>
  </si>
  <si>
    <t>Geosci. Model Dev.</t>
  </si>
  <si>
    <t>10.5194/gmd-7-1451-2014</t>
  </si>
  <si>
    <t>AO8KS</t>
  </si>
  <si>
    <t>WOS:000341603900011</t>
  </si>
  <si>
    <t>Shaffer, G</t>
  </si>
  <si>
    <t>Shaffer, G.</t>
  </si>
  <si>
    <t>Formulation, calibration and validation of the DAIS model (version 1), a simple Antarctic ice sheet model sensitive to variations of sea level and ocean subsurface temperature</t>
  </si>
  <si>
    <t>GREENLAND; CLIMATE; COLLAPSE; VOLUME; SHELF; EARTH; RECONSTRUCTIONS; METHANE</t>
  </si>
  <si>
    <t>The DCESS (Danish Center for Earth System Science) Antarctic Ice Sheet (DAIS) model is presented. Model hindcasts of Antarctic ice sheet (AIS) sea level equivalent are forced by reconstructed Antarctic temperatures, global mean sea level and high-latitude, ocean subsurface temperatures, the latter calculated using the DCESS model forced by reconstructed global mean atmospheric temperatures. The model is calibrated by comparing such hindcasts for different model configurations with paleoreconstructions of AIS sea level equivalent from the last interglacial, the last glacial maximum and the mid-Holocene. The calibrated model is then validated against present estimates of the rate of AIS ice loss. It is found that a high-order dependency of ice flow at the grounding line on water depth there is needed to capture the observed response of the AIS at ice age terminations. Furthermore, it is found that a dependency of this ice flow on ocean subsurface temperature by way of ice shelf demise and a resulting buttressing decrease is needed to explain the contribution of the AIS to global mean sea level rise at the last interglacial. When forced and calibrated in this way, model hindcasts of the rate of present-day AIS ice loss agree with recent, data-based estimates of this ice loss rate.</t>
  </si>
  <si>
    <t>[Shaffer, G.] Ctr Adv Res Arid Zones, La Serena, Chile; [Shaffer, G.] Ctr Climate &amp; Resilience Res, Santiago, Chile; [Shaffer, G.] Univ Copenhagen, Niels Bohr Inst, DK-2100 Copenhagen, Denmark; [Shaffer, G.] Univ Concepcion, Dept Geophys, Concepcion, Chile</t>
  </si>
  <si>
    <t>University of Copenhagen; Niels Bohr Institute; Universidad de Concepcion</t>
  </si>
  <si>
    <t>Shaffer, G (corresponding author), Ctr Adv Res Arid Zones, La Serena, Chile.</t>
  </si>
  <si>
    <t>gary.shaffer@ceaza.cl</t>
  </si>
  <si>
    <t>Shaffer, Gary/G-1742-2016</t>
  </si>
  <si>
    <t>Shaffer, Gary/0000-0002-2494-3471</t>
  </si>
  <si>
    <t>Chilean FONDAP [15110009/ICM Nucleus NC120066]</t>
  </si>
  <si>
    <t>Chilean FONDAP(Comision Nacional de Investigacion Cientifica y Tecnologica (CONICYT)CONICYT FONDAP)</t>
  </si>
  <si>
    <t>I thank the following people for discussions and/or for supplying data: Peter Clark, Robert Kopp, Valerie Masson-Delmotte, Johannes Oerlemans, Mark Siddall, and Claire Waelbroeck. I included the non-linear dependency of ice flow on grounding thickness in response to a comment by Catherine Ritz on an earlier version of the model. This work was supported by Chilean FONDAP 15110009/ICM Nucleus NC120066.</t>
  </si>
  <si>
    <t>10.5194/gmd-7-1803-2014</t>
  </si>
  <si>
    <t>WOS:000341603900032</t>
  </si>
  <si>
    <t>Sjolte, J; Hoffmann, G; Johnsen, SJ</t>
  </si>
  <si>
    <t>Sjolte, Jesper; Hoffmann, Georg; Johnsen, Sigfus Johann</t>
  </si>
  <si>
    <t>Modelling the response of stable water isotopes in Greenland precipitation to orbital configurations of the previous interglacial</t>
  </si>
  <si>
    <t>stable water isotopes; modelling; moisture source; seasonality; previous interglacial</t>
  </si>
  <si>
    <t>SEA-LEVEL RISE; ICE CORE DATA; ANTARCTIC ICE; POLAR AMPLIFICATION; CAMP CENTURY; AIR CONTENT; LAST; RECORD; TEMPERATURES; ACCUMULATION</t>
  </si>
  <si>
    <t>The relation between delta O-18 of precipitation and temperature has been used in numerous studies to reconstruct past temperatures at ice core sites in Greenland and Antarctica. During the past two decades, it has become clear that the slope between delta O-18 and temperature varies in both space and time. Here, we use a general circulation model driven by changes in orbital parameters to investigate the Greenland delta O-18-temperature relation for the previous interglacial, the Eemian. In our analysis, we focus on changes in the moisture source regions, and the results underline the importance of taking the seasonality of climate change into account. The orbitally driven experiments show that continental evaporation over North America increases during summer in the warm parts of the Eemian, while marine evaporation decreases. This likely flattens the Greenland delta O-18 response to temperature during summer. Since the main climate change in the experiments occurs during summer this adds to a limited response of delta O-18, which is more strongly tied to temperature during winter than during summer. A south-west to north-east gradient in the delta O-18-temperature slope is also evident for Greenland, with low slopes in the south-west and steeper slopes in the north-east. This probably reflects the proportion of continental moisture and Arctic moisture arriving in Greenland, with more continental moisture in the south-west and less in the north-east, and vice versa for the Arctic moisture.</t>
  </si>
  <si>
    <t>[Sjolte, Jesper; Johnsen, Sigfus Johann] Univ Copenhagen, Niels Bohr Inst, Ctr Ice &amp; Climate, DK-2100 Copenhagen OE, Denmark; [Sjolte, Jesper] Lund Univ, Dept Geol, SE-22362 Lund, Sweden; [Hoffmann, Georg] CEA CNRS UVSQ IPSL, Lab Sci Climat &amp; Environm, Saclay, France; [Hoffmann, Georg] Univ Utrecht, Inst Marine &amp; Atmospher Res Utrecht IMAU, Utrecht, Netherlands</t>
  </si>
  <si>
    <t>University of Copenhagen; Niels Bohr Institute; Lund University; CEA; Centre National de la Recherche Scientifique (CNRS); Universite Paris Saclay; Utrecht University</t>
  </si>
  <si>
    <t>Sjolte, J (corresponding author), Univ Copenhagen, Niels Bohr Inst, Ctr Ice &amp; Climate, Juliane Maries Vej 30, DK-2100 Copenhagen OE, Denmark.</t>
  </si>
  <si>
    <t>jesper.sjolte@geol.lu.se</t>
  </si>
  <si>
    <t>Sjolte, Jesper/N-7833-2019; Sjolte, Jesper/O-2942-2016</t>
  </si>
  <si>
    <t>Sjolte, Jesper/0000-0003-0870-5331; Sjolte, Jesper/0000-0003-0870-5331</t>
  </si>
  <si>
    <t>Carlsberg Foundation; Danish Agency for Science, Technology and Innovation; Niels Bohr Institute, University of Copenhagen; CEA-CNRS; Agence Nationale de la Recherche (ANR NEEM grant); Agence Nationale de la Recherche (ANR CEPS GREENLAND grant)</t>
  </si>
  <si>
    <t>Carlsberg Foundation(Carlsberg Foundation); Danish Agency for Science, Technology and Innovation; Niels Bohr Institute, University of Copenhagen; CEA-CNRS(French Atomic Energy CommissionCentre National de la Recherche Scientifique (CNRS)); Agence Nationale de la Recherche (ANR NEEM grant)(Agence Nationale de la Recherche (ANR)); Agence Nationale de la Recherche (ANR CEPS GREENLAND grant)(Agence Nationale de la Recherche (ANR))</t>
  </si>
  <si>
    <t>We dedicate this paper to our friend and mentor Sigfus J. Johnsen, whose importance, support and inspiration cannot be overstated. This research was supported by the Carlsberg Foundation, the Danish Agency for Science, Technology and Innovation, the Niels Bohr Institute, University of Copenhagen, CEA-CNRS and Agence Nationale de la Recherche (ANR NEEM and ANR CEPS GREENLAND grants). The model experiments were carried out at the German Climate Computing Centre (DKRZ), Hamburg. The authors thank Pascale Braconnot for providing us with the IPSL_CM4 SST fields, and Masa Kageyama for assistance with the adaptation of the SSTs to the ECHAM model. The authors thank Jung-Eun Lee and one anonymous reviewer for constructive comments and suggestions to improve this manuscript.</t>
  </si>
  <si>
    <t>STOCKHOLM UNIV PRESS</t>
  </si>
  <si>
    <t>STOCKHOLM</t>
  </si>
  <si>
    <t>STOCKHOLM UNIV LIBRARY, UNIVERSITETSVAGEN 14 D, STOCKHOLM, SE-106 91, SWEDEN</t>
  </si>
  <si>
    <t>10.3402/tellusb.v66.22872</t>
  </si>
  <si>
    <t>AP0QQ</t>
  </si>
  <si>
    <t>WOS:000341768000001</t>
  </si>
  <si>
    <t>Roudier, P; McLeod, M; Aislabie, J; Morgan, F</t>
  </si>
  <si>
    <t>Arrouays, D; McKenzie, N; Hempel, J; DeForges, ACR; McBratney, A</t>
  </si>
  <si>
    <t>Roudier, P.; McLeod, M.; Aislabie, J.; Morgan, F.</t>
  </si>
  <si>
    <t>The why and how of digital soil mapping in Antarctica</t>
  </si>
  <si>
    <t>GLOBALSOILMAP: BASIS OF THE GLOBAL SPATIAL SOIL INFORMATION SYSTEM</t>
  </si>
  <si>
    <t>1st Conference on GlobalSoilMap</t>
  </si>
  <si>
    <t>OCT 07-09, 2013</t>
  </si>
  <si>
    <t>Orleans, FRANCE</t>
  </si>
  <si>
    <t>DIVERSITY</t>
  </si>
  <si>
    <t>The ice-free regions of Antarctica are one of the most challenging environments on Earth, but also one of the least studied. Although subjected to harsh environmental conditions, life is distributed the throughout soils of the region, and soil bacteria represent a major part of the terrestrial biodiversity of the continent. Antarctic microbial communities are essentially structured by a limited set of abiotic factors, among which are organic carbon, salinity and pH. This study illustrates the potential of GlobalSoilmap methods by mapping soil attributes in the Wright Valley, one of the McMurdo Dry Valleys located in the Ross Sea region of Antarctica. A suite of environmental covariates (terrain derivatives, soil map) has been used to model soil organic carbon, salinity, and pH. The results demonstrate the adequacy of digital soil mapping techniques in Antarctica: the resulting soil attribute layers could potentially identify potential microbial habitats at a very good spatial resolution, and more generally provide a wide range of research communities with more data on one of the most remote places on Earth.</t>
  </si>
  <si>
    <t>[Roudier, P.] Landcare Res Manaaki Whenua, Palmerston North, New Zealand; [McLeod, M.; Aislabie, J.] Landcare Res Manaaki Whenua, Hamilton, New Zealand; [Morgan, F.] Landcare Res Manaaki Whenua, Auckland, New Zealand</t>
  </si>
  <si>
    <t>Landcare Research - New Zealand; Landcare Research - New Zealand</t>
  </si>
  <si>
    <t>Roudier, P (corresponding author), Landcare Res Manaaki Whenua, Palmerston North, New Zealand.</t>
  </si>
  <si>
    <t>Morgan, Fraser/0000-0002-7964-3361</t>
  </si>
  <si>
    <t>978-1-315-77558-6; 978-1-138-00119-0</t>
  </si>
  <si>
    <t>Remote Sensing; Soil Science</t>
  </si>
  <si>
    <t>Remote Sensing; Agriculture</t>
  </si>
  <si>
    <t>BB1QM</t>
  </si>
  <si>
    <t>WOS:000341268700026</t>
  </si>
  <si>
    <t>Ruck, KE; Steinberg, DK; Canuel, EA</t>
  </si>
  <si>
    <t>Ruck, Kate E.; Steinberg, Deborah K.; Canuel, Elizabeth A.</t>
  </si>
  <si>
    <t>Regional differences in quality of krill and fish as prey along the Western Antarctic Peninsula</t>
  </si>
  <si>
    <t>Krill; Euphausia superba; Silverfish; Myctophid; Lipid content; Prey quality; Antarctic Peninsula</t>
  </si>
  <si>
    <t>SILVERFISH PLEURAGRAMMA-ANTARCTICUM; EUPHAUSIA-SUPERBA DANA; THYSANOESSA-MACRURA; CONTINENTAL-SHELF; ADELIE PENGUINS; INDIAN-OCEAN; SEA-ICE; SPATIOTEMPORAL VARIABILITY; PHYTOPLANKTON ASSEMBLAGES; BIOCHEMICAL-COMPOSITION</t>
  </si>
  <si>
    <t>The warming trend in the northern part of the Western Antarctic Peninsula (WAP) has led to a decrease in perennial and summer sea ice, an increase in heat content over the shelf, and lower phytoplankton biomass, which could affect the prey quality of krill and fish that are utilized by apex predators. We compared prey quality metrics, including elemental (C, N) content; total, neutral, and polar lipid content; and energy densities of known penguin prey items including krill (Euphausia superba, Thysanoessa macrura, and E. crystallorophias) and fish (silverfish Pleuragramma antarcticum and the myctophid Electrona antarctica) along the WAP latitudinal gradient each January from 2009 to 2011. E. antarctica had the highest prey quality in terms of lipid content and energy density, followed by T. macrura and P. antarcticum, then E. crystallorophias and E. superba. For all species, variations in C and N content were most strongly correlated with the animals' neutral lipid content, in that animals with the larger neutral lipid stores had significantly higher C and lower N content. Across all sexes and maturity stages, E. superba in the southern study region had ca. 20% higher total lipid content than E. superba in the north, and a stepwise multiple linear regression analysis showed that latitude, sexual differences, and upper water column temperatures best explained this regional difference in lipid content. This regional variability in E. superba prey quality could affect the ability of apex predators that rely on E. superba to meet their energetic demands, and should be considered in future modeling efforts.</t>
  </si>
  <si>
    <t>[Ruck, Kate E.; Steinberg, Deborah K.; Canuel, Elizabeth A.] Coll William &amp; Mary, Virginia Inst Marine Sci, Gloucester Point, VA 23062 USA</t>
  </si>
  <si>
    <t>William &amp; Mary; Virginia Institute of Marine Science</t>
  </si>
  <si>
    <t>Ruck, KE (corresponding author), Coll William &amp; Mary, Virginia Inst Marine Sci, POB 1346, Gloucester Point, VA 23062 USA.</t>
  </si>
  <si>
    <t>ruck.kate@gmail.com</t>
  </si>
  <si>
    <t>Steinberg, Deborah K./0000-0001-9884-4655</t>
  </si>
  <si>
    <t>National Science Foundation Office of Polar Programs [OPP-0823101]; Virginia Institute of Marine Science [3390]; Directorate For Geosciences; Office of Polar Programs (OPP) [1440435] Funding Source: National Science Foundation</t>
  </si>
  <si>
    <t>National Science Foundation Office of Polar Programs(National Science Foundation (NSF)NSF - Directorate for Geosciences (GEO)); Virginia Institute of Marine Science; Directorate For Geosciences; Office of Polar Programs (OPP)(National Science Foundation (NSF)NSF - Directorate for Geosciences (GEO))</t>
  </si>
  <si>
    <t>We thank the Captain, officers, and crew of the ARSV 'Laurence M. Gould' and Raytheon Polar Services scientific support personnel for their logistical support during the Palmer LTER cruises. We thank Erin Ferer, Paul Littreal, and Matt Mainor for their help with the lipid analyses; Jenny Dryer for help with CHN analysis; Ryan Schlosser for assistance with the bomb calorimeter; and Bill Fraser and Sharon Stammerjohn for providing unpublished sea ice and penguin diet data. Joe Cope provided help with the data analyses. Rodger Harvey and Walker Smith provided helpful feedback on an early draft of the manuscript. This study was funded by the National Science Foundation Office of Polar Programs (OPP-0823101). Additional funding to support K.E.R.'s participation on a Palmer LTER cruise was provided by Adrian G. 'Casey' Duplantier Jr. and the 1st Advantage Federal Credit Union of Newport News, Virginia, USA. This is contribution number 3390 from the Virginia Institute of Marine Science.</t>
  </si>
  <si>
    <t>10.3354/meps10868</t>
  </si>
  <si>
    <t>AO7YW</t>
  </si>
  <si>
    <t>WOS:000341570100004</t>
  </si>
  <si>
    <t>McGhee, GR</t>
  </si>
  <si>
    <t>McGhee, George R. Jr.</t>
  </si>
  <si>
    <t>The Late Devonian (Frasnian/Famenian) mass extinction: a proposed test of the glaciation hypothesis</t>
  </si>
  <si>
    <t>GEOLOGICAL QUARTERLY</t>
  </si>
  <si>
    <t>mass extinction; glaciation; Late Paleozoic Ice Age; Cenozoic Ice Age</t>
  </si>
  <si>
    <t>ANTARCTIC ICE-SHEET; SEDIMENTOLOGICAL EVIDENCE; KERGUELEN PLATEAU; APPALACHIAN BASIN; CRISIS; MIDDLE; ISOTOPE; EVENT; ONSET</t>
  </si>
  <si>
    <t>In this paper it is agued that Late Frasnian global cooling was the first step in the onset of the Late Paleozoic Ice Age, and that a Late Frasnian glaciation existed that was analogous to the early Oligocene (Oi-1) glaciation that took place in the first step of global cooling in the onset of the Cenozoic Ice Age. It is here proposed that definitive sedimentological evidence for the existence of Late Frasnian glaciation, like the Oi-1 glaciation, would be the discovery of ice-rafted debris in marine sediments of Late Frasnian age similar to the ice-rafted debris found in Oi-1 marine sediments (Zachos et al., 1992; Ehrmann and Mackensen, 1992). Rather than metre- to decimetre-sized ice-rafted debris, a search should be initiated for the presence of sand-sized (&gt;250 mu m) ice-rafted debris in Frasnian marine strata located offshore from the main Gondwana landmass, and dated to the Late rhenana Conodont Zone and/or to the linguiformis-Early triangularis conodont zonal interval where the extinctions and sharp drops in sea-surface temperature occurred (Joachimski and Buggisch, 2002).</t>
  </si>
  <si>
    <t>Rutgers State Univ, Dept Earth &amp; Planetary Sci, Wright Rieman Labs, New Brunswick, NJ 08903 USA</t>
  </si>
  <si>
    <t>Rutgers University System; Rutgers University New Brunswick</t>
  </si>
  <si>
    <t>McGhee, GR (corresponding author), Rutgers State Univ, Dept Earth &amp; Planetary Sci, Wright Rieman Labs, New Brunswick, NJ 08903 USA.</t>
  </si>
  <si>
    <t>mcghee@rci.rutgers.edu</t>
  </si>
  <si>
    <t>POLISH GEOLOGICAL INST</t>
  </si>
  <si>
    <t>RAKOWIECKA 4, BLDG A, ROOM 434, PL-00-975 WARSAW, POLAND</t>
  </si>
  <si>
    <t>1641-7291</t>
  </si>
  <si>
    <t>2082-5099</t>
  </si>
  <si>
    <t>GEOL Q</t>
  </si>
  <si>
    <t>Geol. Q.</t>
  </si>
  <si>
    <t>10.7306/gq.1143</t>
  </si>
  <si>
    <t>AO1HS</t>
  </si>
  <si>
    <t>WOS:000341063800005</t>
  </si>
  <si>
    <t>Díaz, RI; Villamizar, F</t>
  </si>
  <si>
    <t>Diaz, Regina I.; Villamizar, Fernando</t>
  </si>
  <si>
    <t>PEACEFUL USE OF THE ANTARCTICA AS IUS COGENS NORM</t>
  </si>
  <si>
    <t>Antarctica; Antarctic Treaty; peaceful use; ius cogens; threat; force</t>
  </si>
  <si>
    <t>The purpose of this study is to verify that the principle of peaceful use of Antarctica obliges all States of the international community, even though not part of the Treaty of 1959, because the prohibition of threat or use of force is an ius cogens rule. The paper first relates to the Antarctic Treaty; then explains why the ius cogens rule prohibiting threat or use of force is applied to all States of the international community, whether or not part of the international instruments that code it; and finally we shown evidence of the existence of a specific opinio juris cogentis regarding the peaceful use of Antarctica.</t>
  </si>
  <si>
    <t>[Diaz, Regina I.] Univ Bernardo OHiggins, Observ Reg Paz &amp; Seguridad, Santiago, Chile; [Villamizar, Fernando] Univ Bernardo OHiggins, Observ Reg Paz &amp; Seguridad, F-75007 Paris, France</t>
  </si>
  <si>
    <t>Universidad Bernardo O'Higgins</t>
  </si>
  <si>
    <t>Díaz, RI (corresponding author), Univ Bernardo OHiggins, Observ Reg Paz &amp; Seguridad, Juan Francisco Gonzalez 834, Santiago, Chile.</t>
  </si>
  <si>
    <t>ridiaz@uc.cl; fvillamizar@ubo.cl</t>
  </si>
  <si>
    <t>Diaz Tolosa, Regina Ingrid/0000-0001-5447-0049</t>
  </si>
  <si>
    <t>10.4067/S0718-22442014000100002</t>
  </si>
  <si>
    <t>AN6HD</t>
  </si>
  <si>
    <t>WOS:000340694700002</t>
  </si>
  <si>
    <t>Wolff, EW</t>
  </si>
  <si>
    <t>Waters, CN; Zalasiewicz, JA; Williams, M; Ellis, M; Snelling, AM</t>
  </si>
  <si>
    <t>Wolff, Eric W.</t>
  </si>
  <si>
    <t>Ice Sheets and the Anthropocene</t>
  </si>
  <si>
    <t>STRATIGRAPHICAL BASIS FOR THE ANTHROPOCENE</t>
  </si>
  <si>
    <t>Geological Society Special Publication</t>
  </si>
  <si>
    <t>CARBON-DIOXIDE CONCENTRATION; ANTARCTIC SNOW RECORD; CENTRAL GREENLAND ICE; LEAD; CADMIUM; CORE; ZINC; POLLUTION; COPPER; CYCLE</t>
  </si>
  <si>
    <t>Ice could play a role in identifying and defining the Anthropocene. The recurrence of northern hemisphere glaciation and the stability of the Greenland Ice Sheet are both potentially vulnerable to human impact on the environment. However, only a very long hiatus in either would be unusual in the context of the Quaternary Period, requiring the definition of a geological boundary. Human influence can clearly be discerned in several ice-core measurements. These include a sharp boundary in radioactivity due to atmospheric nuclear testing; increases, unprecedented at least in the Holocene, in Greenland concentrations of sulphate, nitrate and metals such as lead; the appearance in ice-core air bubbles of previously undetectable compounds such as SF6; and the rise, unprecedented in the last 800 ka, in concentrations of carbon dioxide and methane. Some combination of these changes could be used by future generations to clearly identify the onset of a new epoch defined at a particular calendar date. However, it is not yet clear what the character of the fully developed Anthropocene will be, and it might be wise to let future generations decide, with hindsight, when the Anthropocene started, acknowledging only that we are in the transition towards it.</t>
  </si>
  <si>
    <t>[Wolff, Eric W.] British Antarctic Survey, Cambridge CB3 0ET, England; [Wolff, Eric W.] Univ Cambridge, Dept Earth Sci, Cambridge CB2 3EQ, England</t>
  </si>
  <si>
    <t>UK Research &amp; Innovation (UKRI); Natural Environment Research Council (NERC); NERC British Antarctic Survey; University of Cambridge</t>
  </si>
  <si>
    <t>Wolff, EW (corresponding author), British Antarctic Survey, Madingley Rd, Cambridge CB3 0ET, England.</t>
  </si>
  <si>
    <t>ew428@cam.ac.uk</t>
  </si>
  <si>
    <t>Wolff, Eric W/D-7925-2014</t>
  </si>
  <si>
    <t>Wolff, Eric W/0000-0002-5914-8531</t>
  </si>
  <si>
    <t>NERC [bas0100024] Funding Source: UKRI</t>
  </si>
  <si>
    <t>0305-8719</t>
  </si>
  <si>
    <t>978-1-86239-628-9</t>
  </si>
  <si>
    <t>GEOL SOC SPEC PUBL</t>
  </si>
  <si>
    <t>Geol. Soc. Spec. Publ.</t>
  </si>
  <si>
    <t>10.1144/SP395.10</t>
  </si>
  <si>
    <t>BB0GT</t>
  </si>
  <si>
    <t>WOS:000340169900015</t>
  </si>
  <si>
    <t>Gutt, J; Piepenburg, D; Voss, J</t>
  </si>
  <si>
    <t>Gutt, Julian; Piepenburg, Dieter; Voss, Joachim</t>
  </si>
  <si>
    <t>Asteroids, ophiuroids and holothurians from the southeastern Weddell Sea (Southern Ocean)</t>
  </si>
  <si>
    <t>Asterozoa; Asteroidea; Ophiuroidea; Holothuroidea; southern and southeastern Weddell Sea; Antarctic; whole-assemblage approach; abundances; community analysis</t>
  </si>
  <si>
    <t>ECHINODERMATA</t>
  </si>
  <si>
    <t>Until the early 1980s, the composition and distribution of the asteroid (starfish), ophiuroid (brittle star) and holothurian (sea cucumber) bottom fauna of the southeastern Weddell Sea was virtually unknown. This southernmost part of the Atlantic sector of the Southern Ocean is a typical high-latitude Antarctic region located in the circumpolar permanent pack-ice zone. It became accessible for large-scale scientific surveys only through the availability of modern ice-breaking research vessels, such as the German RV Polarstern. Here, we describe a dataset of the faunal composition and abundance of starfish, brittle star and sea cucumber assemblages in this area, based on collections from trawl catches carried out during three Polarstern cruises in 1983, 1984 and 1985. The set comprises a total of 4,509 records of abundances of 35 asteroid species (with a total of 2,089 specimens) and 38 ophiuroid species (with a total of 18,484 specimens) from 34 stations, as well as of 66 holothurian species (with a total of 20,918 specimens) from 59 stations including zero-abundances (absences). A synthesizing zoogeographical community analysis confirms the presence of three distinct assemblages of asteroids, ophiuroids, and holothurians with highest species richness on the eastern shelf. Overall, starfishes, brittle stars and sea cucumbers were present at all sites investigated in the study area but composition and abundance of asterozoan (asteroids and ophiuroids together) and holothurian fauna varied considerably. A synthesizing zoogeographical community analysis confirms the presence of three distinct assemblages of asteroids, ophiuroids, and holothurians with highest species richness on the eastern shelf. In the case of asterozoans, water depth and latitude seemed to be the most important drivers of assemblage distribution and composition. One of the holothurian assemblages was part of the rich macrozoobenthic community dominated by a diverse and abundant epifauna, mainly sponges and gorgonians. Another one was mainly composed of vagrant deposit-feeding species inhabiting a predominantly non-colonised substratum. In addition, a mixed holothurian assemblage was identified.</t>
  </si>
  <si>
    <t>[Gutt, Julian; Piepenburg, Dieter] Alfred Wegener Inst Hemholtz, Ctr Polar &amp; Marine Res, D-27515 Bremerhaven, Germany; [Voss, Joachim] Landesamt Landwirtschaft Umwelt &amp; Landl Raume, D-24220 Flintbek, Germany</t>
  </si>
  <si>
    <t>Gutt, J (corresponding author), Alfred Wegener Inst Hemholtz, Ctr Polar &amp; Marine Res, Columbusstr, D-27515 Bremerhaven, Germany.</t>
  </si>
  <si>
    <t>julian.gutt@awi.de</t>
  </si>
  <si>
    <t>Piepenburg, Dieter/H-3251-2019; Piepenburg, Dieter/GQP-9916-2022; Voss, Joachim/AAA-1277-2020</t>
  </si>
  <si>
    <t>Piepenburg, Dieter/0000-0003-3977-2860; Gutt, Julian/0000-0003-3773-9370</t>
  </si>
  <si>
    <t>Alfred Wegener Institute Helmholtz, Centre for Polar and Marine Research, Bremerhaven, Germany; Deutsche Forschungsgemeinschaft [He 89/49]</t>
  </si>
  <si>
    <t>Alfred Wegener Institute Helmholtz, Centre for Polar and Marine Research, Bremerhaven, Germany; Deutsche Forschungsgemeinschaft(German Research Foundation (DFG))</t>
  </si>
  <si>
    <t>The sampling of all asterozoan and holothurian specimens in the course of the cruises ANT-I/2 (PS01), ANT-II/04 (PS04), ANT-III/3 (PS06) of the German R/V Polarstern and the subsequent analysis of asteroids and ophiuroids was financed by the Alfred Wegener Institute Helmholtz, Centre for Polar and Marine Research, Bremerhaven, Germany. The study on holothurians was also supported by a grant of the Deutsche Forschungsgemeinschaft (He 89/49).</t>
  </si>
  <si>
    <t>12 PROF GEORGI ZLATARSKI ST, SOFIA, 1700, BULGARIA</t>
  </si>
  <si>
    <t>10.3897/zookeys.434.7622</t>
  </si>
  <si>
    <t>AN6BM</t>
  </si>
  <si>
    <t>Green Published, Green Accepted, gold, Green Submitted</t>
  </si>
  <si>
    <t>WOS:000340678700001</t>
  </si>
  <si>
    <t>Figueiredo, I; Weir, CR</t>
  </si>
  <si>
    <t>Figueiredo, I.; Weir, C. R.</t>
  </si>
  <si>
    <t>Blue whales Balaenoptera musculus off Angola: recent sightings and evaluation of whaling data</t>
  </si>
  <si>
    <t>AFRICAN JOURNAL OF MARINE SCIENCE</t>
  </si>
  <si>
    <t>Antarctic blue whale; calving; catch data; pygmy blue whale; South-East Atlantic; stomach contents</t>
  </si>
  <si>
    <t>SOUTHERN-HEMISPHERE; PACIFIC; CLIMATE; GUINEA; WATERS; LENGTH; OCEAN; GULF</t>
  </si>
  <si>
    <t>The population of blue whales Balaenoptera musculus inhabiting the South-East Atlantic (Gabon to South Africa) was heavily depleted by commercial whaling. We report four photographically-verified sightings, and one probable sighting, of blue whales in deep waters (&gt;1 000 m) off central Angola (11 degrees S to 12 degrees 30' S) during 2012. International Whaling Commission catch data from south-western Africa between 1908 and 1967 included an estimated 2 071 blue whales taken off Angola between 1909 and 1934. The highest combined catches at any one station during this period (n = 833) occurred at Elephant Bay (13 degrees 13' S), located just south of the recent sightings. Despite year-round survey effort the sightings had strong seasonality and occurred only between July and October. Similarly, whaling catches peaked during July and August. Body lengths and seasonality indicate that at least some captured animals comprised the Antarctic blue whale B. m. intermedia subspecies. The sightings included at least one cow-calf pair. Catches comprised a high proportion (63.3%) of immature animals and at least five Antarctic blue whale cow-calf pairs. Food (zooplankton) was present in 85% of captured individuals, indicating feeding in Angolan waters. Further survey work is required to better clarify the status of blue whales in Angolan waters, particularly with regard to population structure and potential calving grounds.</t>
  </si>
  <si>
    <t>[Weir, C. R.] Ketos Ecol, Kingsbridge, Devon, England; [Weir, C. R.] Univ Aberdeen, Sch Biol Sci, Dept Zool, Aberdeen AB9 1FX, Scotland</t>
  </si>
  <si>
    <t>University of Aberdeen</t>
  </si>
  <si>
    <t>Weir, CR (corresponding author), Ketos Ecol, Kingsbridge, Devon, England.</t>
  </si>
  <si>
    <t>caroline.weir@ketosecology.co.uk</t>
  </si>
  <si>
    <t>Weir, Caroline/0000-0002-2052-5037; Rosa, Ivone/0000-0003-4905-8134</t>
  </si>
  <si>
    <t>BP Exploration (Angola) Ltd; Sonangol; Total (Angola); Statoil</t>
  </si>
  <si>
    <t>For permission to publish these data we are grateful to Petroleum Geo-Services (PGS), who managed the seismic survey, and to the individual sponsoring companies of the project: BP Exploration (Angola) Ltd, Sonangol, Statoil and Total (Angola). Thanks to the crews of the Ramform Valiant and the PGS Apollo for their hospitality during the surveys. Cherry Allison at the International Whaling Commission provided the whale catch data from the west coast of Africa and corresponding guidance on interpretation. Peter Best provided assistance with several queries regarding IWC catch data. We are grateful to two reviewers whose comments improved this manuscript.</t>
  </si>
  <si>
    <t>NATL INQUIRY SERVICES CENTRE PTY LTD</t>
  </si>
  <si>
    <t>GRAHAMSTOWN</t>
  </si>
  <si>
    <t>19 WORCESTER STREET, PO BOX 377, GRAHAMSTOWN 6140, SOUTH AFRICA</t>
  </si>
  <si>
    <t>1814-232X</t>
  </si>
  <si>
    <t>1814-2338</t>
  </si>
  <si>
    <t>AFR J MAR SCI</t>
  </si>
  <si>
    <t>Afr. J. Mar. Sci.</t>
  </si>
  <si>
    <t>10.2989/1814232X.2014.928652</t>
  </si>
  <si>
    <t>AN0IO</t>
  </si>
  <si>
    <t>WOS:000340268200012</t>
  </si>
  <si>
    <t>Fardella, C; Oses, R; Torres-Diaz, C; Molina-Montenegro, MA</t>
  </si>
  <si>
    <t>Fardella, Cristian; Oses, Romulo; Torres-Diaz, Cristian; Molina-Montenegro, Marco A.</t>
  </si>
  <si>
    <t>Antarctic fungal endophytes as tool for the reintroduction of native plant species in arid zones</t>
  </si>
  <si>
    <t>endophytes; water use efficiency; xerophytic formations; restoration</t>
  </si>
  <si>
    <t>SURVIVAL; RESTORATION; SOIL</t>
  </si>
  <si>
    <t>Ecological restoration is the deliberate action that speeds recovery from a degraded system by direct or indirect human intervention. Xerophytic formations are among the most degraded ecosystems where low water availability makes reintroduction plans unsuccessful and extremely expensive. Roots inoculation with endophytic fungi has been reported as a successful strategy to maintain or improve the ecophysiological performance and survival in different species of shrubs and trees. In harsh environments, endophytes have been shown to provide benefits in terms of survival and growth for their associated vegetation. In this study, we showed that inoculation with endophytes isolated from plants growing in Antarctica improve survival and water use efficiency for irrigation on native species of xerophytic formations: Flourensia thurifera, Senna cumingii and Puya berteroniana. Overall, the presence of endophytes improved survival of all native species. Furthermore, the presence of endophytes improved water use efficiency for irrigation, reaching higher percentages of survival in plants with a reduction in the added water. The application of Antarctic endophytes could be considered a successful strategy for future projects and reintroduction programs in arid and semi-arid zones of Chile.</t>
  </si>
  <si>
    <t>[Fardella, Cristian; Oses, Romulo; Molina-Montenegro, Marco A.] Univ Catolica Norte, Fac Ciencias Mar, CEAZA, Coquimbo, Chile; [Torres-Diaz, Cristian] Univ Bio Bio, Fac Ciencias, Dept Ciencias Basicas, Chillan, Chile</t>
  </si>
  <si>
    <t>Universidad Catolica del Norte; Universidad del Bio-Bio</t>
  </si>
  <si>
    <t>Molina-Montenegro, MA (corresponding author), Univ Catolica Norte, Fac Ciencias Mar, CEAZA, Coquimbo, Chile.</t>
  </si>
  <si>
    <t>marco.molina@ceaza.cl</t>
  </si>
  <si>
    <t>Torres Diaz, Cristian/0000-0002-5741-5288; Molina-Montenegro, Marco/0000-0001-6801-8942</t>
  </si>
  <si>
    <t>10.4067/S0717-92002014000200011</t>
  </si>
  <si>
    <t>AM9WL</t>
  </si>
  <si>
    <t>WOS:000340231600011</t>
  </si>
  <si>
    <t>Ha, SY; La, HS; Min, JO; Chung, KH; Kang, SH; Shin, KH</t>
  </si>
  <si>
    <t>Ha, Sun-Yong; La, Hyoung Sul; Min, Jun-Oh; Chung, Kyung-Ho; Kang, Sung-Ho; Shin, Kyung-Hoon</t>
  </si>
  <si>
    <t>Photoprotective function of mycosporine-like amino acids in a bipolar diatom (Porosira glacialis): evidence from ultraviolet radiation and stable isotope probing</t>
  </si>
  <si>
    <t>carbon stable isotope; mycosporine-like amino acids; xanthophyll compound; Porosira glacialis</t>
  </si>
  <si>
    <t>LONG-TERM ACCLIMATION; UV-RADIATION; B RADIATION; PHYTOPLANKTON POPULATION; ANTARCTIC PHYTOPLANKTON; PHAEOCYSTIS-ANTARCTICA; SURFACE SEDIMENTS; MARINE DIATOM; PHOTOSYNTHESIS; INHIBITION</t>
  </si>
  <si>
    <t>This study investigated the synthesis of photoprotective compounds by Bacillariophyceae (Porosira glacialis) in real time using a C-13 tracer. Our results show a relationship between the net production rates of mycosporine-like amino acids (MAAs) and photoprotective pigments such as diadinoxanthin (DD). After 24 h, the total carbon uptake rate of P. glacialis was higher when exposed to photosynthetically active radiation (PAR) than when exposed to ultraviolet radiation (UVR). However, with time, the total carbon uptake rate and turnover rate of P. glacialis exposed to UVR increased to the point where the net production rate of MAAs under UVR was higher than that of P. glacialis exposed to PAR. The differences in MAA and DD production rates and carbon uptake indicate the production of MAA and DD as a defense strategy in response to UV-induced damage. The results of this study provide insight into the synthetic pathways of photoprotective compounds and the carbon cycle within P. glacialis cells and reveal contrasting patterns in the production of MAAs and xanthophyll compounds such as DD over time.</t>
  </si>
  <si>
    <t>[Ha, Sun-Yong; La, Hyoung Sul; Min, Jun-Oh; Chung, Kyung-Ho; Kang, Sung-Ho] Korea Polar Res Inst KOPRI, Div Polar Marine Environm, Inchon, South Korea; [Shin, Kyung-Hoon] Hanyang Univ, Marine Environm Sci Dept, Kyeonggi Do, South Korea</t>
  </si>
  <si>
    <t>Korea Polar Research Institute (KOPRI); Hanyang University</t>
  </si>
  <si>
    <t>Ha, SY (corresponding author), Korea Polar Res Inst KOPRI, Div Polar Marine Environm, Inchon, South Korea.</t>
  </si>
  <si>
    <t>sundragon@kopri.re.kr</t>
  </si>
  <si>
    <t>Shin, Kyung-Hoon/0000-0002-3169-4274; La, Hyoung Sul/0000-0003-1285-580X</t>
  </si>
  <si>
    <t>Korea Polar Research Institute projects [PM12020]</t>
  </si>
  <si>
    <t>Korea Polar Research Institute projects(Korea Polar Research Institute of Marine Research Placement (KOPRI))</t>
  </si>
  <si>
    <t>We thank Y.N. Kim for providing assistance in laboratory work. This work was supported by the Korea Polar Research Institute projects (PM12020).</t>
  </si>
  <si>
    <t>10.1080/0269249X.2014.894945</t>
  </si>
  <si>
    <t>AM8OJ</t>
  </si>
  <si>
    <t>WOS:000340134900007</t>
  </si>
  <si>
    <t>Leonard, GH; Mager, SM; Pauling, AG; Hughes, KG; Smith, IJ</t>
  </si>
  <si>
    <t>Leonard, G. H.; Mager, S. M.; Pauling, A. G.; Hughes, K. G.; Smith, I. J.</t>
  </si>
  <si>
    <t>Towards a process model for predicting potential anchor ice formation sites in coastal Antarctic waters</t>
  </si>
  <si>
    <t>JOURNAL OF SPATIAL SCIENCE</t>
  </si>
  <si>
    <t>anchor ice; Antarctica; ice shelf; coastal bathymetry; McMurdo Sound; supercooled water</t>
  </si>
  <si>
    <t>MCMURDO SOUND; SEA-ICE; SHELF; DYNAMICS; BENEATH</t>
  </si>
  <si>
    <t>Anchor ice describes clusters of ice attached to the beds of rivers, lakes or seas. In Antarctica, ice shelves are considered to be a main driver of anchor ice formation through a process commonly referred to as an 'ice pump'. These pumps melt the base of an ice shelf at depth and produce a buoyancy-driven plume of meltwater that rises along the basal plane, becoming potentially supercooled in the process. Anchor ice growth may be initiated in regions where plumes intersect the local seafloor. A simple process model is proposed to predict these growth sites in coastal Antarctic waters. A comparison with model output and anchor ice observations in McMurdo Sound reveals that model-predicted formation sites are consistent with these observations. Knowledge of ice shelf draft, basal slope and cavity circulation is necessary to extend the model beyond the confines of McMurdo Sound.</t>
  </si>
  <si>
    <t>[Leonard, G. H.] Univ Otago, Natl Sch Surveying, Dunedin, New Zealand; [Mager, S. M.] Univ Otago, Dept Geog, Dunedin, New Zealand; [Pauling, A. G.; Hughes, K. G.; Smith, I. J.] Univ Otago, Dept Phys, Dunedin, New Zealand</t>
  </si>
  <si>
    <t>University of Otago; University of Otago; University of Otago</t>
  </si>
  <si>
    <t>Leonard, GH (corresponding author), Univ Otago, Natl Sch Surveying, Dunedin, New Zealand.</t>
  </si>
  <si>
    <t>greg.leonard@otago.ac.nz</t>
  </si>
  <si>
    <t>Mager, Sarah/B-9723-2009; Leonard, Greg/F-7157-2010</t>
  </si>
  <si>
    <t>Mager, Sarah/0000-0001-6610-5874; Leonard, Greg/0000-0001-7679-9486; Hughes, Kenneth/0000-0001-5066-3310; Pauling, Andrew/0000-0003-4545-0809</t>
  </si>
  <si>
    <t>University of Otago Polar Environments Research Theme Summer Bursary</t>
  </si>
  <si>
    <t>Andrew Pauling's participation in this study was funded by a University of Otago Polar Environments Research Theme Summer Bursary (2012 - 2013). The authors would like to thank the two anonymous reviewers for their comments and suggestions.</t>
  </si>
  <si>
    <t>1449-8596</t>
  </si>
  <si>
    <t>1836-5655</t>
  </si>
  <si>
    <t>J SPAT SCI</t>
  </si>
  <si>
    <t>J. Spat. Sci.</t>
  </si>
  <si>
    <t>10.1080/14498596.2014.913271</t>
  </si>
  <si>
    <t>Geography, Physical; Remote Sensing</t>
  </si>
  <si>
    <t>Physical Geography; Remote Sensing</t>
  </si>
  <si>
    <t>AM8KL</t>
  </si>
  <si>
    <t>WOS:000340123700011</t>
  </si>
  <si>
    <t>Hurd, CL; Harrison, PJ; Bischof, K; Lobban, CS</t>
  </si>
  <si>
    <t>Hurd, Catriona L.; Harrison, Paul J.; Bischof, Kai; Lobban, Christopher S.</t>
  </si>
  <si>
    <t>Seaweed thalli and cells</t>
  </si>
  <si>
    <t>SEAWEED ECOLOGY AND PHYSIOLOGY, 2ND EDITION</t>
  </si>
  <si>
    <t>[Hurd, Catriona L.] Univ Tasmania, Inst Marine &amp; Antarctic Studies, Hobart, Tas 7001, Australia; [Harrison, Paul J.] Univ British Columbia, Dept Earth &amp; Ocean Sci, Vancouver, BC V5Z 1M9, Canada; [Bischof, Kai] Univ Bremen, Dept Marine Bot, D-28359 Bremen, Germany; [Lobban, Christopher S.] Univ Guam, Div Nat Sci, Mangilao, GU USA</t>
  </si>
  <si>
    <t>University of Tasmania; University of British Columbia; University of Bremen; University of Guam</t>
  </si>
  <si>
    <t>Hurd, CL (corresponding author), Univ Tasmania, Inst Marine &amp; Antarctic Studies, Hobart, Tas 7001, Australia.</t>
  </si>
  <si>
    <t>Hurd, Catriona L/J-2411-2013</t>
  </si>
  <si>
    <t>THE PITT BUILDING, TRUMPINGTON ST, CAMBRIDGE CB2 1RP, CAMBS, ENGLAND</t>
  </si>
  <si>
    <t>978-0-521-14595-4</t>
  </si>
  <si>
    <t>10.1017/CBO9781139192637</t>
  </si>
  <si>
    <t>Plant Sciences; Marine &amp; Freshwater Biology; Oceanography</t>
  </si>
  <si>
    <t>BA9XX</t>
  </si>
  <si>
    <t>WOS:000339956300002</t>
  </si>
  <si>
    <t>Life histories, reproduction, and morphogenesis</t>
  </si>
  <si>
    <t>WOS:000339956300003</t>
  </si>
  <si>
    <t>Seaweed communities</t>
  </si>
  <si>
    <t>WOS:000339956300004</t>
  </si>
  <si>
    <t>Biotic interactions</t>
  </si>
  <si>
    <t>WOS:000339956300005</t>
  </si>
  <si>
    <t>Light and photosynthesis</t>
  </si>
  <si>
    <t>WOS:000339956300006</t>
  </si>
  <si>
    <t>Nutrients</t>
  </si>
  <si>
    <t>WOS:000339956300007</t>
  </si>
  <si>
    <t>Physico-chemical factors as environmental stressors in seaweed biology</t>
  </si>
  <si>
    <t>WOS:000339956300008</t>
  </si>
  <si>
    <t>Water motion</t>
  </si>
  <si>
    <t>WOS:000339956300009</t>
  </si>
  <si>
    <t>Pollution</t>
  </si>
  <si>
    <t>WOS:000339956300010</t>
  </si>
  <si>
    <t>Seaweed mariculture</t>
  </si>
  <si>
    <t>WOS:000339956300011</t>
  </si>
  <si>
    <t>Dorschel, B; Gutt, J; Piepenburg, D; Schröder, M; Arndt, JE</t>
  </si>
  <si>
    <t>Dorschel, B.; Gutt, J.; Piepenburg, D.; Schroeder, M.; Arndt, J. E.</t>
  </si>
  <si>
    <t>The influence of the geomorphological and sedimentological settings on the distribution of epibenthic assemblages on a flat topped hill on the over- deepened shelf of the western Weddell Sea (Southern Ocean)</t>
  </si>
  <si>
    <t>ANTARCTIC SHELF; ROCKALL TROUGH; COMMUNITIES; VIDEO; VARIABILITY; MACROALGAE; ATLANTIC; DEPTH; STRATIFICATION; HYDRODYNAMICS</t>
  </si>
  <si>
    <t>Epibenthos communities play an important role in the marine ecosystems of the Weddell Sea. Information on the factors controlling their structure and distribution are, however, still rare. In particular, the interactions between environmental factors and biotic assemblages are not fully understood. Nachtigaller Hill, a newly discovered seabed structure on the over-deepened shelf of the northwest Weddell Sea (Southern Ocean), offers a unique site to study these interactions in a high-latitude Antarctic setting. Based on high-resolution bathymetry and georeferenced biological data, the effect of the terrain and related environmental parameters on the epibenthos was assessed. At Nachtigaller Hill, both geomorphological and biological data showed complex distribution patterns, reflecting local processes such as iceberg scouring and locally amplified bottom currents. This variability was also generally reflected in the variable epibenthos distribution patterns although statistical analyses did not show strong correlations between the selected environmental parameters and species abundances. By analysing the interactions between environmental and biological patterns, this study provides crucial information towards a better understanding of the factors and processes that drive epibenthos communities on the shelves of the Weddell Sea and probably also on other Antarctic shelves.</t>
  </si>
  <si>
    <t>[Dorschel, B.; Gutt, J.; Piepenburg, D.; Schroeder, M.; Arndt, J. E.] Helmholtz Zentrum Polar &amp; Meeresforsch, Alfred Wegener Inst, Bremerhaven, Germany</t>
  </si>
  <si>
    <t>Dorschel, B (corresponding author), Helmholtz Zentrum Polar &amp; Meeresforsch, Alfred Wegener Inst, Bremerhaven, Germany.</t>
  </si>
  <si>
    <t>boris.dorschel@awi.de</t>
  </si>
  <si>
    <t>Piepenburg, Dieter/H-3251-2019; Piepenburg, Dieter/GQP-9916-2022</t>
  </si>
  <si>
    <t>Piepenburg, Dieter/0000-0003-3977-2860; Gutt, Julian/0000-0003-3773-9370; Arndt, Jan Erik/0000-0002-9413-1612; Dorschel, Boris/0000-0002-3495-5927</t>
  </si>
  <si>
    <t>10.5194/bg-11-3797-2014</t>
  </si>
  <si>
    <t>AM5KA</t>
  </si>
  <si>
    <t>WOS:000339895600006</t>
  </si>
  <si>
    <t>Kim, A; Swaters, GE; Sutherland, BR</t>
  </si>
  <si>
    <t>Kim, Alexander; Swaters, Gordon E.; Sutherland, Bruce R.</t>
  </si>
  <si>
    <t>Cross-equatorial flow of grounded abyssal ocean currents</t>
  </si>
  <si>
    <t>GEOPHYSICAL AND ASTROPHYSICAL FLUID DYNAMICS</t>
  </si>
  <si>
    <t>Cross-equatorial flows; Grounded abyssal ocean currents; Deep western boundary currents</t>
  </si>
  <si>
    <t>WESTERN BOUNDARY CURRENT; ANTARCTIC BOTTOM WATER; POTENTIAL VORTICITY; ATLANTIC-OCEAN; BRAZIL BASIN; BETA-PLANE; PART I; DEEP; CIRCULATION; EQUATIONS</t>
  </si>
  <si>
    <t>The cross-equatorial flow of grounded abyssal ocean currents in a differentially rotating meridional channel with parabolic bottom topography is examined. In particular, the dependence is determined of the cross-equatorial volume flux on the underlying flow parameters including the slope of the channel's walls s, the half-width of the channel l, the half-width and height of the abyssal current a and H, respectively, the magnitude of the rotation vector Omega, the Earth's radius R, and the reduced gravity g'. In addition, it is shown that the ratio between the width of the channel and the zonal wavelength of a narrow wave structure that is formed by the current in the equatorial region plays a crucial role in determining into which hemisphere the current flows after its interaction with the equator. It is found that some parameters (e. g. a and H) do not have any significant effect on the zonal wavelength, while variations in other parameters (e. g. l, s, Omega, R and g') change the zonal wavelength and, consequently, can dramatically alter the qualitative trans-equatorial behavior of the abyssal current. After examining an auxiliary model of a particle in a rotating equatorial channel, it is shown that the zonal wavelength of the equatorial wave is linearly proportional to the equatorial length scale defined as L-eq = root g's/l/beta, where beta = 2 Omega/R is the equatorial value of the beta-parameter.</t>
  </si>
  <si>
    <t>[Kim, Alexander; Sutherland, Bruce R.] Univ Alberta, Dept Phys, Edmonton, AB T6G 2G1, Canada; [Swaters, Gordon E.] Univ Alberta, Dept Math &amp; Stat Sci, Edmonton, AB T6G 2G1, Canada; [Sutherland, Bruce R.] Univ Alberta, Dept Earth &amp; Atmospher Sci, Edmonton, AB T6G 2G1, Canada; [Sutherland, Bruce R.] Univ Alberta, Inst Geophys Res, Edmonton, AB T6G 2G1, Canada</t>
  </si>
  <si>
    <t>University of Alberta; University of Alberta; University of Alberta; University of Alberta</t>
  </si>
  <si>
    <t>Swaters, GE (corresponding author), Univ Alberta, Dept Math &amp; Stat Sci, Edmonton, AB T6G 2G1, Canada.</t>
  </si>
  <si>
    <t>gswaters@ualberta.ca</t>
  </si>
  <si>
    <t>Sutherland, Bruce/AAJ-9135-2021</t>
  </si>
  <si>
    <t>Sutherland, Bruce/0000-0002-9585-779X; Swaters, Gordon E./0000-0001-5229-8572</t>
  </si>
  <si>
    <t>Natural Sciences and Engineering Research Council of Canada</t>
  </si>
  <si>
    <t>Natural Sciences and Engineering Research Council of Canada(Natural Sciences and Engineering Research Council of Canada (NSERC)CGIAR)</t>
  </si>
  <si>
    <t>Preparation of this paper was partially supported by Research Grants awarded by the Natural Sciences and Engineering Research Council of Canada to G.E. Swaters and B.R. Sutherland.</t>
  </si>
  <si>
    <t>0309-1929</t>
  </si>
  <si>
    <t>1029-0419</t>
  </si>
  <si>
    <t>GEOPHYS ASTRO FLUID</t>
  </si>
  <si>
    <t>Geophys. Astrophys. Fluid Dyn.</t>
  </si>
  <si>
    <t>10.1080/03091929.2014.891023</t>
  </si>
  <si>
    <t>Astronomy &amp; Astrophysics; Geochemistry &amp; Geophysics; Mechanics</t>
  </si>
  <si>
    <t>AM8BO</t>
  </si>
  <si>
    <t>WOS:000340094500001</t>
  </si>
  <si>
    <t>Parameter Identification for Salinity in a Quasilinear Thermodynamic System of Sea Ice</t>
  </si>
  <si>
    <t>MATHEMATICAL PROBLEMS IN ENGINEERING</t>
  </si>
  <si>
    <t>MODEL</t>
  </si>
  <si>
    <t>This study is intended to provide a parameter identification method to determine salinity of sea ice by temperature and salinity observations. A quasilinear thermodynamic system of sea ice with unknown salinity is described and its property is proved. Then, a parameter identification model is established and the existence of its optimal solution is discussed. The salinity profile is calculated by the temperature and salinity data, which were measured at Nella Fjord around Zhongshan Station, Antarctica, during the polar night time by the 22nd Chinese Antarctic Research Expedition. Another simulation for temperature profiles during different measurement periods is operated. Results show that better simulations of the salinity and temperature distribution are possible with the estimated parameters than Eicken's (Eicken 1992) and THESCI's (Lv et al. 2009). This method will help people understand the salinity evolution of sea ice more thoroughly.</t>
  </si>
  <si>
    <t>National Natural Science Foundation of China [11101262, 11171050, U1232112]; Dalian University of Technology Special Fund [DUTTX2011106]; Key Disciplines of Shanghai Municipality [S30104]; First-Class Discipline of Universities in Shanghai</t>
  </si>
  <si>
    <t>National Natural Science Foundation of China(National Natural Science Foundation of China (NSFC)); Dalian University of Technology Special Fund; Key Disciplines of Shanghai Municipality; First-Class Discipline of Universities in Shanghai</t>
  </si>
  <si>
    <t>This work was supported by the National Natural Science Foundation of China under Grant nos. 11101262, 11171050, and U1232112, Dalian University of Technology Special Fund under Grant no. DUTTX2011106, Key Disciplines of Shanghai Municipality under Grant no. S30104, and a grant of The First-Class Discipline of Universities in Shanghai. The authors are grateful to all the 2006 winter-over crews at Zhongshan Station in the 22nd CHINARE for their field work support.</t>
  </si>
  <si>
    <t>HINDAWI LTD</t>
  </si>
  <si>
    <t>ADAM HOUSE, 3RD FLR, 1 FITZROY SQ, LONDON, W1T 5HF, ENGLAND</t>
  </si>
  <si>
    <t>1024-123X</t>
  </si>
  <si>
    <t>1563-5147</t>
  </si>
  <si>
    <t>MATH PROBL ENG</t>
  </si>
  <si>
    <t>Math. Probl. Eng.</t>
  </si>
  <si>
    <t>10.1155/2014/540379</t>
  </si>
  <si>
    <t>Engineering, Multidisciplinary; Mathematics, Interdisciplinary Applications</t>
  </si>
  <si>
    <t>Engineering; Mathematics</t>
  </si>
  <si>
    <t>AM4LW</t>
  </si>
  <si>
    <t>WOS:000339827000001</t>
  </si>
  <si>
    <t>Jennings, RM; Etter, RJ</t>
  </si>
  <si>
    <t>Jennings, Robert M.; Etter, Ron J.</t>
  </si>
  <si>
    <t>Phylogeographic estimates of colonization of the deep Atlantic by the protobranch bivalve Nucula atacellana</t>
  </si>
  <si>
    <t>Icelandic waters; Protobranchia; population genetics; species origin; North Atlantic demographics</t>
  </si>
  <si>
    <t>THERMOHALINE CIRCULATION; GENETIC-STRUCTURE; SEA OCTOCORALS; DIVERSITY; DIVERGENCE; EVOLUTION; CRUSTACEA; PATTERNS; ISTHMUS; HISTORY</t>
  </si>
  <si>
    <t>The Pleistocene and post-Pleistocene evolutionary history of many North Atlantic intertidal invertebrate species is well known, but the evolutionary history of the deep North Atlantic fauna is poorly understood, specifically whether colonization of the deep North Atlantic paralleled the patterns observed in shallow water. Contemporary pan-Atlantic species distributions could result from several colonization pathways that connected different regions of the Atlantic at different times (e.g. Arctic, Antarctic or Panamanian pathways). To test potential colonization pathways we quantified geographic variation in nuclear and mitochondrial markers from Atlantic samples of Nucula atacellana, a pan-Atlantic deep-sea protobranch bivalve, using N. profundorum in the eastern central Pacific as an outgroup. We combined existing 16S data from North and South Atlantic populations of N. atacellana with new sequences of 16S, COI, and an intron of calmodulin from those populations, and newly sampled populations near Iceland. Population genetic analyses indicated a subtropical expansion via the Central American Seaway. We found no evidence for Transarctic migration to the Atlantic in N. atacellana, which suggests that colonization pathways may differ significantly between shallow- and deep-water fauna.</t>
  </si>
  <si>
    <t>[Jennings, Robert M.; Etter, Ron J.] Univ Massachusetts, Dept Biol, Boston, MA 02125 USA</t>
  </si>
  <si>
    <t>University of Massachusetts System; University of Massachusetts Boston</t>
  </si>
  <si>
    <t>Jennings, RM (corresponding author), Univ Massachusetts, Dept Biol, Boston, MA 02125 USA.</t>
  </si>
  <si>
    <t>rob.jennings@umb.edu</t>
  </si>
  <si>
    <t>Jennings, Robert/D-4393-2009</t>
  </si>
  <si>
    <t>Jennings, Robert/0000-0003-4714-5824</t>
  </si>
  <si>
    <t>NSF [OCE0726382, OCE1130541]; UC Ship Funds [MV1209]; Directorate For Geosciences; Division Of Ocean Sciences [1130541] Funding Source: National Science Foundation</t>
  </si>
  <si>
    <t>NSF(National Science Foundation (NSF)); UC Ship Funds; Directorate For Geosciences; Division Of Ocean Sciences(National Science Foundation (NSF)NSF - Directorate for Geosciences (GEO))</t>
  </si>
  <si>
    <t>This research was supported by NSF Grants OCE0726382 and OCE1130541. We thank Saskia Brix for the invitation to collect samples on the IceAGE cruise and Lisa Levin and Christina Frieder for their invitation to collect samples on the SD-SeaFEx cruise (MV1209 - supported by UC Ship Funds). We also thank the crews of the R/V Endeavor (cruise ENN447), and R/V Melville for their advice and help while sampling deep-water habitats. We thank the three anonymous reviewers for helpful comments which improved this manuscript.</t>
  </si>
  <si>
    <t>10.2478/popore-2014-0017</t>
  </si>
  <si>
    <t>AM3WQ</t>
  </si>
  <si>
    <t>WOS:000339783900007</t>
  </si>
  <si>
    <t>Camacho, A; Villaescusa, JA; Rochera, C; Jorgensen, SE</t>
  </si>
  <si>
    <t>Jorgensen, SE; Chang, NB; Xu, FL</t>
  </si>
  <si>
    <t>Camacho, Antonio; Antonio Villaescusa, Juan; Rochera, Carlos; Jorgensen, Sven Erik</t>
  </si>
  <si>
    <t>Modeling the Response of the Planktonic Microbial Community to Warming Effects in Maritime Antarctic Lakes: Ecological Implications</t>
  </si>
  <si>
    <t>ECOLOGICAL MODELLING AND ENGINEERING OF LAKES AND WETLANDS</t>
  </si>
  <si>
    <t>Developments in Environmental Modelling</t>
  </si>
  <si>
    <t>SOUTH-SHETLAND-ISLANDS; KING-GEORGE ISLAND; BYERS PENINSULA; LIVINGSTON ISLAND; FRESH-WATER; HOPE BAY; BACTERIOPLANKTON COMMUNITY; DIATOM ASSEMBLAGES; VERTICAL STRUCTURE; POTTER PENINSULA</t>
  </si>
  <si>
    <t>[Camacho, Antonio; Antonio Villaescusa, Juan; Rochera, Carlos] Univ Valencia, Cavanilles Inst Biodivers &amp; Evolutionary Biol, E-46100 Burjassot, Spain; [Camacho, Antonio; Antonio Villaescusa, Juan; Rochera, Carlos] Univ Valencia, Dept Microbiol &amp; Ecol, E-46100 Burjassot, Spain; [Jorgensen, Sven Erik] Univ Copenhagen, Copenhagen, Denmark</t>
  </si>
  <si>
    <t>University of Valencia; University of Valencia; University of Copenhagen</t>
  </si>
  <si>
    <t>Camacho, A (corresponding author), Univ Valencia, Cavanilles Inst Biodivers &amp; Evolutionary Biol, Edificio Invest,Campus Burjassot, E-46100 Burjassot, Spain.</t>
  </si>
  <si>
    <t>antonio.camacho@uv.es</t>
  </si>
  <si>
    <t>Rochera, Carlos/M-2932-2014; Camacho, Antonio/I-3417-2015</t>
  </si>
  <si>
    <t>Rochera, Carlos/0000-0002-8294-4755; Camacho, Antonio/0000-0003-0841-2010</t>
  </si>
  <si>
    <t>Radarweg 29, PO Box 211, AMSTERDAM, NETHERLANDS</t>
  </si>
  <si>
    <t>0167-8892</t>
  </si>
  <si>
    <t>978-0-444-63255-5; 978-0-444-63249-4</t>
  </si>
  <si>
    <t>DEV ENVIRON MODEL</t>
  </si>
  <si>
    <t>Dev. Environ. Model.</t>
  </si>
  <si>
    <t>10.1016/B978-0-444-63249-4.00010-5</t>
  </si>
  <si>
    <t>Ecology; Environmental Sciences; Marine &amp; Freshwater Biology</t>
  </si>
  <si>
    <t>BA7TO</t>
  </si>
  <si>
    <t>WOS:000337757900009</t>
  </si>
  <si>
    <t>Gorrasi, S; Izzo, G; Massini, G; Signorini, A; Barghini, P; Fenice, M</t>
  </si>
  <si>
    <t>Gorrasi, S.; Izzo, G.; Massini, G.; Signorini, A.; Barghini, P.; Fenice, M.</t>
  </si>
  <si>
    <t>FROM POLLUTING SEAFOOD WASTES TO ENERGY. PRODUCTION OF HYDROGEN AND METHANE FROM RAW CHITIN MATERIAL BY A TWO-PHASE PROCESS</t>
  </si>
  <si>
    <t>JOURNAL OF ENVIRONMENTAL PROTECTION AND ECOLOGY</t>
  </si>
  <si>
    <t>food wastes; chitin; Lecanicillium muscarium; bio-hydrogen; bio-methane</t>
  </si>
  <si>
    <t>ANAEROBIC-DIGESTION; DEGRADATION; ENZYMES</t>
  </si>
  <si>
    <t>Hydrogen is a clean energy carrier having great potential as alternative fuel. Despite its well-established production, by chemical/electrochemical processes, bio-conversion of organic wastes to hydrogen could be a sustainable alternative since the afore-mentioned methods require a lot of energy. Anaerobic digestion to bio-methane is considered a winning strategy to transform wastes into energy with reduction of environmental issues. Chitin is the second most abundant polysaccharide after cellulose. Huge amounts of chitinous wastes, produced from seafood industry and fungal fermentation plants, represent source of pollution if improperly disposed. In this paper the feasibility to obtain hydrogen and methane in a two-phase anaerobic bio-process using raw chitin was investigated. After a preliminary aerobic pre-hydrolysis, carried out by the chitinolytic fungus Lecanicillium muscarium CCFEE 5003, H-2 was obtained by dark fermentation and CH4, subsequently, by further digestion. For best productions, pre-hydrolysis was optimised by response surface methodology. Highest hydrogen (147 ml/l) and methane (7713 ml/l) levels were obtained after 24 days of dark fermentation and 83 days of digestion, respectively. However, best productivities were obtained at day 14 and 30 for H-2 and CH4, respectively. This work is the first attempt to use raw chitin to obtain these biofuels by dark fermentation and anaerobic digestion.</t>
  </si>
  <si>
    <t>[Gorrasi, S.; Barghini, P.; Fenice, M.] Univ Tuscia, Conisma, Largo Univ Snc, Dipartimento Sci Ecol &amp; Biol,DEB, I-01100 Viterbo, Italy; [Izzo, G.; Massini, G.; Signorini, A.] ENEA Ctr Ric, Unita Tecn Rinnovabili Biomasse, UTRINN BIO, I-00123 Rome, Italy; [Fenice, M.] Univ Tuscia, Largo Univ Snc, Conisma, Lab Appl Marine Microbiol, I-01100 Viterbo, Italy</t>
  </si>
  <si>
    <t>Tuscia University; CoNISMa; Tuscia University; CoNISMa</t>
  </si>
  <si>
    <t>Fenice, M (corresponding author), Univ Tuscia, Conisma, Largo Univ Snc, Dipartimento Sci Ecol &amp; Biol,DEB, I-01100 Viterbo, Italy.</t>
  </si>
  <si>
    <t>fenice@unitus.it</t>
  </si>
  <si>
    <t>Barghini, Paolo/AAA-5865-2020; Gorrasi, Susanna/AAR-7488-2021; Fenice, Massimiliano/L-9195-2014</t>
  </si>
  <si>
    <t>Gorrasi, Susanna/0000-0003-2225-2586; Barghini, Paolo/0000-0001-6014-1321</t>
  </si>
  <si>
    <t>'Piano Operativo Annuale per la Ricerca di Sistema Elettrico', Italian Ministry of 'Sviluppo Economico'</t>
  </si>
  <si>
    <t>This work was financed by the 'Piano Operativo Annuale 2011 per la Ricerca di Sistema Elettrico', Italian Ministry of 'Sviluppo Economico'. Authors wish to thank the mycological section of the Italian National Antarctic Museum 'Felice Ippolito' for supporting CCFEE (Culture Collection of Fungi from Extreme Environments) and supplying strain 5003.</t>
  </si>
  <si>
    <t>SCIBULCOM LTD</t>
  </si>
  <si>
    <t>PO BOX 249, 1113 SOFIA, BULGARIA</t>
  </si>
  <si>
    <t>1311-5065</t>
  </si>
  <si>
    <t>J ENVIRON PROT ECOL</t>
  </si>
  <si>
    <t>J. Environ. Prot. Ecol.</t>
  </si>
  <si>
    <t>AL8BK</t>
  </si>
  <si>
    <t>WOS:000339362500014</t>
  </si>
  <si>
    <t>Barron, J; Bukry, D; Gersonde, R</t>
  </si>
  <si>
    <t>Barron, John; Bukry, David; Gersonde, Rainer</t>
  </si>
  <si>
    <t>Diatom and silicoflagellate biostratigraphy for the late Eocene: ODP 1090 (sub-Antarctic Atlantic)</t>
  </si>
  <si>
    <t>NOVA HEDWIGIA</t>
  </si>
  <si>
    <t>Diatoms; silicoflagellates; Eocene; biostratigraphy; Site 1090</t>
  </si>
  <si>
    <t>MIDDLE EOCENE; OLIGOCENE; OCEAN; PALEOGENE; SITE-1090; PACIFIC</t>
  </si>
  <si>
    <t>Abundant and well-preserved diatoms and silicoflagellate assemblages are documented through a complete late Eocene sequence, ODP Hole 1090B, recovered from the southern Agulhas Ridge in the sub-Antarctic South Atlantic. A sequence of Cestodiscus (diatom) species occurrence events involving C. pulchellus var. novazealandica, C. fennerae, C. antarcticus, C. convexus, C. trochus, and C. robustus is tied with paleomagnetic stratigraphy and provides the basis of proposing a new diatom zonation for the latest middle Eocene to early Oligocene (similar to 37.6-33.4 Ma) of the sub-Antarctic South Atlantic. Comparison with previously published diatom occurrence charts suggested this zonation should be applicable throughout the low latitude regions of the world's oceans. Silicoflagellates belong to the Dictyocha hexacantha and the overlying Corbisema apiculata Zones. The late Eocene succession of silicoflagellate species is dominated by Naviculopsis (20-60%). Naviculopsis constricta and N. foliacea dominate the D. hexacantha Zone, followed by the N. constricta, then N. biapiculata in the C. apiculata Zone. Cold-water Distephanus is most abundant in the latest Eocene along with N. biapiculata. The tops of zonal guide fossils Dictyocha hexacantha and Hannaites quadria (both 36.6 Ma) and Dictyocha spinosa (37.1 Ma) are tied with paleomagnetic stratigraphy.</t>
  </si>
  <si>
    <t>[Barron, John; Bukry, David] US Geol Survey, Menlo Pk, CA 94025 USA; [Gersonde, Rainer] Alfred Wegener Inst Polar &amp; Marine Res, D-27515 Bremerhaven, Germany</t>
  </si>
  <si>
    <t>United States Department of the Interior; United States Geological Survey; Helmholtz Association; Alfred Wegener Institute, Helmholtz Centre for Polar &amp; Marine Research</t>
  </si>
  <si>
    <t>Barron, J (corresponding author), US Geol Survey, 345 Middlefield Rd, Menlo Pk, CA 94025 USA.</t>
  </si>
  <si>
    <t>jbarron@usgs.gov</t>
  </si>
  <si>
    <t>U.S. National Science Foundation</t>
  </si>
  <si>
    <t>U.S. National Science Foundation(National Science Foundation (NSF))</t>
  </si>
  <si>
    <t>This research used samples provided by the Ocean Drilling Program sponsored by the U.S. National Science Foundation and participating countries. Light microscopic samples were prepared at Alfred-Wegener-Institute, we thank U. Bock for technical assistance. Scott Starratt reviewed the manuscript for the U.S. Geological Survey. We are grateful to Catherine Stickley and Kevin McCartney for their excellent reviews of this article. Jakob Witkowski also provided excellent comments.</t>
  </si>
  <si>
    <t>GEBRUDER BORNTRAEGER</t>
  </si>
  <si>
    <t>STUTTGART</t>
  </si>
  <si>
    <t>JOHANNESSTR 3A, D-70176 STUTTGART, GERMANY</t>
  </si>
  <si>
    <t>0029-5035</t>
  </si>
  <si>
    <t>Nova Hedwigia</t>
  </si>
  <si>
    <t>10.1127/1438-9134/2014/001</t>
  </si>
  <si>
    <t>AM0KX</t>
  </si>
  <si>
    <t>WOS:000339535600002</t>
  </si>
  <si>
    <t>Gladenkov, AY</t>
  </si>
  <si>
    <t>Gladenkov, Andrey Yu.</t>
  </si>
  <si>
    <t>Bipolar distribution of some earliest Oligocene marine diatoms</t>
  </si>
  <si>
    <t>early Oligocene; marine diatoms; bipolar distribution</t>
  </si>
  <si>
    <t>EQUATORIAL PACIFIC; EOCENE-OLIGOCENE; BERING STRAIT; KAMCHATKA; PALEOGENE; OCEAN; BIOSTRATIGRAPHY; STRATIGRAPHY; ANTARCTICA; EVOLUTION</t>
  </si>
  <si>
    <t>A literature study of Paleogene marine diatom assemblages reveals bipolar distribution for a number of planktic diatom species that appear near the Eocene-Oligocene transition. It is supposed that the initial geographic occurrence of the considered pelagic taxa was confined to southern high latitudes where planktic assemblages evolved within relatively cold surface water gyres. After the global cooling at the Eocene-Oligocene transition these gyres were decoupled from warmer water gyres by the development of the Antarctic Circumpolar Current. Later, some of the newly evolved diatoms migrated northwards. Their transport through the low latitudes was possible due to weaker than present water-mass barriers for cross-equatorial migration. As a result the species arrived in the North Pacific and North Atlantic where they flourished in marine phytocenoses.</t>
  </si>
  <si>
    <t>Russian Acad Sci, Inst Geol, Moscow 119017, Russia</t>
  </si>
  <si>
    <t>Russian Academy of Sciences; Geological Institute, Russian Academy of Sciences</t>
  </si>
  <si>
    <t>Gladenkov, AY (corresponding author), Russian Acad Sci, Inst Geol, Pyzhevskii Per 7, Moscow 119017, Russia.</t>
  </si>
  <si>
    <t>agladenkov@ilran.ru</t>
  </si>
  <si>
    <t>Gladenkov, Andrey/J-1001-2018</t>
  </si>
  <si>
    <t>Russian Foundation for Basic Research [13-05-00115]; Presidium of Russian Academy of Sciences [28]</t>
  </si>
  <si>
    <t>Russian Foundation for Basic Research(Russian Foundation for Basic Research (RFBR)Spanish Government); Presidium of Russian Academy of Sciences(Russian Academy of Sciences)</t>
  </si>
  <si>
    <t>I would like to thank Prof. Nina Strelnikova who encouraged research on the Paleogene and Cretaceous diatoms in Russia for many years. Special thanks are given to Dr. John Barron for stimulating discussions on the topic. I am grateful to Prof Kevin McCartney, Dr. Catherine Stickley, and Dr. Juliane Fenner for their critical reviews and suggestions for improving the manuscript. The editorial comments, helpful notes and remarks by Dr. Jakub Witkowski are also greatly appreciated. This work was supported by project no. 13-05-00115 of Russian Foundation for Basic Research and Program no. 28 of the Presidium of Russian Academy of Sciences.</t>
  </si>
  <si>
    <t>10.1127/1438-9431/2014/017</t>
  </si>
  <si>
    <t>WOS:000339535600018</t>
  </si>
  <si>
    <t>Gogorev, RM; Pushina, ZV</t>
  </si>
  <si>
    <t>Gogorev, Rinat M.; Pushina, Zinaida V.</t>
  </si>
  <si>
    <t>A new araphid diatom genus and species (Bacillariophyta) from Miocene marine deposits of the Fisher Massif (Prince Charles Mountains, East Antarctica)</t>
  </si>
  <si>
    <t>araphid diatoms; Saeptifera gen. nov.; morphology; taxonomy; Miocene; Fisher Massif; Prince Charles Mountains; East Antarctica</t>
  </si>
  <si>
    <t>GLACIAL HISTORY; PAGODROMA GROUP; LAMBERT GRABEN; BIOSTRATIGRAPHY; STRATIGRAPHY; FRUSTULE; RECORD</t>
  </si>
  <si>
    <t>A new araphid diatom genus Saeptifera Gogorev with five new taxa, S. turbinata, S. lateriportulata, S. oval is, S. rhaphoneiformis and S. triangularis found in Miocene glaciomarine sediments of the Fisher Massif (Prince Charles Mountains, East Antarctica) are described. Detailed data on morphology and taxonomy of new diatoms studied by light and scanning electron microscopy are presented. The new genus is characterized by frustules having valves of different shape and several uniseptate open copulae, uniseriate striae, narrow axial areas, apical pore fields and a single rimoportula on valves. Comparison of taxonomic features of the new genus and other araphid genera having septate copulae shows that Saeptifera can be placed in the Family Tabellariaceae.</t>
  </si>
  <si>
    <t>[Gogorev, Rinat M.] Russian Acad Sci, VL Komarov Bot Inst, Dept Algol, St Petersburg 197376, Russia; [Pushina, Zinaida V.] All Russia Sci Res Inst Geol &amp; Mineral Recourses, St Petersburg 190121, Russia</t>
  </si>
  <si>
    <t>Russian Academy of Sciences; Komarov Botanical Institute, Russian Academy of Sciences</t>
  </si>
  <si>
    <t>Gogorev, RM (corresponding author), Russian Acad Sci, VL Komarov Bot Inst, Dept Algol, Prof Popov St 2, St Petersburg 197376, Russia.</t>
  </si>
  <si>
    <t>gogorev@mail.ru; musatova@mail.ru</t>
  </si>
  <si>
    <t>Studies and Investigations of the Antarctica (Russian Federal program World Ocean); Conducting of the Multi-disciplinary Study of the Antarctic Biota [11-04-A/2, 11-05-A/2, 11-06-A/2, 11-07-A/2]; The study of Antarctic ecosystem condition and environment condition in area of the Russian Antarctic Expedition [4/A-08-10/3]</t>
  </si>
  <si>
    <t>Studies and Investigations of the Antarctica (Russian Federal program World Ocean); Conducting of the Multi-disciplinary Study of the Antarctic Biota; The study of Antarctic ecosystem condition and environment condition in area of the Russian Antarctic Expedition</t>
  </si>
  <si>
    <t>We are thankful to geologists of the Polar Marine Geosurvey Expedition (Russia) Andrey Biryukov and Michail Egorov and geologists from the Polish Academy of Sciences: Andrzej Tatur, Szymon Ostrowski and Marek Gola for sediment samples. We would like to acknowledge the assistance of Ludmila Kartseva who operated the SEM during the sessions for this study. We are grateful to Andrey Gladenkov for his comments on Fig. 3. Thanks are also due to the reviewers for their linguistic improvements and useful critical comments and advice. This research has been accomplished within the framework and owing to the financial support of the Subprogram Studies and Investigations of the Antarctica (Russian Federal program World Ocean), Project No. 16 (grants 11-04-A/2,11-05-A/2,11-06-A/2,11-07-A/2) Conducting of the Multi-disciplinary Study of the Antarctic Biota and Project No. 4 (grant 4/A-08-10/3) The study of Antarctic ecosystem condition and environment condition in area of the Russian Antarctic Expedition.</t>
  </si>
  <si>
    <t>10.1127/1438-9134/2014/022</t>
  </si>
  <si>
    <t>WOS:000339535600023</t>
  </si>
  <si>
    <t>Carter, L; Burnett, D; Davenport, T</t>
  </si>
  <si>
    <t>Burnett, DR; Beckman, RC; Davenport, TM</t>
  </si>
  <si>
    <t>Carter, Lionel; Burnett, Douglas; Davenport, Tara</t>
  </si>
  <si>
    <t>THE RELATIONSHIP BETWEEN SUBMARINE CABLES AND THE MARINE ENVIRONMENT</t>
  </si>
  <si>
    <t>SUBMARINE CABLES: THE HANDBOOK OF LAW AND POLICY</t>
  </si>
  <si>
    <t>[Carter, Lionel] Victoria Univ Wellington, Antarctic Res Ctr, Wellington, New Zealand; [Burnett, Douglas] US Navy, Washington, DC USA; [Davenport, Tara] Ctr Int Law, Singapore, Singapore; [Davenport, Tara] Natl Univ Singapore Ocean Law &amp; Policy, Singapore, Singapore; [Davenport, Tara] Int Boundaries Res Unit, Durham, England</t>
  </si>
  <si>
    <t>Victoria University Wellington; United States Department of Defense; United States Navy; Durham University</t>
  </si>
  <si>
    <t>978-90-04-26033-7; 978-90-04-26032-0</t>
  </si>
  <si>
    <t>BA7BR</t>
  </si>
  <si>
    <t>WOS:000337361300010</t>
  </si>
  <si>
    <t>Carter, L</t>
  </si>
  <si>
    <t>Carter, Lionel</t>
  </si>
  <si>
    <t>SUBMARINE CABLES AND NATURAL HAZARDS</t>
  </si>
  <si>
    <t>SEDIMENT DISCHARGE; TURBIDITY CURRENTS; CLIMATE-CHANGE; SEAMOUNT; EARTHQUAKE; OCEAN</t>
  </si>
  <si>
    <t>[Carter, Lionel] Victoria Univ Wellington, Antarctic Res Ctr, Wellington, New Zealand</t>
  </si>
  <si>
    <t>Victoria University Wellington</t>
  </si>
  <si>
    <t>WOS:000337361300013</t>
  </si>
  <si>
    <t>Carter, L; Soons, AHA</t>
  </si>
  <si>
    <t>Carter, Lionel; Soons, Alfred H. A.</t>
  </si>
  <si>
    <t>MARINE SCIENTIFIC RESEARCH CABLES</t>
  </si>
  <si>
    <t>[Carter, Lionel] Victoria Univ Wellington, Antarctic Res Ctr, Wellington, New Zealand; [Soons, Alfred H. A.] Univ Utrecht, Netherlands Inst Law Sea NILOS, NL-3508 TC Utrecht, Netherlands; [Soons, Alfred H. A.] ILA, London, England; [Soons, Alfred H. A.] Netherlands Minist Foreign Affairs, Standing Advisory Comm Publ Int, The Hague, Netherlands; [Soons, Alfred H. A.] Rhodes Acad Oceans Law &amp; Policy, Rhodes, Greece</t>
  </si>
  <si>
    <t>Victoria University Wellington; Utrecht University</t>
  </si>
  <si>
    <t>WOS:000337361300017</t>
  </si>
  <si>
    <t>Robin, JP; Roberts, M; Zeidberg, L; Bloor, I; Rodriguez, A; Briceño, F; Downey, N; Mascaró, M; Navarro, M; Guerra, A; Hofmeister, J; Barcellos, DD; Lourenço, SAP; Roper, CFE; Moltschaniwskyj, NA; Green, CP; Mather, J</t>
  </si>
  <si>
    <t>Vidal, EAG</t>
  </si>
  <si>
    <t>Robin, Jean-Paul; Roberts, Michael; Zeidberg, Lou; Bloor, Isobel; Rodriguez, Almendra; Briceno, Felipe; Downey, Nicola; Mascaro, Maite; Navarro, Mike; Guerra, Angel; Hofmeister, Jennifer; Barcellos, Diogo D.; Lourenco, Silvia A. P.; Roper, Clyde F. E.; Moltschaniwskyj, Natalie A.; Green, Corey P.; Mather, Jennifer</t>
  </si>
  <si>
    <t>Transitions During Cephalopod Life History: The Role of Habitat, Environment, Functional Morphology and Behaviour</t>
  </si>
  <si>
    <t>ADVANCES IN CEPHALOPOD SCIENCE: BIOLOGY, ECOLOGY, CULTIVATION AND FISHERIES</t>
  </si>
  <si>
    <t>Cephalopod ontogeny; Life stages; Morphological changes; Acquisition of behaviours; Habitat shifts; Environmental variability; Cohort survival; Paralarvae; Juvenile; Subadult; Adult</t>
  </si>
  <si>
    <t>SQUID LOLIGO-VULGARIS; CUTTLEFISH SEPIA-OFFICINALIS; CALAMARY SEPIOTEUTHIS-AUSTRALIS; OCTOPUS OCTOPUS-VULGARIS; DOSIDICUS-GIGAS CEPHALOPODA; GONATUS-ONYX CEPHALOPODA; FATTY-ACID-COMPOSITION; GULF-OF-CALIFORNIA; DEEP-SEA; EMBRYONIC-DEVELOPMENT</t>
  </si>
  <si>
    <t>Cephalopod life cycles generally share a set of stages that take place in different habitats and are adapted to specific, though variable, environmental conditions. Throughout the lifespan, individuals undertake a series of brief transitions from one stage to the next. Four transitions were identified: fertilisation of eggs to their release from the female (1), from eggs to paralarvae (2), from paralarvae to subadults (3) and from subadults to adults (4). An analysis of each transition identified that the changes can be radical (i.e. involving a range of morphological, physiological and behavioural phenomena and shifts in habitats) and critical (i.e. depending on environmental conditions essential for cohort survival). This analysis underlines that transitions from eggs to paralarvae (2) and from paralarvae to subadults (3) present major risk of mortality, while changes in the other transitions can have evolutionary significance. This synthesis suggests that more accurate evaluation of the sensitivity of cephalopod populations to environmental variation could be achieved by taking into account the ontogeny of the organisms. The comparison of most described species advocates for studies linking development and ecology in this particular group.</t>
  </si>
  <si>
    <t>Univ Caen Basse Normandie, UMR BOREA Biol ORganismes &amp; Ecosyst Aquat, F-14032 Caen, France; [Robin, Jean-Paul] UCBN, UMR BOREA, UMR CNRS7208, IRD207,UPMC,MNHN, F-14032 Caen, France; [Roberts, Michael] Rhodes Univ, ZA-6140 Grahamstown, South Africa; [Roberts, Michael] Victoria &amp; Alfred Waterfront, Oceans &amp; Coasts Res, Cape Town, South Africa; [Zeidberg, Lou] Univ Calif Los Angeles, Dept Ecol &amp; Evolutionary Biol, Los Angeles, CA USA; [Bloor, Isobel] Bangor Univ, Sch Ocean Sci, Menai Bridge, Anglesey, Wales; [Rodriguez, Almendra] Colonia Casasano, El Colegio Frontera Sur, Cuautla, Morelos, Mexico; [Briceno, Felipe] Univ Tasmania, Inst Marine &amp; Antarctic Studies IMAS, Hobart, Tas, Australia; [Downey, Nicola] Rhodes Univ, Dept Ichthyol &amp; Fisheries Sci, ZA-6140 Grahamstown, South Africa; [Downey, Nicola] Bayworld Ctr Res &amp; Educ, Cape Town, South Africa; [Mascaro, Maite] Univ Nacl Autonoma Mexico, Unidad Multidisciplinaria Docencia &amp; Invest, Sisal, Yucatan, Mexico; [Navarro, Mike] Univ Calif San Diego, Scripps Inst Oceanog, Integrat Oceanog Div, La Jolla, CA 92093 USA; [Navarro, Mike] Univ Calif San Diego, Scripps Inst Oceanog, Ctr Marine Biodivcrs &amp; Conservat, La Jolla, CA 92093 USA; [Guerra, Angel] Inst Invest Marinas CSIC, Vigo, Spain; [Hofmeister, Jennifer] Univ Calif Berkeley, Dept Integrat Biol, Caldwell Lab, Berkeley, CA 94720 USA; [Barcellos, Diogo D.] Univ Sao Paulo, Inst Oceanog Praca Oceanog, Lab Ecossistemas Pesqueiros LabPesq, Sao Paulo, Brazil; [Lourenco, Silvia A. P.] Dept Mar &amp; Recursos Marinhos, IPMA Div RP, Lisbon, Portugal; [Roper, Clyde F. E.] Natl Museum Nat Hist, Smithsonian Inst, Washington, DC 20560 USA; [Moltschaniwskyj, Natalie A.] Univ Newcastle, Sch Environm &amp; Life Sci, Ourimbah, NSW, Australia; [Green, Corey P.] Fisheries Victoria, Dept Environm &amp; Primary Ind, Queenscliff, Vic, Australia; [Mather, Jennifer] Univ Lethbridge, Dept Psychol, Lethbridge, AB T1K 3M4, Canada</t>
  </si>
  <si>
    <t>Sorbonne Universite; Universite de Caen Normandie; Museum National d'Histoire Naturelle (MNHN); Universite de Caen Normandie; Sorbonne Universite; Rhodes University; University of California System; University of California Los Angeles; Bangor University; El Colegio de la Frontera Sur (ECOSUR); University of Tasmania; Rhodes University; Universidad Nacional Autonoma de Mexico; University of California System; University of California San Diego; Scripps Institution of Oceanography; University of California System; University of California San Diego; Scripps Institution of Oceanography; Consejo Superior de Investigaciones Cientificas (CSIC); CSIC - Instituto de Investigaciones Marinas (IIM); University of California System; University of California Berkeley; Universidade de Sao Paulo; Instituto Portugues do Mar e da Atmosfera; Smithsonian Institution; Smithsonian National Museum of Natural History; University of Newcastle; University of Lethbridge</t>
  </si>
  <si>
    <t>Robin, JP (corresponding author), Univ Caen Basse Normandie, UMR BOREA Biol ORganismes &amp; Ecosyst Aquat, F-14032 Caen, France.</t>
  </si>
  <si>
    <t>jean-paul.robin@unicaen.fr</t>
  </si>
  <si>
    <t>MIQUELAJAUREGUI, MAITE MASCARO/AAD-5843-2021; Moltschaniwskyj, Natalie/AAB-7236-2019; Lourenço, sílvia/C-7744-2019</t>
  </si>
  <si>
    <t>MIQUELAJAUREGUI, MAITE MASCARO/0000-0003-3614-4383; Lourenço, sílvia/0000-0003-4426-0894; Moltschaniwskyj, Natalie/0000-0001-9709-9876; Lourenco, Silvia/0000-0002-0677-9006; Robin, Jean-Paul/0000-0002-7480-2378</t>
  </si>
  <si>
    <t>978-0-12-800287-2</t>
  </si>
  <si>
    <t>10.1016/B978-0-12-800287-2.00004-4</t>
  </si>
  <si>
    <t>BA7DS</t>
  </si>
  <si>
    <t>WOS:000337493800005</t>
  </si>
  <si>
    <t>Bekaert, D; Gebert, N; Lin, CC; Hélière, F; Dall, J; Kusk, A; Savstrup Kristensen, S</t>
  </si>
  <si>
    <t>Bekaert, David; Gebert, Nicolas; Lin, Chung-Chi; Heliere, Florence; Dall, Jorgen; Kusk, Anders; Savstrup Kristensen, Steen</t>
  </si>
  <si>
    <t>Multichannel surface clutter suppression: East Antarctica P-band SAR ice sounding in the presence of grating lobes</t>
  </si>
  <si>
    <t>Antarctic glaciology; ground-penetrating radar; ice streams; remote sensing</t>
  </si>
  <si>
    <t>SHEETS; GLACIERS</t>
  </si>
  <si>
    <t>Ice sounding with radar is a well-established technique for the retrieval of ice depth, and provides information on ice structures and layering. Airborne radar ice sounders suffer from off-nadir surface clutter that masks the signal from bedrock and ice layers with unwanted but simultaneously received surface reflections. This is of importance for future satellite ice-sounding missions, as the spaceborne geometry leads to strong surface clutter even for deep subsurface returns. This paper presents analysis and comparison of different clutter-suppression techniques applied to data acquired with the European Space Agency's P-band POLarimetric Airborne Radar Ice Sounder (POLARIS). The 4 m long antenna of POLARIS enables simultaneous reception of up to four across-track channels. It was operated in 2011 over Antarctica at a high flight altitude of 3200 m. Different coherent weighting techniques of the receive channels were used to suppress the surface 'clutter'. However, with a channel spacing of 1.4 times the wavelength, the grating lobe imposes a limitation to the off-nadir angular range in which clutter can be effectively attenuated. Results of ice sounding over Jutulstraumen glacier are described, where we demonstrate a clutter suppression of up to 10 dB.</t>
  </si>
  <si>
    <t>[Bekaert, David; Gebert, Nicolas; Lin, Chung-Chi; Heliere, Florence] European Space Res &amp; Technol Ctr ESTEC, Earth Observat Projects Dept, Noordwijk, Netherlands; [Dall, Jorgen; Kusk, Anders; Savstrup Kristensen, Steen] Tech Univ Denmark, Natl Space Inst, DK-2800 Lyngby, Denmark</t>
  </si>
  <si>
    <t>European Space Agency; Technical University of Denmark</t>
  </si>
  <si>
    <t>Bekaert, D (corresponding author), Univ Leeds, Sch Earth &amp; Environm, Leeds, W Yorkshire, England.</t>
  </si>
  <si>
    <t>eedpsb@leeds.ac.uk</t>
  </si>
  <si>
    <t>; Dall, Jorgen/E-8947-2018</t>
  </si>
  <si>
    <t>Kusk, Anders/0000-0001-7822-4758; Kristensen, Steen Savstrup/0000-0001-5928-1802; Dall, Jorgen/0000-0002-3873-1074</t>
  </si>
  <si>
    <t>10.3189/2014AoG67A100</t>
  </si>
  <si>
    <t>AL8BS</t>
  </si>
  <si>
    <t>WOS:000339363400003</t>
  </si>
  <si>
    <t>Uribe, JA; Zamora, R; Gacitúa, G; Rivera, A; Ulloa, D</t>
  </si>
  <si>
    <t>Uribe, Jose A.; Zamora, Rodrigo; Gacitua, Guisella; Rivera, Andres; Ulloa, David</t>
  </si>
  <si>
    <t>A low power consumption radar system for measuring ice thickness and snow/firn accumulation in Antarctica</t>
  </si>
  <si>
    <t>Antarctic glaciology; glaciological instruments and methods; ground-penetrating radar; polar firn; radio-echo sounding</t>
  </si>
  <si>
    <t>SURFACE INTERNAL LAYERS; WEST ANTARCTICA; WIDE-BAND; MOUNTAINS; SOUNDER; SHEET; SNOW</t>
  </si>
  <si>
    <t>In order to measure total ice thickness and surface snow accumulation in Antarctica, we have designed and built a surveying system comprising two types of radar. This system is aimed at having low power consumption, low weight/volume and low construction cost. The system has a pulse-compression radar to measure ice thickness, and a frequency-modulated continuous wave (FM-CW) radar designed to measure hundreds of meters of surface snow/firn layers with high resolution. The pulse-compression radar operates at 155 MHz, 20 MHz of bandwidth; and the FM-CW radar operates from 550 to 900 MHz. The system was tested in December 2010 at Union Glacier (79 degrees 46'S, 83 degrees 24'W), West Antarctica, during an oversnow campaign, where Union and other nearby glaciers (Schanz, Schneider and Balish) were covered through 82 km of track. Ice thickness of 1540 m and snow/firn thickness of 120 m were detected in the area. The collected data allowed the subglacial topography, internal ice structure, isochronous and the snow/ice boundary layer to be detected. Here we describe radar electronics, their main features and some of the results obtained during the first test campaign. Further improvements will focus on the adaptation of the system to be implemented on board airplane platforms.</t>
  </si>
  <si>
    <t>[Uribe, Jose A.; Zamora, Rodrigo; Gacitua, Guisella; Rivera, Andres] Ctr Estudios Cient, Valdivia, Chile; [Ulloa, David] Unmanned Ind Ltda, Valdivia, Chile; [Rivera, Andres] Univ Chile, Dept Geog, Santiago, Chile</t>
  </si>
  <si>
    <t>Universidad de Chile</t>
  </si>
  <si>
    <t>Uribe, JA (corresponding author), Ctr Estudios Cient, Valdivia, Chile.</t>
  </si>
  <si>
    <t>juribeparada@cecs.cl</t>
  </si>
  <si>
    <t>Rivera, Andres/0000-0002-2779-4192; Uribe Parada, Jose Andres/0000-0002-5281-2719</t>
  </si>
  <si>
    <t>Antarctic Logistics and Expeditions (ALE); Chilean Government through Centers of Excellence Base Financing Program of Comision Nacional de Investigacion Cientifica y Tecnologica de Chile (CONICYT)</t>
  </si>
  <si>
    <t>The field campaigns were funded and supported by Antarctic Logistics and Expeditions (ALE). CECs is funded by the Chilean Government through the Centers of Excellence Base Financing Program of Comision Nacional de Investigacion Cientifica y Tecnologica de Chile (CONICYT). Andres Rivera is a Guggenheim fellow.</t>
  </si>
  <si>
    <t>10.3189/2014AoG67A055</t>
  </si>
  <si>
    <t>WOS:000339363400006</t>
  </si>
  <si>
    <t>Jacobel, RW; Christianson, K; Wood, AC; Dallasanta, KJ; Gobel, RM</t>
  </si>
  <si>
    <t>Jacobel, Robert W.; Christianson, Knut; Wood, Adam C.; Dallasanta, Kevin J.; Gobel, Rebecca M.</t>
  </si>
  <si>
    <t>Morphology of basal crevasses at the grounding zone of Whillans Ice Stream, West Antarctica</t>
  </si>
  <si>
    <t>Antarctic glaciology; crevasses; glacier geophysics; ice/ocean interactions; radio-echo sounding</t>
  </si>
  <si>
    <t>ACTIVE RESERVOIR BENEATH; SUBGLACIAL LAKE WHILLANS; PENETRATING RADAR; SHELF; LINE; GLACIER; SHEETS</t>
  </si>
  <si>
    <t>The transition from limited-slip conditions at the base of grounded ice to free-slip conditions beneath floating ice occurs across the few-kilometers-wide grounding zone. This region involves either an elastic flexural transition from bedrock to hydrostatically supported elevations (often tidally influenced), a transition from thicker to thinner ice over a flat bed, or some combination of these two processes. In either case, ice must flow across a changing stress field, often resulting in brittle deformation, manifested as basal crevassing. Thus the position and morphology of basal crevasses reveal important information about the stress state across this transition. Our gridded ground-based radar surveys on Whillans Ice Stream, West Antarctica, indicate a complex pattern of basal crevasses, but most are associated with regions where the surface elevation gradient is steepest. Due to the high reflectivity of sea water, we image many off-nadir crevasses from a corner-reflector geometry involving reflections from the ice/sea-water interface and then from the crevasse, producing echoes with an inverted phase that could be misinterpreted as subglacial returns. Our results indicate that basal crevasses offer a rich dataset for diagnosing stress state and salient processes across grounding zones, and that special care is needed when interpreting subglacial returns in radar data.</t>
  </si>
  <si>
    <t>[Jacobel, Robert W.; Christianson, Knut; Wood, Adam C.; Dallasanta, Kevin J.; Gobel, Rebecca M.] St Olaf Coll, Dept Phys, Northfield, MN 55057 USA</t>
  </si>
  <si>
    <t>Saint Olaf College</t>
  </si>
  <si>
    <t>Jacobel, RW (corresponding author), St Olaf Coll, Dept Phys, Northfield, MN 55057 USA.</t>
  </si>
  <si>
    <t>jacobel@stolaf.edu</t>
  </si>
  <si>
    <t>DallaSanta, Kevin/GPC-8701-2022</t>
  </si>
  <si>
    <t>DallaSanta, Kevin/0000-0002-5411-7728</t>
  </si>
  <si>
    <t>US National Science Foundation [ANT-0838854, ANT-0838855]; Directorate For Geosciences; Office of Polar Programs (OPP) [0838763, 0838764] Funding Source: National Science Foundation</t>
  </si>
  <si>
    <t>US National Science Foundation(National Science Foundation (NSF)); Directorate For Geosciences; Office of Polar Programs (OPP)(National Science Foundation (NSF)NSF - Directorate for Geosciences (GEO))</t>
  </si>
  <si>
    <t>We thank our colleagues on the WISSARD geophysics field team for assistance in Antarctica, particularly Benjamin Peterson and Huw Horgan. This work was supported by grants from the US National Science Foundation ANT-0838854 and ANT-0838855 to St Olaf College as part of the American Recovery and Reinvestment Act of 2009. The US National Snow and Ice Data Centre (NSIDC) provided dInSAR data. GPS base station data were obtained from The University Navstar Consortium (UNAVCO) and the Scripps Orbit and Permanent Army Center (SOPAC). We thank Eric Rignot for digitization of the grounding line and maximum extent of the flexure zone in dInSAR data. We thank Hugh Corr, Scientific Editor, David Vaughan and an anonymous reviewer for helpful comments. Logistical support was provided by Raytheon Polar Services, Kenn Borek Air and the New York Air National Guard.</t>
  </si>
  <si>
    <t>10.3189/2014AoG67A004</t>
  </si>
  <si>
    <t>WOS:000339363400008</t>
  </si>
  <si>
    <t>Fudge, TJ; Conway, H; Catania, G; Blankenship, DD; Christianson, K; Joughin, I; Smith, B; Kempf, SD; Young, DA; Anandakrishnan, S</t>
  </si>
  <si>
    <t>Fudge, T. J.; Conway, H.; Catania, G.; Blankenship, D. D.; Christianson, K.; Joughin, I.; Smith, B.; Kempf, S. D.; Young, D. A.; Anandakrishnan, S.</t>
  </si>
  <si>
    <t>Identifying flowlines and limitations of flux analyses in the interior of Thwaites Glacier, Antarctica</t>
  </si>
  <si>
    <t>Antarctic glaciology; glacier flow; radio-echo sounding</t>
  </si>
  <si>
    <t>WEST ANTARCTICA; ICE-SHEET; SNOW ACCUMULATION; AIRBORNE-RADAR; PINE ISLAND; VARIABILITY; FLOW; GREENLAND; MARGINS; SHELVES</t>
  </si>
  <si>
    <t>Patterns in radar-detected internal layers in glaciers and ice streams can be tracked hundreds of kilometers downstream. We use distinctive patterns to delineate flowbands of Thwaites Glacier in the Amundsen Sea sector of West Antarctica. Flowbands contain information for the past century to millennium, the approximate time for ice to flow through the study region. GPS-detected flow directions (acquired in 2007/08) agree within uncertainty (similar to 4 degrees) with the radar-detected flowlines, indicating that the flow direction has not changed significantly in recent centuries. In contrast, InSAR-detected directions (from 1996) differ from the radar- and GPS-detected flowlines in all but the middle tributary, indicating caution is needed when using InSAR velocities to define flow directions. There is agreement between all three datasets in the middle tributary. We use two radar-detected flowlines to define a 95 km long flowband and perform a flux balance analysis using InSAR-derived velocities, radar-detected ice thickness, and estimates of the accumulation rate. Inferred thinning of 0.49 +/- 0.34 m a(-1) is consistent with satellite altimetry measurements, but has higher uncertainty due mainly to the velocity uncertainty. The uncertainty is underestimated because InSAR velocities often differ from GPS velocities by more than the stated uncertainties.</t>
  </si>
  <si>
    <t>[Fudge, T. J.; Conway, H.] Univ Washington, Dept Earth &amp; Space Sci, Seattle, WA 98195 USA; [Catania, G.; Blankenship, D. D.; Kempf, S. D.; Young, D. A.] Univ Texas Austin, Inst Geophys, Austin, TX USA; [Christianson, K.] St Olaf Coll, Northfield, MN 55057 USA; [Joughin, I.; Smith, B.] Univ Washington, Appl Phys Lab, Seattle, WA 98105 USA; [Anandakrishnan, S.] Penn State Univ, Dept Geosci, University Pk, PA 16802 USA</t>
  </si>
  <si>
    <t>University of Washington; University of Washington Seattle; University of Texas System; University of Texas Austin; Saint Olaf College; University of Washington; University of Washington Seattle; Pennsylvania Commonwealth System of Higher Education (PCSHE); Pennsylvania State University; Pennsylvania State University - University Park</t>
  </si>
  <si>
    <t>Fudge, TJ (corresponding author), Univ Washington, Dept Earth &amp; Space Sci, Seattle, WA 98195 USA.</t>
  </si>
  <si>
    <t>tjfudge@u.washington.edu</t>
  </si>
  <si>
    <t>Young, Duncan A./G-6256-2010; Anandakrishnan, Sridhar/JCN-5026-2023; Blankenship, Donald D./G-5935-2010; Joughin, Ian/AAR-7778-2021; Joughin, Ian R/A-2998-2008; Catania, Ginny/B-9787-2008</t>
  </si>
  <si>
    <t>Joughin, Ian/0000-0001-6229-679X; Joughin, Ian R/0000-0001-6229-679X; Catania, Ginny/0000-0002-7561-5902; Conway, Howard/0000-0003-4634-3474; Fudge, Tyler/0000-0002-6818-7479</t>
  </si>
  <si>
    <t>US National Science Foundation [ANT-0739372, 0632198]</t>
  </si>
  <si>
    <t>We thank Brooke Medley and Joe MacGregor for many discussions about Thwaites Glacier. We also thank the US National Science Foundation for supporting this research with grants ANT-0739372 to H.C. and 0632198 to S.A. We also appreciate the efforts of editors Dorthe Dahl-Jensen and David Braaten.</t>
  </si>
  <si>
    <t>10.3189/2014AoG67A033</t>
  </si>
  <si>
    <t>WOS:000339363400014</t>
  </si>
  <si>
    <t>Mouginot, J; Rignot, E; Gim, Y; Kirchner, D; Le Meur, E</t>
  </si>
  <si>
    <t>Mouginot, J.; Rignot, E.; Gim, Y.; Kirchner, D.; Le Meur, E.</t>
  </si>
  <si>
    <t>Low-frequency radar sounding of ice in East Antarctica and southern Greenland</t>
  </si>
  <si>
    <t>Antarctic glaciology; ground-penetrating radar; radio-echo sounding; remote sensing</t>
  </si>
  <si>
    <t>DIGITAL ELEVATION MODEL; JAKOBSHAVN ISBRAE; MASS-BALANCE; LASER DATA; ALASKA; SHEET; USA; GLACIER; SUBSURFACE; TEMPERATE</t>
  </si>
  <si>
    <t>We discuss a decameter-wavelength airborne radar sounder, the Warm Ice Sounding Explorer (WISE), that provides ice thickness in areas where radar signal penetration at higher frequencies is expected to be limited. Here we report results for three campaigns conducted in Greenland (2008, 2009, 2010) and two in Antarctica (2009, 2010). Comparisons with higher-frequency radar data indicate an accuracy of +/- 55 m for ice-thickness measurements in Greenland and +/- 25 m in Antarctica. We also estimate ice thickness of the Qassimiut lobe in southwest Greenland, where few ice-thickness measurements have been made, demonstrating that WISE penetrates in strongly scattering environments.</t>
  </si>
  <si>
    <t>[Mouginot, J.; Rignot, E.] Univ Calif Irvine, Dept Earth Syst Sci, Irvine, CA 92697 USA; [Rignot, E.; Gim, Y.] CALTECH, Jet Prop Lab, Pasadena, CA USA; [Kirchner, D.] Univ Iowa, Dept Phys &amp; Astron, Iowa City, IA 52242 USA; [Le Meur, E.] CNRS, Lab Glaciol &amp; Geophys Environm, Grenoble, France; [Le Meur, E.] Univ Grenoble Alpes, Lab Glaciol &amp; Geophys Environm, Grenoble, France</t>
  </si>
  <si>
    <t>University of California System; University of California Irvine; California Institute of Technology; National Aeronautics &amp; Space Administration (NASA); NASA Jet Propulsion Laboratory (JPL); University of Iowa; Centre National de la Recherche Scientifique (CNRS); Communaute Universite Grenoble Alpes; Universite Grenoble Alpes (UGA); Communaute Universite Grenoble Alpes; Universite Grenoble Alpes (UGA)</t>
  </si>
  <si>
    <t>Mouginot, J (corresponding author), Univ Calif Irvine, Dept Earth Syst Sci, Irvine, CA 92697 USA.</t>
  </si>
  <si>
    <t>jmougino@uci.edu</t>
  </si>
  <si>
    <t>Rignot, Eric/A-4560-2014; Mouginot, Jeremie/G-7045-2015</t>
  </si>
  <si>
    <t>Rignot, Eric/0000-0002-3366-0481; Mouginot, Jeremie/0000-0001-9155-5455</t>
  </si>
  <si>
    <t>National Aeronautics and Space Administration Cryospheric Science Program; French polar institute, Institut Paul-Emile Victor (IPEV); IPEV - Agence Nationale pour la Recherche [DACOTA-ANR-06-VULN-016-01]; IPEV [DACOTA-IPEV-1053]; NASA's Planetary Instruments Definition and Development Program (PIDDP)</t>
  </si>
  <si>
    <t>National Aeronautics and Space Administration Cryospheric Science Program; French polar institute, Institut Paul-Emile Victor (IPEV); IPEV - Agence Nationale pour la Recherche(Agence Nationale de la Recherche (ANR)); IPEV; NASA's Planetary Instruments Definition and Development Program (PIDDP)</t>
  </si>
  <si>
    <t>This work was performed at the Department of Earth System Science, University of California Irvine, and at the California Institute of Technology's Jet Propulsion Laboratory under a contract with the National Aeronautics and Space Administration Cryospheric Science Program; and at the Laboratoire de Glaciologie et Geophysique de l'Environnement (LGGE) under a contract with the French polar institute, Institut Paul-Emile Victor (IPEV). The Antarctic program benefited from logistical support from the IPEV through the program DACOTA-ANR-06-VULN-016-01 (funded by the Agence Nationale pour la Recherche) and the program DACOTA-IPEV-1053 (funded by the IPEV). Part of the development of WISE has been funded by NASA's Planetary Instruments Definition and Development Program (PIDDP). We thank the three reviewers, Steven Arcone, John Paden and Jie-Bang Yan, and the scientific editor, Sivaprasad Gogineni, for helpful and constructive comments on the manuscript.</t>
  </si>
  <si>
    <t>10.3189/2014AoG67A089</t>
  </si>
  <si>
    <t>WOS:000339363400017</t>
  </si>
  <si>
    <t>Rex, M; Kremser, S; Huck, P; Bodeker, G; Wohltmann, I; Santee, ML; Bernath, P</t>
  </si>
  <si>
    <t>Rex, M.; Kremser, S.; Huck, P.; Bodeker, G.; Wohltmann, I.; Santee, M. L.; Bernath, P.</t>
  </si>
  <si>
    <t>Technical Note: SWIFT - a fast semi-empirical model for polar stratospheric ozone loss</t>
  </si>
  <si>
    <t>GENERAL-CIRCULATION MODEL; CHEMISTRY; DEPLETION; SIMULATION</t>
  </si>
  <si>
    <t>An extremely fast model to estimate the degree of stratospheric ozone depletion during polar winters is described. It is based on a set of coupled differential equations that simulate the seasonal evolution of vortex-averaged hydrogen chloride (HCl), nitric acid (HNO3), chlorine nitrate (ClONO2), active forms of chlorine (ClOx = Cl+ClO+2ClOOCl) and ozone (O-3) on isentropic levels within the polar vortices. Terms in these equations account for the chemical and physical processes driving the time rate of change of these species. Eight empirical fit coefficients associated with these terms are derived by iteratively fitting the equations to vortex-averaged satellite-based measurements of HCl, HNO3 and ClONO2 and observationally derived ozone loss rates. The system of differential equations is not stiff and can be solved with a time step of one day, allowing many years to be processed per second on a standard PC. The inputs required are the daily fractions of the vortex area covered by polar stratospheric clouds and the fractions of the vortex area exposed to sunlight. The resultant model, SWIFT (Semi-empirical Weighted Iterative Fit Technique), provides a fast yet accurate method to simulate ozone loss rates in polar regions. SWIFT's capabilities are demonstrated by comparing measured and modeled total ozone loss outside of the training period.</t>
  </si>
  <si>
    <t>[Rex, M.; Wohltmann, I.] Alfred Wegener Inst Polar &amp; Marine Res, Potsdam, Germany; [Kremser, S.; Huck, P.; Bodeker, G.] Bodeker Sci, Alexandra, New Zealand; [Santee, M. L.] CALTECH, Jet Prop Lab, Pasadena, CA USA; [Bernath, P.] Old Dominion Univ, Norfolk, VA USA</t>
  </si>
  <si>
    <t>Helmholtz Association; Alfred Wegener Institute, Helmholtz Centre for Polar &amp; Marine Research; National Aeronautics &amp; Space Administration (NASA); NASA Jet Propulsion Laboratory (JPL); California Institute of Technology; Old Dominion University</t>
  </si>
  <si>
    <t>Rex, M (corresponding author), Alfred Wegener Inst Polar &amp; Marine Res, Potsdam, Germany.</t>
  </si>
  <si>
    <t>markus.rex@awi.de</t>
  </si>
  <si>
    <t>Wohltmann, Ingo/C-1301-2010; Bernath, Peter F/B-6567-2012; Santee, MIchelle/R-5762-2019; Rex, Markus/A-6054-2009; Bodeker, Greg E/A-8870-2008</t>
  </si>
  <si>
    <t>Wohltmann, Ingo/0000-0003-4606-6788; Bernath, Peter F/0000-0002-1255-396X; Rex, Markus/0000-0001-7847-8221; Bodeker, Gregory/0000-0003-1094-5852; /0000-0002-3573-7083</t>
  </si>
  <si>
    <t>BMBF under the FAST-O3 project in the MiKliP framework programme [FKZ 01LP1137A]; European Community [603557]; New Zealand Antarctic Research Institute; Canadian Space Agency</t>
  </si>
  <si>
    <t>BMBF under the FAST-O3 project in the MiKliP framework programme(Federal Ministry of Education &amp; Research (BMBF)); European Community; New Zealand Antarctic Research Institute; Canadian Space Agency(Canadian Space Agency)</t>
  </si>
  <si>
    <t>This work was supported by the BMBF under the FAST-O3 project in the MiKliP framework programme (FKZ 01LP1137A) and by the European Community within the StratoClim project (grant no. 603557). Work at Bodeker Scientific was supported in part by a New Zealand Antarctic Research Institute-funded project. The ACE mission is supported primarily by the Canadian Space Agency. We thank ECMWF for providing reanalysis data. Work at the Jet Propulsion Laboratory, California Institute of Technology, was done under contract with the National Aeronautics and Space Administration.</t>
  </si>
  <si>
    <t>10.5194/acp-14-6545-2014</t>
  </si>
  <si>
    <t>AL6LR</t>
  </si>
  <si>
    <t>WOS:000339244600005</t>
  </si>
  <si>
    <t>Chehade, W; Weber, M; Burrows, JP</t>
  </si>
  <si>
    <t>Chehade, W.; Weber, M.; Burrows, J. P.</t>
  </si>
  <si>
    <t>Total ozone trends and variability during 1979-2012 from merged data sets of various satellites</t>
  </si>
  <si>
    <t>QUASI-BIENNIAL OSCILLATION; LOWER STRATOSPHERIC TEMPERATURE; TROPICAL TROPOSPHERIC OZONE; SOLAR-CYCLE VARIATION; 1997-1998 EL-NINO; COLUMN OZONE; HETEROGENEOUS CHEMISTRY; NORTHERN MIDLATITUDES; ATMOSPHERIC DYNAMICS; INTERANNUAL VARIATIONS</t>
  </si>
  <si>
    <t>The study presents a long-term statistical trend analysis of total ozone data sets obtained from various satellites. A multi-variate linear regression was applied to annual mean zonal mean data using various natural and anthropogenic explanatory variables that represent dynamical and chemical processes which modify global ozone distributions in a changing climate. The study investigated the magnitude and zonal distribution of the different atmospheric chemical and dynamical factors contributing to long-term total ozone changes. The regression model included the equivalent effective stratospheric chlorine (EESC), the 11-year solar cycle, the quasi-biennial oscillation (QBO), stratospheric aerosol loading describing the effects from major volcanic eruptions, the El Nino-Southern Oscillation (ENSO), the Arctic and Antarctic oscillation (AO/AAO), and accumulated eddy heat flux (EHF), the latter representing changes due to the Brewer-Dobson circulation. The total ozone column data set used here comprises the Solar Backscater Ultraviolet SBUV/SBUV-2 merged ozone data set (MOD) V8.6, the merged data set of the Solar Backscaterr Ultraviolet, the Total Ozone Mapping Spectrometer and the Ozone Monitoring Instrument SBUV/TOMS/OMI (1979-2012) MOD V8.0 and the merged data set of the Global Ozone Monitoring Experiment, the Scanning Imaging Absorption spectroMeter for Atmospheric ChartograpHY and the Global Ozone Monitoring Experiment 2 GOME/SCIAMACHY/GOME-2 (GSG) (1995-2012). The trend analysis was performed for twenty-six 5 degrees wide latitude bands from 65 degrees S to 65 degrees N, and the analysis explained most of the ozone variability to within 70 to 90 %. The results show that QBO dominates the ozone variability in the tropics (+/- 7 DU) while at higher latitudes, the dynamical indices, AO/AAO and eddy heat flux, have substantial influence on total ozone variations by up to +/- 10 DU. The contribution from volcanic aerosols is only prominent during the major eruption periods (El Chichon and Mt. Pinatubo), and together with the ENSO signal, is more evident in the Northern Hemisphere. The signature of the solar cycle covers all latitudes and contributes about 10DU from solar maximum to solar minimum. EESC is found to be a main contributor to the long-term ozone decline and the trend changes after the end of the 1990s. From the EESC fits, statistically significant upward trends after 1997 were found in the extratropics, which points at the slowing of ozone decline and the onset of ozone recovery. The EESC based trends are compared with the trends obtained from the statistical piece-wise linear trend (PWLT) model (known as hockey stick) with a turnaround in 1997 to examine the differences between both approaches. In case of the SBUV merged V8.6 data the EESC and PWLT trends before and after 1997 are in good agreement (within 2 sigma), however, the positive post-1997 linear trends from the PWLT regression are not significant within 2 sigma. A sensitivity study is carried out by comparing the regression results, using SBUV/SBUV-2 MOD V8.6 merged time series (1979-2012) and a merged data set combining SBUV/SBUV-2 (1979-June 1995) and GOME/SCIAMACHY/GOME-2 (GSG) WFDOAS (Weighting Function DOAS) (July 1995-2012) as well as SBUV/TOMS/OMI MOD V8.0 (1979-2012) in the regression analysis in order to investigate the uncertainty in the long-term trends due to different ozone data sets and data versions. Replacing the late SBUV/SBUV-2 merged data record with GSG data (unscaled and adjusted) leads to very similar results demonstrating the high consistency between satellite data sets. However, the comparison of the new SBUV/SBUV-2 MOD V8.6 with the MOD V8.0 and MOD8.6/GSG data showed somewhat smaller sensitivities with regard to several proxies as well as the linear EESC trends. On the other hand, the PWLT trends after 1997 show some differences, however, within the 2 sigma error bars the PWLT trends agree with each other for all three data sets.</t>
  </si>
  <si>
    <t>[Chehade, W.; Weber, M.; Burrows, J. P.] Univ Bremen, Inst Environm Phys IUP, D-28359 Bremen, Germany</t>
  </si>
  <si>
    <t>University of Bremen</t>
  </si>
  <si>
    <t>Chehade, W (corresponding author), Univ Bremen, Inst Environm Phys IUP, D-28359 Bremen, Germany.</t>
  </si>
  <si>
    <t>chehade@iup.physik.uni-bremen.de</t>
  </si>
  <si>
    <t>Burrows, John Philip/AAF-8468-2019; Weber, Mark/F-1409-2011</t>
  </si>
  <si>
    <t>Burrows, John Philip/0000-0002-6821-5580; Weber, Mark/0000-0001-8217-5450</t>
  </si>
  <si>
    <t>DFG Research Unit SHARP (SHARP-OCF)</t>
  </si>
  <si>
    <t>The authors acknowledge S. Frith, R. Stolarski and the NASA TOMS and SBUV instrument teams for the NASA MOD product used in this study. Part of this study was funded by the DFG Research Unit SHARP (SHARP-OCF).</t>
  </si>
  <si>
    <t>10.5194/acp-14-7059-2014</t>
  </si>
  <si>
    <t>WOS:000339244600036</t>
  </si>
  <si>
    <t>Ng, F; Jacka, TH</t>
  </si>
  <si>
    <t>Ng, Felix; Jacka, T. H.</t>
  </si>
  <si>
    <t>A model of crystal-size evolution in polar ice masses</t>
  </si>
  <si>
    <t>crystal growth; crystal size; ice core; recrystallization</t>
  </si>
  <si>
    <t>NORMAL GRAIN-GROWTH; SIPLE-DOME; DYNAMIC RECRYSTALLIZATION; MICROSTRUCTURAL FEATURES; SUBGRAIN BOUNDARIES; CORE; ANTARCTICA; BEHAVIOR; TEXTURE; FABRICS</t>
  </si>
  <si>
    <t>In the deep ice cores drilled at the GRIP, NGRIP and GISP2 sites in Greenland and at Byrd Station and the summit of Law Dome in Antarctica, the mean crystal size increases with depth in the shallow subsurface and reaches steady values at intermediate depth. This behaviour has been attributed to the competition between grain-boundary migration driven crystal growth and crystal polygonization, but the effects of changing crystal dislocation density and non-equiaxed crystal shape in this competition are uncertain. We study these effects with a simple model. It describes how the mean height and width of crystals evolve as they flatten under vertical compression, and as crystal growth and polygonization compete. The polygonization rate is assumed to be proportional to the mean dislocation density across crystals. Migration recrystallization, which can affect crystal growth via strain-induced grain boundary migration but whose impact on the mean crystal size is difficult to quantify for ice at present, is not accounted for. When applied to the five ice-core sites, the model simulates the observed crystal-size profiles well down to the bottom of their steady regions, although the match for Law Dome is less satisfactory. Polygonization rate factors retrieved for the sites range from 10(-5) to 10(-2) a(-1). We conclude that since crystal size and dislocation density evolve in a strongly coupled manner, consistent modelling requires multiple differential equations to track both of these variables. Future ice-core analysis should also determine crystal size in all three principal directions.</t>
  </si>
  <si>
    <t>[Ng, Felix] Univ Sheffield, Dept Geog, Sheffield S10 2TN, S Yorkshire, England; [Jacka, T. H.] Antarct Climate &amp; Ecosyst Cooperat Res Ctr, Hobart, Tas, Australia</t>
  </si>
  <si>
    <t>University of Sheffield</t>
  </si>
  <si>
    <t>Ng, F (corresponding author), Univ Sheffield, Dept Geog, Sheffield S10 2TN, S Yorkshire, England.</t>
  </si>
  <si>
    <t>f.ng@sheffield.ac.uk</t>
  </si>
  <si>
    <t>Ng, Felix/0000-0001-6352-0351</t>
  </si>
  <si>
    <t>Antarctic Climate and Ecosystems Cooperative Research Centre in Hobart, Australia</t>
  </si>
  <si>
    <t>Antarctic Climate and Ecosystems Cooperative Research Centre in Hobart, Australia(Australian GovernmentDepartment of Industry, Innovation and ScienceCooperative Research Centres (CRC) Programme)</t>
  </si>
  <si>
    <t>We thank the Antarctic Climate and Ecosystems Cooperative Research Centre in Hobart, Australia, for hosting and financially supporting a visit by F.N. to collaborate with T.H.J. in August 2012. Critical reviews by S. Faria (editor), P. Bons and N. Azuma helped us improve the manuscript.</t>
  </si>
  <si>
    <t>10.3189/2014JoG13J173</t>
  </si>
  <si>
    <t>AL4YI</t>
  </si>
  <si>
    <t>WOS:000339140300006</t>
  </si>
  <si>
    <t>Brunt, KM; Macayeal, DR</t>
  </si>
  <si>
    <t>Brunt, Kelly M.; Macayeal, Douglas R.</t>
  </si>
  <si>
    <t>Tidal modulation of ice-shelf flow: a viscous model of the Ross Ice Shelf</t>
  </si>
  <si>
    <t>ice shelves; ice/ocean interactions</t>
  </si>
  <si>
    <t>STICK-SLIP MOTION; ANTARCTICA; STREAM; OCEAN; GLACIER; TIDES; VELOCITY; SEA</t>
  </si>
  <si>
    <t>Three stations near the calving front of the Ross Ice Shelf, Antarctica, recorded GPS data through a full spring neap tidal cycle in November 2005. The data revealed a diurnal horizontal motion that varied both along and transverse to the long-term average velocity direction, similar to tidal signals observed in other ice shelves and, ice streams. Based on its periodicity, it was hypothesized that the signal represents a flow response of the Ross Ice Shelf to the diurnal tides of the Ross Sea. To assess the influence of the tide on the ice-shelf motion, two hypotheses were developed. The first addressed the direct response of the ice shelf to tidal forcing, such as forces due to sea-surface slopes or forces due to sub-ice-shelf currents. The second involved the indirect response of ice-shelf flow to the tidal signals observed in the ice streams that source the ice shelf. A finite-element model, based on viscous creep flow, was developed to test these hypotheses, but succeeded only in falsifying both hypotheses, i.e. showing that direct tidal effects produce too small a response, and indirect tidal effects produce a response that is not smooth in time. This nullification suggests that a combination of viscous and elastic deformation is required to explain the observations.</t>
  </si>
  <si>
    <t>[Brunt, Kelly M.] NASA, Goddard Space Flight Ctr, Cryospher Sci Lab, GESTAR, Greenbelt, MD 20771 USA; [Macayeal, Douglas R.] Univ Chicago, Dept Geophys Sci, Chicago, IL 60637 USA</t>
  </si>
  <si>
    <t>National Aeronautics &amp; Space Administration (NASA); NASA Goddard Space Flight Center; University of Chicago</t>
  </si>
  <si>
    <t>Brunt, KM (corresponding author), NASA, Goddard Space Flight Ctr, Cryospher Sci Lab, GESTAR, Greenbelt, MD 20771 USA.</t>
  </si>
  <si>
    <t>kelly.m.brunt@nasa.gov</t>
  </si>
  <si>
    <t>US National Science Foundation [OPP-0229546, ANT-0944193]; NASA Science Innovation Fund; NASA Cryospheric Sciences Laboratory</t>
  </si>
  <si>
    <t>US National Science Foundation(National Science Foundation (NSF)); NASA Science Innovation Fund; NASA Cryospheric Sciences Laboratory</t>
  </si>
  <si>
    <t>We thank R. Bindschadler for ice-stream GPS data; M. King and L. Copland for GPS data analysis; E. O'Donnell, J. Thom, L.M. Cathles, O. Sergienko, M. Okal, T. Wagner, Kenn Borek Air, the University Navstar Consortium (UNAVCO) and the US Antarctic Program for field support; R. Walker for helpful discussions; and two anonymous reviewers for constructive comments that greatly improved the manuscript. This work was supported by US National Science Foundation grants OPP-0229546 and ANT-0944193, NASA Science Innovation Fund and NASA Cryospheric Sciences Laboratory.</t>
  </si>
  <si>
    <t>10.3189/2014JoG13J203</t>
  </si>
  <si>
    <t>WOS:000339140300009</t>
  </si>
  <si>
    <t>Marsh, OJ; Rack, W; Golledge, NR; Lawson, W; Floricioiu, D</t>
  </si>
  <si>
    <t>Marsh, Oliver J.; Rack, Wolfgang; Golledge, Nicholas R.; Lawson, Wendy; Floricioiu, Dana</t>
  </si>
  <si>
    <t>Grounding-zone ice thickness from InSAR: inverse modelling of tidal elastic bending</t>
  </si>
  <si>
    <t>Antarctic glaciology; glacier discharge; ice/ocean interactions; remote sensing</t>
  </si>
  <si>
    <t>RADAR INTERFEROMETRY; MASS-BALANCE; SHELF; ANTARCTICA; SHEET; GLACIER; FLEXURE; REPRESENTATION; GREENLAND; VELOCITY</t>
  </si>
  <si>
    <t>Ice-thickness measurements in Antarctic ice-shelf grounding zones are necessary for calculating the mass balance of individual catchments, but remain poorly constrained for most of the continent. We describe a new inverse modelling optimization approach to estimate ice thickness in the grounding zone of Antarctic outlet glaciers and ice shelves using spatial patterns of tide-induced flexure derived from differential interferometric synthetic aperture radar (InSAR). We demonstrate that the ill-posedness of the inverse formulation of the elastic-plate equations for bending can be controlled by regularization. In one dimension, the model recreates smooth, synthesized profiles of ice thickness from flexure information to within 1-2%. We test the method in two dimensions and validate it in the grounding zone of Beardmore Glacier, a major outlet glacier in the Transantarctic Mountains, using interferograms created from TerraSAR-X satellite imagery acquired in 2012. We compare our results with historic and modern ice-thickness data (radio-echo sounding from 1967 and ground-penetrating radar from 2010). We match both longitudinal and transverse thickness transects to within 50 m root-mean-square error using an effective Young's modulus of 1.4 GPa. The highest accuracy is achieved close to the grounded ice boundary, where current estimates of thickness based on surface elevation measurements contain a systematic bias towards thicker ice.</t>
  </si>
  <si>
    <t>[Marsh, Oliver J.; Rack, Wolfgang] Univ Canterbury, Gateway Antarctica, Christchurch 1, New Zealand; [Golledge, Nicholas R.] Victoria Univ Wellington, Antarctic Res Ctr, Wellington, New Zealand; [Golledge, Nicholas R.] GNS Sci, Avalon, New Zealand; [Lawson, Wendy] Univ Canterbury, Dept Geog, Christchurch 1, New Zealand; [Floricioiu, Dana] German Aerosp Ctr, DLR, Oberpfaffenhofen, Wessling, Germany</t>
  </si>
  <si>
    <t>University of Canterbury; Victoria University Wellington; GNS Science - New Zealand; University of Canterbury; Helmholtz Association; German Aerospace Centre (DLR)</t>
  </si>
  <si>
    <t>Marsh, OJ (corresponding author), Univ Canterbury, Gateway Antarctica, Christchurch 1, New Zealand.</t>
  </si>
  <si>
    <t>oliver.marsh@pg.canterbury.ac.nz</t>
  </si>
  <si>
    <t>Marsh, Oliver J/K-7436-2014; Rack, Wolfgang/U-8898-2017</t>
  </si>
  <si>
    <t>Marsh, Oliver/0000-0001-7874-514X; Golledge, Nicholas/0000-0001-7676-8970; Rack, Wolfgang/0000-0003-2447-377X</t>
  </si>
  <si>
    <t>Ministry of Business, Innovation and Employment [CO5X1001]</t>
  </si>
  <si>
    <t>Ministry of Business, Innovation and Employment(New Zealand Ministry of Business, Innovation and Employment (MBIE))</t>
  </si>
  <si>
    <t>We thank Charles Swithinbank for information pertaining to the 1967 Beardmore Glacier RES data, and Antarctic New Zealand Event K001B-Ice and Dean Arthur for field and logistical support. This research was funded, in part, by the Ministry of Business, Innovation and Employment, through research contract CO5X1001 to GNS Science. TerraSAR-X data were provided by DLR from science proposal HYD1421. ASTER data were provided through the Global Land Ice Measurements from Space (GUMS) project. Comments from Helen Amanda Fricker and three anonymous reviewers led to substantial revisions and improvement of the paper.</t>
  </si>
  <si>
    <t>10.3189/2014JoG13J033</t>
  </si>
  <si>
    <t>WOS:000339140300011</t>
  </si>
  <si>
    <t>Dierckx, M; Peternell, M; Schroeder, C; Tison, JL</t>
  </si>
  <si>
    <t>Dierckx, Marie; Peternell, Mark; Schroeder, Christian; Tison, Jean-Louis</t>
  </si>
  <si>
    <t>Influence of pre-existing microstructure on mechanical properties of marine ice during compression experiments</t>
  </si>
  <si>
    <t>Antarctic glaciology; applied glaciology; ice rheology; ice shelves; ice/ocean interactions</t>
  </si>
  <si>
    <t>EAST ANTARCTICA; SEA-ICE; SHELF; FABRICS; BENEATH; CREEP; DEFORMATION; EVOLUTION; RHEOLOGY; GLACIER</t>
  </si>
  <si>
    <t>Marine ice is an important component of ice shelves in Antarctica. It accretes in substantial amounts at weak points and below ice shelves. It is likely to exhibit peculiar rheological properties, which are crucial to understanding its potential role in stabilizing ice-shelf flow. Due to its location and consolidation processes, marine ice can present a variety of textures which are likely to influence its rheological properties. We present a new dataset of unconfined uniaxial compression experiments on folded marine ice samples that have been cut at various angles to the folds. Texture and fabric analyses are described 'before' and 'after' the deformation experiment. It is shown that, in the given stress configuration, the geometry of the anisotropy controls the rheological behaviour of the marine ice. During secondary creep, folded marine ice is harder to deform than weakly textured ice when compressed parallel or perpendicular to the folds' hinges, while the reverse is true for ice compressed at 45 degrees. The observed range of values for the n exponent in Glen's flow law is between 2.1 and 4.1. Surprisingly, we see that tertiary creep tends to develop at a higher total strain than for randomly oriented impurity-free meteoric ice.</t>
  </si>
  <si>
    <t>[Dierckx, Marie; Tison, Jean-Louis] Univ Libre Bruxelles, Lab Glaciol, Brussels, Belgium; [Peternell, Mark] Johannes Gutenberg Univ Mainz, Inst Geosci, D-55122 Mainz, Germany; [Schroeder, Christian] Univ Libre Bruxelles, Ecole Polytech Bruxelles, Brussels, Belgium</t>
  </si>
  <si>
    <t>Universite Libre de Bruxelles; Johannes Gutenberg University of Mainz; Universite Libre de Bruxelles</t>
  </si>
  <si>
    <t>Dierckx, M (corresponding author), Univ Libre Bruxelles, Lab Glaciol, Brussels, Belgium.</t>
  </si>
  <si>
    <t>mdierckx@ulb.ac.be</t>
  </si>
  <si>
    <t>Tison, Jean-Louis/F-4065-2015</t>
  </si>
  <si>
    <t>Tison, Jean-Louis/0000-0002-9758-3454</t>
  </si>
  <si>
    <t>IceCubeDyn project (Academic Research Collaboration) of the Communaute francaise de Belgique (Belgium); Antarctic Subglacial Processes and Interactions programme of Belgian Science Policies [SD/CA/02B]</t>
  </si>
  <si>
    <t>IceCubeDyn project (Academic Research Collaboration) of the Communaute francaise de Belgique (Belgium); Antarctic Subglacial Processes and Interactions programme of Belgian Science Policies</t>
  </si>
  <si>
    <t>M.D. is funded by the IceCubeDyn project (Academic Research Collaboration) of the Communaute francaise de Belgique (Belgium). The compression device was supported by the Antarctic Subglacial Processes and Interactions programme (2006-08) of Belgian Science Policies (SD/CA/02B). We thank the Prix Fonds David et Alice Van Buuren for supporting M.D. in this work. The Italian Antarctic programme (PNRA) and A. Bondesan are warmly thanked for logistic and scientific support during sampling of the NISI ice core. We also thank F.-X. Masson for his help. Finally, we thank A. Treverrow and an anonymous reviewer for helpful comments which greatly improved the manuscript.</t>
  </si>
  <si>
    <t>10.3189/2014JoG13J154</t>
  </si>
  <si>
    <t>WOS:000339140300015</t>
  </si>
  <si>
    <t>Shen, XS; Zhang, HY; Li, YL; Cai, YQ</t>
  </si>
  <si>
    <t>Kim, YH; Yarlagadda, P</t>
  </si>
  <si>
    <t>Shen, Xiaosheng; Zhang, Haiyan; Li, Yanlin; Cai, Youqiong</t>
  </si>
  <si>
    <t>Determination of fluoride in Antarctic krill Euphausia superba using Ion chromatography</t>
  </si>
  <si>
    <t>MATERIALS, MECHANICAL AND MANUFACTURING ENGINEERING</t>
  </si>
  <si>
    <t>Advanced Materials Research</t>
  </si>
  <si>
    <t>International Conference on Materials, Mechanical and Manufacturing Engineering (IC3ME 2013)</t>
  </si>
  <si>
    <t>OCT 19-20, 2013</t>
  </si>
  <si>
    <t>Guilin, PEOPLES R CHINA</t>
  </si>
  <si>
    <t>Fluoride; Antarctic krill; Ion chromatography</t>
  </si>
  <si>
    <t>MEAL; FOOD</t>
  </si>
  <si>
    <t>A simple, rapid and accurate method for the determination of fluoride in Antarctic krill has been developed. The fluoride content in Antarctic krill was determined by ion chromatography. The method requires a simple sample clean-up procedure to remove the interfering Cl- from the hydrochloric acid extraction solution. The optimum extraction conditions of fluoride from Antarctic krill samples were obtained by adding 8mL of 1:11(v/v) hydrochloric acid solution and extracting for 60 min. Under these conditions, recoveries of fluoride from Euphausia superba and Penaeus vannamei were 97.9-105.6% and 95.1-101.9%, respectively. The limit of detection was 0.01mg/kg. The method was applied to the determination of fluoride in Antarctic hill.</t>
  </si>
  <si>
    <t>[Shen, Xiaosheng; Zhang, Haiyan; Cai, Youqiong] Chinese Fisheries Acad Fishery Sci, East China Sea Fisheries Res Inst, Shanghai 200090, Peoples R China; [Li, Yanlin] Qual &amp; Safety Agr Prod Testing Ctr Wulumuqi, Urumqi 830000, Peoples R China</t>
  </si>
  <si>
    <t>Chinese Academy of Fishery Sciences; East China Sea Fisheries Research Institute, CAFS</t>
  </si>
  <si>
    <t>Shen, XS (corresponding author), Chinese Fisheries Acad Fishery Sci, East China Sea Fisheries Res Inst, Shanghai 200090, Peoples R China.</t>
  </si>
  <si>
    <t>foodsmc98@126.com; zhanghaiyan_369@163.com</t>
  </si>
  <si>
    <t>Zhang, Haiyan/GMW-7284-2022; Li, Yanlin/AGX-8460-2022; Jiang, Cheng/JHU-0179-2023</t>
  </si>
  <si>
    <t>Li, Yanlin/0000-0002-2040-9941;</t>
  </si>
  <si>
    <t>Special Research Fund of East China Sea Fisheries Research Institute in Chinese Fisheries Academy of Fishery Science [2011M13]</t>
  </si>
  <si>
    <t>Special Research Fund of East China Sea Fisheries Research Institute in Chinese Fisheries Academy of Fishery Science</t>
  </si>
  <si>
    <t>This research was financially supported by Special Research Fund of East China Sea Fisheries Research Institute in Chinese Fisheries Academy of Fishery Science (Project: 2011M13).</t>
  </si>
  <si>
    <t>TRANS TECH PUBLICATIONS LTD</t>
  </si>
  <si>
    <t>DURNTEN-ZURICH</t>
  </si>
  <si>
    <t>KREUZSTRASSE 10, 8635 DURNTEN-ZURICH, SWITZERLAND</t>
  </si>
  <si>
    <t>1022-6680</t>
  </si>
  <si>
    <t>978-3-03785-940-7</t>
  </si>
  <si>
    <t>ADV MATER RES-SWITZ</t>
  </si>
  <si>
    <t>10.4028/www.scientific.net/AMR.842.210</t>
  </si>
  <si>
    <t>Engineering, Manufacturing; Materials Science, Multidisciplinary</t>
  </si>
  <si>
    <t>Engineering; Materials Science</t>
  </si>
  <si>
    <t>BA8YR</t>
  </si>
  <si>
    <t>WOS:000339031600044</t>
  </si>
  <si>
    <t>Van de Vijver, B; de Haan, M; Lange-Bertalot, H</t>
  </si>
  <si>
    <t>Van de Vijver, Bart; de Haan, Myriam; Lange-Bertalot, Horst</t>
  </si>
  <si>
    <t>Revision of the genus Eunotia (Bacillariophyta) in the Antarctic Region</t>
  </si>
  <si>
    <t>Antarctic Region; Bacillariophyta; Eunotia; new species; morphology; taxonomy; biogeography</t>
  </si>
  <si>
    <t>SOUTH SHETLAND ISLANDS; LA POSSESSION CROZET; FRESH-WATER DIATOMS; STROMNESS BAY AREA; LIVINGSTON ISLAND; COMPLEX BACILLARIOPHYCEAE; COMMUNITIES; FLORA; ILE; ECOLOGY</t>
  </si>
  <si>
    <t>Background and aims - The past few years, the limnoterrestrial and aquatic diatom flora of the entire Antarctic Region (sub-Antarctic islands, Maritime Antarctic Region, Antarctic Continent) is currently under revision. One of the genera that still needed a revision is the genus Eunotia, quite common in wet to semi-wet moss vegetations in the sub-Antarctic and Maritime Antarctic Region. Methods - Using both Light Microscopical and Scanning Electron Microscopical techniques, the morphology of all Eunotia taxa, present in the samples from the Antarctic Region, has been analysed. Each taxon is properly described, illustrated and compared with all other possible similar Eunotia taxa, known worldwide. Key results - A total of nineteen Eunotia taxa has been found of which one remains unidentified and is discussed as Eunotia sp. 1. Six taxa could be identified using the currently available literature: Eunotia meisterioides Lange-Bert., E. muscicola Krasske var. muscicola, E. paludosa Grunow var. paludosa, E. pyramidatoides, E. seminulum Norpel-Schempp &amp; Lange-Bert. and E. tecta Krasske. Ten new Eunotia species and two new subspecies are described: Eunotia amayae sp. nov., E. amayae subsp. heardensis subsp. nov., E. australomaior sp. nov., E. clotii sp. nov., E. frigida sp. nov., E. mcbridei sp. nov., E. mourotii sp. nov., E. muscicola subsp. polyglyphis subsp. nov., E. parallelogramma sp. nov., E. pseudopaludosa sp. nov., E. ralitsae sp. nov. and E. subantarctica sp. nov. Conclusions - The obtained results confirm the presence of a typical and highly specific limnoterrestrial diatom flora in the Antarctic Region and contradict the generally accepted idea about the worldwide distribution of diatoms.</t>
  </si>
  <si>
    <t>[Van de Vijver, Bart; de Haan, Myriam] Bot Garden Meise, Dept Bryophyta &amp; Thallophyta, BE-1860 Meise, Belgium; [Van de Vijver, Bart] Univ Antwerp, ECOBE, Dept Biol, BE-2610 Antwerp, Belgium; [Lange-Bertalot, Horst] Goethe Univ Frankfurt, Inst Bot, DE-60348 Frankfurt, Germany</t>
  </si>
  <si>
    <t>University of Antwerp; Goethe University Frankfurt</t>
  </si>
  <si>
    <t>French Polar Institute-Paul-Emile Victor in the framework of the terrestrial program 136; BELSPO project CCAMBIO; IPY-Limnopolar [POL2006-06635]</t>
  </si>
  <si>
    <t>French Polar Institute-Paul-Emile Victor in the framework of the terrestrial program 136; BELSPO project CCAMBIO; IPY-Limnopolar</t>
  </si>
  <si>
    <t>The authors wish to thank Niek J.M. Gremmen, Pieter Ledeganck and T. Patrick McBride for the collection of samples on Heard Island, the Prince Edward Islands and Macquarie Island. Sampling on Crozet and Kerguelen has been made possible thanks to the logistic and financial support of the French Polar Institute-Paul-Emile Victor in the framework of the terrestrial program 136 (Marc Lebouvier &amp; Yves Frenot). Samples on Byers Peninsula were taken in the framework of the IPY-Limnopolar Project POL2006-06635 (Prof. Dr. Antonio Quesada, Ministerio de Ciencia y Tecnologia, Spain). Part of the research was funded within the BELSPO project CCAMBIO.</t>
  </si>
  <si>
    <t>10.5091/plecevo.2014.930</t>
  </si>
  <si>
    <t>AL1VM</t>
  </si>
  <si>
    <t>WOS:000338914400010</t>
  </si>
  <si>
    <t>Zanchettin, D; Bothe, O; Timmreck, C; Bader, J; Beitsch, A; Graf, HF; Notz, D; Jungclaus, JH</t>
  </si>
  <si>
    <t>Zanchettin, D.; Bothe, O.; Timmreck, C.; Bader, J.; Beitsch, A.; Graf, H. -F.; Notz, D.; Jungclaus, J. H.</t>
  </si>
  <si>
    <t>Inter-hemispheric asymmetry in the sea-ice response to volcanic forcing simulated by MPI-ESM (COSMOS-Mill)</t>
  </si>
  <si>
    <t>EARTH SYSTEM DYNAMICS</t>
  </si>
  <si>
    <t>EARTH SYSTEM MODEL; SOUTHERN-OCEAN; CLIMATE VARIABILITY; EL-NINO; LAST; CIRCULATION; RESOLUTION; TRENDS; EXTENT; SHEET</t>
  </si>
  <si>
    <t>The decadal evolution of Arctic and Antarctic sea ice following strong volcanic eruptions is investigated in four climate simulation ensembles performed with the COSMOS-Mill version of the Max Planck Institute Earth System Model. The ensembles differ in the magnitude of the imposed volcanic perturbations, with sizes representative of historical tropical eruptions (1991 Pinatubo and 1815 Tambora) and of tropical and extra-tropical supervolcano eruptions. A post-eruption Arctic sea-ice expansion is robustly detected in all ensembles, while Antarctic sea ice responds only to supervolcano eruptions, undergoing an initial short-lived expansion and a subsequent prolonged contraction phase. Strong volcanic forcing therefore emerges as a potential source of inter-hemispheric interannual-to-decadal climate variability, although the inter-hemispheric signature is weak in the case of eruptions comparable to historical eruptions. The post-eruption inter-hemispheric decadal asymmetry in sea ice is interpreted as a consequence mainly of the different exposure of Arctic and Antarctic regional climates to induced meridional heat transport changes and of dominating local feedbacks that set in within the Antarctic region. Supervolcano experiments help to clarify differences in simulated hemispheric internal dynamics related to imposed negative net radiative imbalances, including the relative importance of the thermal and dynamical components of the sea-ice response. Supervolcano experiments could therefore serve the assessment of climate models' behavior under strong external forcing conditions and, consequently, favor advancements in our understanding of simulated sea-ice dynamics.</t>
  </si>
  <si>
    <t>[Zanchettin, D.; Timmreck, C.; Bader, J.; Beitsch, A.; Notz, D.; Jungclaus, J. H.] Max Planck Inst Meteorol, D-20146 Hamburg, Germany; [Bothe, O.] Univ Rostock, Leibniz Inst Atmospher Phys, Kuhlungsborn, Germany; [Graf, H. -F.] Univ Cambridge, Ctr Atmospher Sci, Cambridge CB2 3EN, England; [Bader, J.] Uni Climate, Uni Reasearch, Bergen, Norway; [Bader, J.] Bjerknes Ctr Climate Res, Bergen, Norway</t>
  </si>
  <si>
    <t>Max Planck Society; University of Rostock; Leibniz Institut fur Atmospharenphysik e.V. an der Universitat Rostock (IAP); University of Cambridge; Bjerknes Centre for Climate Research</t>
  </si>
  <si>
    <t>Zanchettin, D (corresponding author), Max Planck Inst Meteorol, Bundesstr 53, D-20146 Hamburg, Germany.</t>
  </si>
  <si>
    <t>davide.zanchettin@mpimet.mpg.de</t>
  </si>
  <si>
    <t>Notz, Dirk/P-4428-2017; Graf, Hans/GQQ-2206-2022; Bothe, Oliver/J-2975-2012</t>
  </si>
  <si>
    <t>Notz, Dirk/0000-0003-0365-5654; Bothe, Oliver/0000-0002-6257-8786; Timmreck, Claudia/0000-0001-5355-0426</t>
  </si>
  <si>
    <t>Federal Ministry for Education and Research in Germany (BMBF) [FKZ:01LP1158A(DZ):/01LP1130A(CT)]</t>
  </si>
  <si>
    <t>Federal Ministry for Education and Research in Germany (BMBF)(Federal Ministry of Education &amp; Research (BMBF))</t>
  </si>
  <si>
    <t>The authors thank Achim Stossel for the helpful discussions and comments on an earlier version of the manuscript and Kay Huebner for the stimulating initial analyses. Comments from two anonymous reviewers helped improve the clarity of the manuscript. This work benefitted from the MPI-M integrated projects Millennium and Super Volcano. This work was supported by the Federal Ministry for Education and Research in Germany (BMBF) through the research program MiKlip (FKZ:01LP1158A(DZ):/01LP1130A(CT)). The MPI-ESM simulations were conducted at the German Climate Computing Center (DKRZ).</t>
  </si>
  <si>
    <t>2190-4979</t>
  </si>
  <si>
    <t>2190-4987</t>
  </si>
  <si>
    <t>EARTH SYST DYNAM</t>
  </si>
  <si>
    <t>Earth Syst. Dynam.</t>
  </si>
  <si>
    <t>10.5194/esd-5-223-2014</t>
  </si>
  <si>
    <t>AK9QN</t>
  </si>
  <si>
    <t>WOS:000338761800014</t>
  </si>
  <si>
    <t>Cuba-Díaz, M; Acuña, D; Cordero, CM; Klagges, M</t>
  </si>
  <si>
    <t>Cuba-Diaz, Marely; Acuna, Daniela; Cordero, Cristian M.; Klagges, Macarena</t>
  </si>
  <si>
    <t>Parameters optimization for in vitro propagation of Colobanthus quitensis (Kunth) Bartl.</t>
  </si>
  <si>
    <t>GAYANA BOTANICA</t>
  </si>
  <si>
    <t>Coverage; vessel type; light intensity; silver thiosulfate; micropropagation</t>
  </si>
  <si>
    <t>PLANT-REGENERATION; SILVER-NITRATE; COLD-ACCLIMATION; 2 ECOTYPES; PERFORMANCE; ATTRIBUTES; GROWTH; ANDES; SIZE</t>
  </si>
  <si>
    <t>Colobanthus quitensis is one of the two native vascular plants that inhabit Antarctica. In addition, it spreads from the south of Mexico to the north of the Antarctic Peninsula and from 0 to 4200 m asl, always in extreme habitats. It is considered a model species for abiotic stress studies. Due to its small size and low accessibility to its habitats, efficient propagation methods are required to maintain it in the laboratory. The aim of this work was to optimize some critical parameters in the in vitro propagation of this species related to physical and chemical aspects to avoid negative effects such as explants yellowing and death and improve the conditioning of new plantlets, as well as response to different hormonal combinations. Explants from previously established in vitro seedlings were used. When the vessels were covered with a double layer of aluminum foil, water loss in the medium and the tissues was avoided, as well as the yellowing of the buds was reduced. The addition of silver thiosulfate to the medium stimulated the regeneration of buds and roots, and at a concentration of 10 mu M inhibited the yellowing and death, of buds by 50% and 25%, respectively. At 28 days of culture in the glass vessels, 49% less yellowing was observed, 7% more new buds and 24% more roots than in the Magenta box. The light intensity between 28-45 mu mol m(-2)s(-1) decreased the negative effects and stimulated regeneration. C. quitensis responds to different hormonal combinations, but more studies are needed to establish the optimal combination for the individuals originated from different habitats.</t>
  </si>
  <si>
    <t>[Cuba-Diaz, Marely; Acuna, Daniela; Cordero, Cristian M.; Klagges, Macarena] Univ Concepcion, Escuela Ciencias Tecnol, Dept Ciencias &amp; Tecnol Vegetal, Lab Biotecnol &amp; Estudios Ambientales, Los Angeles, Chile</t>
  </si>
  <si>
    <t>Cuba-Díaz, M (corresponding author), Univ Concepcion, Escuela Ciencias Tecnol, Dept Ciencias &amp; Tecnol Vegetal, Lab Biotecnol &amp; Estudios Ambientales, Campus Los Angeles Juan Antonio Coloma 0201, Los Angeles, Chile.</t>
  </si>
  <si>
    <t>mcuba@udec.cl</t>
  </si>
  <si>
    <t>Cuba-Diaz, Marely/V-3109-2019</t>
  </si>
  <si>
    <t>Cuba-Diaz, Marely/0000-0002-2981-0328</t>
  </si>
  <si>
    <t>EDICIONES UNIV, CONCEPCION</t>
  </si>
  <si>
    <t>CONCEPCION</t>
  </si>
  <si>
    <t>COMITE DE PUBLICACION, CASILLA 2407, CONCEPCION, 00000, CHILE</t>
  </si>
  <si>
    <t>0016-5301</t>
  </si>
  <si>
    <t>0717-6643</t>
  </si>
  <si>
    <t>GAYANA BOT</t>
  </si>
  <si>
    <t>Gayana Bot.</t>
  </si>
  <si>
    <t>AL0FO</t>
  </si>
  <si>
    <t>WOS:000338803000009</t>
  </si>
  <si>
    <t>Zhou, CX; Deng, FH; Wan, L; Wang, ZM; E, DC; Zhou, Y</t>
  </si>
  <si>
    <t>Tong, Q; Shan, J; Zhu, B</t>
  </si>
  <si>
    <t>Zhou Chunxia; Deng Fanghui; Wan Lei; Wang Zemin; E Dongchen; Zhou Yu</t>
  </si>
  <si>
    <t>Application of synthetic aperture radar remote sensing in Antarctica</t>
  </si>
  <si>
    <t>REMOTE SENSING OF THE ENVIRONMENT: 18TH NATIONAL SYMPOSIUM ON REMOTE SENSING OF CHINA</t>
  </si>
  <si>
    <t>18th China National Symposium on Remote Sensing - Remote Sensing of the Environment</t>
  </si>
  <si>
    <t>OCT 20-23, 2012</t>
  </si>
  <si>
    <t>Chinese Soc Geodesy Photogrammetry &amp; Cartography, Comm Photogrammetry &amp; Re, Wuhan, PEOPLES R CHINA</t>
  </si>
  <si>
    <t>Chinese Soc Geodesy Photogrammetry &amp; Cartography, Comm Photogrammetry &amp; Re</t>
  </si>
  <si>
    <t>Antarctica; SAR; crevasse; DEM; ice flow velocity</t>
  </si>
  <si>
    <t>ICE-SHEET; GLOBAL CHANGE; INTERFEROMETRY; MOTION; FLOW; VELOCITY</t>
  </si>
  <si>
    <t>Synthetic Aperture Radar (SAR) delivers high-resolution radar images day or night, and in all weather conditions. It also offers the capability for penetrating materials. These unique capabilities boost the application of SAR remote sensing techniques in Antarctica. Based on the key area of Chinese National Antarctic Research Expedition (CHINARE) - PANDA (Prydz Bay, Amery Ice Shelf and Dome A) section, this paper summarized the typical applications of SAR data, and discussed the crevasse detection with semi-variance analysis in the SAR images of the Grove Mountains area, DEM generation with InSAR pairs and ICESat GLAS data of the Grove Mountains area and nearby areas, and ice flow velocity derivation from D-InSAR and offset tracking of the Grove Mountains area and downstream areas in East Antarctica. The studies provide important information for Antarctic fieldwork and scientific researches. It is further confirmed that Synthetic Aperture Radar remote sensing has tremendous potential in the field of glacial geomorphology, topographic mapping and glacier dynamics, etc.</t>
  </si>
  <si>
    <t>[Zhou Chunxia; Deng Fanghui; Wan Lei; Wang Zemin; E Dongchen; Zhou Yu] Wuhan Univ, Chinese Antarct Ctr Surveying &amp; Mapping, Wuhan 430079, Hubei, Peoples R China</t>
  </si>
  <si>
    <t>Wuhan University</t>
  </si>
  <si>
    <t>Zhou, CX (corresponding author), Wuhan Univ, Chinese Antarct Ctr Surveying &amp; Mapping, 129 Luoyu Rd, Wuhan 430079, Hubei, Peoples R China.</t>
  </si>
  <si>
    <t>zhoucx@whu.edu.cn</t>
  </si>
  <si>
    <t>ZeMin, Wang/AAU-3422-2020</t>
  </si>
  <si>
    <t>978-1-62841-176-8</t>
  </si>
  <si>
    <t>91580L</t>
  </si>
  <si>
    <t>10.1117/12.2063869</t>
  </si>
  <si>
    <t>Engineering, Electrical &amp; Electronic; Remote Sensing; Optics</t>
  </si>
  <si>
    <t>Engineering; Remote Sensing; Optics</t>
  </si>
  <si>
    <t>BA8SC</t>
  </si>
  <si>
    <t>WOS:000338580600020</t>
  </si>
  <si>
    <t>Chang, CH; Johnson, NC; Cassar, N</t>
  </si>
  <si>
    <t>Chang, C-H; Johnson, N. C.; Cassar, N.</t>
  </si>
  <si>
    <t>Neural network-based estimates of Southern Ocean net community production from in situ O2/Ar and satellite observation: a methodological study</t>
  </si>
  <si>
    <t>PARTICULATE ORGANIC-CARBON; ANTARCTIC MODE WATER; POLAR FRONTAL ZONE; SEA CO2 FLUXES; BIOLOGICAL PRODUCTION; INORGANIC CARBON; PHYTOPLANKTON PHYSIOLOGY; EQUATORIAL PACIFIC; CHLOROPHYLL RATIO; EXPORT PRODUCTION</t>
  </si>
  <si>
    <t>Southern Ocean organic carbon export plays an important role in the global carbon cycle, yet its basin-scale climatology and variability are uncertain due to limited coverage of in situ observations. In this study, a neural network approach based on the self-organizing map (SOM) is adopted to construct weekly gridded (1 degrees x 1 degrees) maps of organic carbon export for the Southern Ocean from 1998 to 2009. The SOM is trained with in situ measurements of O-2 / Ar-derived net community production (NCP) that are tightly linked to the carbon export in the mixed layer on timescales of one to two weeks and with six potential NCP predictors: photo-synthetically available radiation (PAR), particulate organic carbon (POC), chlorophyll (Chl), sea surface temperature (SST), sea surface height (SSH), and mixed layer depth (MLD). This nonparametric approach is based entirely on the observed statistical relationships between NCP and the predictors and, therefore, is strongly constrained by observations. A thorough cross-validation yields three retained NCP predictors, Chl, PAR, and MLD. Our constructed NCP is further validated by good agreement with previously published, independent in situ derived NCP of weekly or longer temporal resolution through real-time and climatological comparisons at various sampling sites. The resulting November-March NCP climatology reveals a pronounced zonal band of high NCP roughly following the Subtropical Front in the Atlantic, Indian, and western Pacific sectors, and turns southeastward shortly after the dateline. Other regions of elevated NCP include the upwelling zones off Chile and Namibia, the Patagonian Shelf, the Antarctic coast, and areas surrounding the Islands of Kerguelen, South Georgia, and Crozet. This basin-scale NCP climatology closely resembles that of the satellite POC field and observed air-sea CO2 flux. The long-term mean area-integrated NCP south of 50 degrees S from our dataset, 17.9 mmol C m(-2) d(-1), falls within the range of 8.3 to 24 mmol C m(-2) d(-1) from other model estimates. A broad agreement is found in the basin-wide NCP climatology among various models but with significant spatial variations, particularly in the Patagonian Shelf. Our approach provides a comprehensive view of the Southern Ocean NCP climatology and a potential opportunity to further investigate interannual and intraseasonal variability.</t>
  </si>
  <si>
    <t>[Chang, C-H] Acad Sinica, Res Ctr Environm Changes, Taipei 11529, Taiwan; [Chang, C-H; Cassar, N.] Duke Univ, Nicholas Sch Environm, Div Earth &amp; Ocean Sci, Durham, NC 27708 USA; [Johnson, N. C.] Univ Hawaii Manoa, SOEST, Int Pacific Res Ctr, Honolulu, HI 96822 USA; [Johnson, N. C.] Scripps Inst Oceanog, La Jolla, CA 92037 USA</t>
  </si>
  <si>
    <t>Academia Sinica - Taiwan; Duke University; University of Hawaii System; University of Hawaii Manoa; University of California System; University of California San Diego; Scripps Institution of Oceanography</t>
  </si>
  <si>
    <t>Chang, CH (corresponding author), Acad Sinica, Res Ctr Environm Changes, Taipei 11529, Taiwan.</t>
  </si>
  <si>
    <t>shingchang@gate.sinica.edu.tw</t>
  </si>
  <si>
    <t>Johnson, Nathaniel C/L-8045-2015; Cassar, Nicolas/B-4260-2011</t>
  </si>
  <si>
    <t>Cassar, Nicolas/0000-0003-0100-3783</t>
  </si>
  <si>
    <t>NOAA Climate Test Bed Program; Alfred P. Sloan Fellowship</t>
  </si>
  <si>
    <t>NOAA Climate Test Bed Program(National Oceanic Atmospheric Admin (NOAA) - USA); Alfred P. Sloan Fellowship(Alfred P. Sloan Foundation)</t>
  </si>
  <si>
    <t>We wish to thank Michael Bender and O2 / Ar collaborators for providing the in situ observations; R. Schlitzer, C. Nevison, T. Westberry, J. K. Moore, and J. Boutin for sharing the model data or estimates; Zuchuan Li for sharing his results; R. Schlitzer, J. Dunne, P. J. le B. Williams, V. Valsala, J. McCreary, R. Furue, J.-Y. Yu, and H.-H. Hsu for valuable discussion and C. Chou for encouragement and support for the study. N. C. Johnson was supported through a grant from the NOAA Climate Test Bed Program. N. Cassar was partly supported by an Alfred P. Sloan Fellowship. We acknowledge the following data sources: the NASA Goddard Earth Science Data and Information Services Center (GES DISC) Distributed Active Archive Center (DAAC) for the production and distribution of SeaWiFS Chl (the SeaWiFS Project) and MODIS POC and PAR (the MODIS mission) data (http://oceancolor.gsfc.nasa.gov/); the CLS Space Oceanography Division as part of the Environment and Climate EU ENACT project for providing the AVISO altimeter data (available at the AVISO site); the NOAA National Climatic Data Center (NCDC) for providing the OI SST data (http://www.ncdc.noaa.gov/oa/climate/research/sst/oi-daily.php); the Asia-Pacific Data Research Center of the IPRC for providing the Niller and Maximenko SSH climatology (http://apdrc.soest.hawaii.edu/datadoc/mdot.php) and production of ARGO MLD data (http://apdrc.soest.hawaii.edu/dods/public_data/Argo_Products); Japan Agency for Marine-Earth Science and Technology (JAMSTEC) for providing the OFES MLD data (http://www.jamstec.go.jp/esc/research/AtmOcn/product/ofes.html); and Lamont-Doherty Earth Observatory (LDEO) for providing the air-sea CO2 flux (http://cdiac.ornl.gov/oceans/LDEO_Underway_Database/). The SOM constructed NCP from 1998-2009 reported in this study will be available at http://etta.renci.duke.edu/moncp/c/moncp.html.</t>
  </si>
  <si>
    <t>10.5194/bg-11-3279-2014</t>
  </si>
  <si>
    <t>AK9QH</t>
  </si>
  <si>
    <t>WOS:000338761200012</t>
  </si>
  <si>
    <t>Boeuf, D; Humily, F; Jeanthon, C</t>
  </si>
  <si>
    <t>Boeuf, D.; Humily, F.; Jeanthon, C.</t>
  </si>
  <si>
    <t>Diversity of Arctic pelagic Bacteria with an emphasis on photoheterotrophs: a review</t>
  </si>
  <si>
    <t>ANOXYGENIC PHOTOTROPHIC BACTERIA; OCEAN SAMPLING EXPEDITION; DISSOLVED ORGANIC-MATTER; NORTH-ATLANTIC OCEAN; SINGLE-CELL ACTIVITY; ANTARCTIC SEA-ICE; COMMUNITY STRUCTURE; SURFACE WATERS; HETEROTROPHIC PRODUCTION; PROTEORHODOPSIN GENES</t>
  </si>
  <si>
    <t>The Arctic Ocean is a unique marine environment with respect to seasonality of light, temperature, perennial ice cover, and strong stratification. Other important distinctive features are the influence of extensive continental shelves and its interactions with Atlantic and Pacific water masses and freshwater from sea ice melt and rivers. These characteristics have major influence on the biological and biogeochemical processes occurring in this complex natural system. Heterotrophic bacteria are crucial components of marine food webs and have key roles in controlling carbon fluxes in the oceans. Although it was previously thought that these organisms relied on the organic carbon in seawater for all of their energy needs, several recent discoveries now suggest that pelagic bacteria can depart from a strictly heterotrophic lifestyle by obtaining energy through unconventional mechanisms that are linked to the penetration of sunlight into surface waters. These photoheterotrophic mechanisms may play a significant role in the energy budget in the euphotic zone of marine environments. Modifications of light and carbon availability triggered by climate change may favor the photoheterotrophic lifestyle. Here we review advances in our knowledge of the diversity of marine photoheterotrophic bacteria and discuss their significance in the Arctic Ocean gained in the framework of the Malina cruise.</t>
  </si>
  <si>
    <t>[Boeuf, D.; Humily, F.; Jeanthon, C.] CNRS, Marine Phototroph Prokaryotes Team, Stn Biol Roscoff, UMR 7144, F-29680 Roscoff, France; [Boeuf, D.; Humily, F.; Jeanthon, C.] Univ Paris 06, Sorbonne Univ, Stn Biol Roscoff, Ocean Plankton Grp,UMR 7144, F-29680 Roscoff, France</t>
  </si>
  <si>
    <t>Centre National de la Recherche Scientifique (CNRS); CNRS - Institute of Ecology &amp; Environment (INEE); Sorbonne Universite; Centre National de la Recherche Scientifique (CNRS); CNRS - Institute of Ecology &amp; Environment (INEE); Sorbonne Universite</t>
  </si>
  <si>
    <t>Jeanthon, C (corresponding author), CNRS, Marine Phototroph Prokaryotes Team, Stn Biol Roscoff, UMR 7144, F-29680 Roscoff, France.</t>
  </si>
  <si>
    <t>jeanthon@sb-roscoff.fr</t>
  </si>
  <si>
    <t>; BOEUF, Dominique/G-8442-2016</t>
  </si>
  <si>
    <t>Jeanthon, Christian/0000-0002-7339-574X; BOEUF, Dominique/0000-0002-6674-7831</t>
  </si>
  <si>
    <t>ANR (Agence nationale de la recherche); INSU-CNRS (Institut National des Sciences de l'Univers - Centre National de la Recherche Scientifique); CNES (Centre National d'Etudes Spatiales); ESA (European Space Agency); ANR RHOMEO [ANR-11-BSV7-021-02]; European Union [287589]; French Ministry of Higher Education and Research; ANR</t>
  </si>
  <si>
    <t>ANR (Agence nationale de la recherche)(Agence Nationale de la Recherche (ANR)); INSU-CNRS (Institut National des Sciences de l'Univers - Centre National de la Recherche Scientifique)(Centre National de la Recherche Scientifique (CNRS)); CNES (Centre National d'Etudes Spatiales)(Centre National D'etudes Spatiales); ESA (European Space Agency)(European Space Agency); ANR RHOMEO(Agence Nationale de la Recherche (ANR)); European Union(European Union (EU)); French Ministry of Higher Education and Research; ANR(Agence Nationale de la Recherche (ANR))</t>
  </si>
  <si>
    <t>This study was conducted as part of the Malina Scientific Program funded by ANR (Agence nationale de la recherche), INSU-CNRS (Institut National des Sciences de l'Univers - Centre National de la Recherche Scientifique), CNES (Centre National d'Etudes Spatiales), and ESA (European Space Agency). This work was supported by the ANR RHOMEO (ANR-11-BSV7-021-02) and the FP7 European Union program MicroB3 (UE-contract-287589). We thank all participants of the Malina cruise for their help, especially M. Babin who coordinated the project, K. Levesque for the logistics, and all the R/V CCGS Amundsen crew members. D. Boeuf and F. Humily were supported by grants from the French Ministry of Higher Education and Research and from ANR, respectively.</t>
  </si>
  <si>
    <t>10.5194/bg-11-3309-2014</t>
  </si>
  <si>
    <t>WOS:000338761200015</t>
  </si>
  <si>
    <t>Andreev, AA; Tarasov, PE; Wennrich, V; Raschke, E; Herzschuh, U; Nowaczyk, NR; Brigham-Grette, J; Melles, M</t>
  </si>
  <si>
    <t>Andreev, A. A.; Tarasov, P. E.; Wennrich, V.; Raschke, E.; Herzschuh, U.; Nowaczyk, N. R.; Brigham-Grette, J.; Melles, M.</t>
  </si>
  <si>
    <t>Late Pliocene and Early Pleistocene vegetation history of northeastern Russian Arctic inferred from the Lake El'gygytgyn pollen record</t>
  </si>
  <si>
    <t>BOLSHOY LYAKHOVSKY ISLAND; PLANT MACROFOSSIL DATA; CLIMATE-CHANGE; PALEOENVIRONMENTAL HISTORY; BIOMES; CHUKOTKA; AGE; RECONSTRUCTION; TEMPERATURES; SEDIMENTS</t>
  </si>
  <si>
    <t>The 318m thick lacustrine sediment record from Lake El'gygytgyn, northeastern Russian Arctic cored by the international El'gygytgyn Drilling Project provides unique opportunities for the time-continuous reconstruction of the regional paleoenvironmental history for the past 3.6 Myr. Pollen studies of the lower 216 m of the lacustrine sediments demonstrate their value as an excellent archive of vegetation and climate changes during the Late Pliocene and Early Pleistocene. About 3.5-3.35 Myr BP, the vegetation at Lake El'gygytgyn, now an area of tundra was dominated by spruce-larch-fir-hemlock forests. After ca. 3.35 Myr BP dark coniferous taxa gradually disappeared. A very pronounced environmental change took place ca. 3.31-3.28 Myr BP, corresponding to the Marine Isotope Stage (MIS) M2, when treeless tundra-and steppe-like habitats became dominant in the regional vegetation. Climate conditions were similar to those of Late Pleistocene cold intervals. Numerous coprophilous fungi spores identified in the pollen samples suggest the presence of grazing animals around the lake. Following the MIS M2 event, larch-pine forests with some spruce mostly dominated the area until ca. 2.6 Myr BP, interrupted by colder and drier intervals ca. 3.043-3.025, 2.935-2.912, and 2.719-2.698 Myr BP. At the beginning of the Pleistocene, ca. 2.6 Myr BP, noticeable climatic deterioration occurred. Forested habitats changed to predominantly treeless and shrubby environments, which reflect a relatively cold and dry climate. Peaks in observed green algae colonies (Botryococcus) around 2.53, 2.45, 2.32-2.305, 2.20 and 2.16-2.15 Myr BP suggest a spread of shallow water environments. A few intervals (i.e., 2.55-2.53, ca. 2.37, and 2.35-2.32 Myr BP) with a higher presence of coniferous taxa (mostly pine and larch) document some relatively short-term climate ameliorations during Early Pleistocene glacial periods.</t>
  </si>
  <si>
    <t>[Andreev, A. A.; Wennrich, V.; Melles, M.] Univ Cologne, Inst Geol &amp; Mineral, D-50674 Cologne, Germany; [Tarasov, P. E.] Free Univ Berlin, Inst Geol Sci, Paleontol Sect, D-12249 Berlin, Germany; [Raschke, E.] Arctic &amp; Antarctic Res Inst, St Petersburg 199397, Russia; [Herzschuh, U.] Alfred Wegener Inst Polar &amp; Marine Res, D-14473 Potsdam, Germany; [Nowaczyk, N. R.] GFZ German Res Ctr Geosci, Helmholtz Ctr Potsdam, Sect Climate Dynam &amp; Landscape Evolut 5 2, D-14473 Potsdam, Germany; [Brigham-Grette, J.] Univ Massachusetts, Dept Geosci, Amherst, MA 01003 USA</t>
  </si>
  <si>
    <t>University of Cologne; Free University of Berlin; Arctic &amp; Antarctic Research Institute; Helmholtz Association; Alfred Wegener Institute, Helmholtz Centre for Polar &amp; Marine Research; Helmholtz Association; Helmholtz-Center Potsdam GFZ German Research Center for Geosciences; University of Massachusetts System; University of Massachusetts Amherst</t>
  </si>
  <si>
    <t>Andreev, AA (corresponding author), Univ Cologne, Inst Geol &amp; Mineral, Zulpicherstr 49a, D-50674 Cologne, Germany.</t>
  </si>
  <si>
    <t>aandreev@uni-koeln.de</t>
  </si>
  <si>
    <t>Tarasov, Pavel/ABG-3993-2020; Wennrich, Volker/I-3435-2012; Melles, Martin/J-4070-2012; Andreev, Andrei A/J-2701-2015</t>
  </si>
  <si>
    <t>Tarasov, Pavel/0000-0002-7219-5009; Wennrich, Volker/0000-0003-3617-1963; Melles, Martin/0000-0003-0977-9463; Andreev, Andrei A/0000-0002-8745-9636; Herzschuh, Ulrike/0000-0003-0999-1261</t>
  </si>
  <si>
    <t>International Continental Scientific Drilling Program (ICDP); US National Science Foundation (NSF); German Federal Ministry of Education and Research (BMBF); Alfred Wegener Institute (AWI); GeoForschungsZentrum Potsdam (GFZ); Russian Academy of Sciences Far East Branch (RAS FEB); Russian Foundation for Basic Research (RFBR); Austrian Federal Ministry of Science and Research (BMWF); BMBF [03G0642]; German Research Foundation (DFG) [ME 1169/24]; Heisenberg program of the DFG [TA 540/5]; Division Of Earth Sciences; Directorate For Geosciences [1204087] Funding Source: National Science Foundation</t>
  </si>
  <si>
    <t>International Continental Scientific Drilling Program (ICDP); US National Science Foundation (NSF)(National Science Foundation (NSF)); German Federal Ministry of Education and Research (BMBF)(Federal Ministry of Education &amp; Research (BMBF)); Alfred Wegener Institute (AWI); GeoForschungsZentrum Potsdam (GFZ); Russian Academy of Sciences Far East Branch (RAS FEB); Russian Foundation for Basic Research (RFBR)(Russian Foundation for Basic Research (RFBR)); Austrian Federal Ministry of Science and Research (BMWF); BMBF(Federal Ministry of Education &amp; Research (BMBF)); German Research Foundation (DFG)(German Research Foundation (DFG)); Heisenberg program of the DFG(German Research Foundation (DFG)); Division Of Earth Sciences; Directorate For Geosciences(National Science Foundation (NSF)NSF - Directorate for Geosciences (GEO))</t>
  </si>
  <si>
    <t>Funding for the drilling operation at Lake El'gygytgyn in 2008/09 was provided by the International Continental Scientific Drilling Program (ICDP), the US National Science Foundation (NSF), the German Federal Ministry of Education and Research (BMBF), Alfred Wegener Institute (AWI), GeoForschungsZentrum Potsdam (GFZ), the Russian Academy of Sciences Far East Branch (RAS FEB), the Russian Foundation for Basic Research (RFBR), and the Austrian Federal Ministry of Science and Research (BMWF). The Russian GLAD 800 drilling system was developed and operated by DOSECC Inc. and LacCore, at the University of Minnesota, handled curation of the lake sediment cores retrieved. Financial support for the palynological analyses was provided by the BMBF (grant 03G0642) and the German Research Foundation (DFG; grant ME 1169/24). The work of PT was financed via the Heisenberg program of the DFG (grant TA 540/5). Special thanks are due to Dr. T. Leya from Fraunhofer IBMT, Culture Collection of Cryophilic Algae, and Dr. R. Below and H. Cieszynski, University of Cologne, for the identification and photography of cysts in the sediment record. We are also thankful two anonymous reviewers and B. Frechette for the suggestions and comments that helped to improve the paper.</t>
  </si>
  <si>
    <t>10.5194/cp-10-1017-2014</t>
  </si>
  <si>
    <t>AK9QL</t>
  </si>
  <si>
    <t>WOS:000338761600007</t>
  </si>
  <si>
    <t>Schwamborn, G; Meyer, H; Schirrmeister, L; Fedorov, G</t>
  </si>
  <si>
    <t>Schwamborn, G.; Meyer, H.; Schirrmeister, L.; Fedorov, G.</t>
  </si>
  <si>
    <t>Past freeze and thaw cycling in the margin of the El'gygytgyn crater deduced from a 141 m long permafrost record</t>
  </si>
  <si>
    <t>LAKE ELGYGYTGYN; GROUND ICE; CENTRAL CHUKOTKA; IMPACT CRATER; ISOTOPE; WATER; CLIMATE; SIBERIA; HYDROLOGY; PENINSULA</t>
  </si>
  <si>
    <t>The continuous sediment record from Lake El'gygytgyn in the northeastern Eurasian Arctic spans the last 3.6 Ma and for much of this time permafrost dynamics and lake level changes have likely played a crucial role for sediment delivery to the lake. Changes in the ground-ice hydrochemical composition (delta O-18, delta D, pH, electrical conductivity, Na+, Mg2+, Ca2+, K+, HCO3-, Cl-, SO4-) of a 141 m long permafrost record from the western crater plain are examined to reconstruct repeated periods of freeze and thaw at the lake edge. Stable water isotope and major ion records of ground ice in the permafrost reflect both a synsedimentary palaeo-precipitation signal preserved in the near-surface permafrost (0.0-9.1 m core depth) and a post-depositional record of thawing and refreezing in deeper layers of the core (9.1-141.0 m core depth). These lake marginal permafrost dynamics were controlled by lake level changes that episodically flooded the surfaces and induced thaw in the underlying frozen ground. During times of lake level fall these layers froze over again. At least three cycles of freeze and thaw are identified and the hydrochemical data point to a vertical and horizontal talik refreezing through time. Past permafrost thaw and freeze may have destabilised the basin slopes of Lake El'gygytgyn and this has probably promoted the release of mass movements from the lake edge to the deeper basin as known from frequently occurring turbidite layers in the lake sediment column.</t>
  </si>
  <si>
    <t>[Schwamborn, G.; Meyer, H.; Schirrmeister, L.] Helmholtz Ctr Polar &amp; Marine Res, Alfred Wegener Inst, D-14473 Potsdam, Germany; [Fedorov, G.] Arctic &amp; Antarctic Res Inst, St Petersburg 199397, Russia; [Fedorov, G.] St Petersburg State Univ, St Petersburg 199178, Russia</t>
  </si>
  <si>
    <t>Helmholtz Association; Alfred Wegener Institute, Helmholtz Centre for Polar &amp; Marine Research; Arctic &amp; Antarctic Research Institute; Saint Petersburg State University</t>
  </si>
  <si>
    <t>Schwamborn, G (corresponding author), Helmholtz Ctr Polar &amp; Marine Res, Alfred Wegener Inst, Telegrafenberg A43, D-14473 Potsdam, Germany.</t>
  </si>
  <si>
    <t>georg.schwamborn@awi.de</t>
  </si>
  <si>
    <t>Fedorov, Grigory/N-3444-2013; Meyer, Hanno/AAQ-4260-2021; Schirrmeister, Lutz/AGW-0545-2022; Schwamborn, Georg Johannes/ABC-9636-2020; Fedorov, Grigory/N-5788-2019; Schirrmeister, Lutz/O-5584-2015</t>
  </si>
  <si>
    <t>Fedorov, Grigory/0000-0003-2269-4501; Meyer, Hanno/0000-0003-4129-4706; Schirrmeister, Lutz/0000-0001-9455-0596; Schwamborn, Georg Johannes/0000-0001-9635-0539; Fedorov, Grigory/0000-0003-2269-4501; Schirrmeister, Lutz/0000-0001-9455-0596</t>
  </si>
  <si>
    <t>ICDP; US National Science Foundation (NSF); German Federal Ministry of Education and Research (BMBF); Alfred Wegener Institute, Helmholtz Centre for Polar and Marine Research (AWI); GeoForschungsZentrum Potsdam (GFZ); Russian Academy of Sciences Far East Branch (RAS FEB); Russian Foundation for Basic Research (RFBR); Austrian Federal Ministry of Science and Research (BMWF)</t>
  </si>
  <si>
    <t>ICDP; US National Science Foundation (NSF)(National Science Foundation (NSF)); German Federal Ministry of Education and Research (BMBF)(Federal Ministry of Education &amp; Research (BMBF)); Alfred Wegener Institute, Helmholtz Centre for Polar and Marine Research (AWI)(Helmholtz Association); GeoForschungsZentrum Potsdam (GFZ); Russian Academy of Sciences Far East Branch (RAS FEB); Russian Foundation for Basic Research (RFBR)(Russian Foundation for Basic Research (RFBR)); Austrian Federal Ministry of Science and Research (BMWF)</t>
  </si>
  <si>
    <t>Funding for this research was provided by the ICDP, the US National Science Foundation (NSF), the German Federal Ministry of Education and Research (BMBF), the Alfred Wegener Institute, Helmholtz Centre for Polar and Marine Research (AWI) and GeoForschungsZentrum Potsdam (GFZ), the Russian Academy of Sciences Far East Branch (RAS FEB), the Russian Foundation for Basic Research (RFBR), and the Austrian Federal Ministry of Science and Research (BMWF). A Russian mining rig (SIF-650M) was employed by Sergey Gutov and his crew from a local drilling company (Chaun Mining Corp., Pevek). Particular thanks go to Bernhard Chapligin and Nikifor Ostanin for help in the field. The lab support by Antje Eulenburg and Ute Bastian is highly appreciated.</t>
  </si>
  <si>
    <t>10.5194/cp-10-1109-2014</t>
  </si>
  <si>
    <t>WOS:000338761600012</t>
  </si>
  <si>
    <t>Suter, I; Zech, R; Anet, JG; Peter, T</t>
  </si>
  <si>
    <t>Suter, I.; Zech, R.; Anet, J. G.; Peter, T.</t>
  </si>
  <si>
    <t>Impact of geomagnetic excursions on atmospheric chemistry and dynamics</t>
  </si>
  <si>
    <t>LAST GLACIAL MAXIMUM; WESTERLY WIND CHANGES; GALACTIC COSMIC-RAYS; CLIMATE MODEL SOCOL; LATE PLEISTOCENE; SOUTHERN; CIRCULATION; MODULATION; TRANSPORT; CHILE</t>
  </si>
  <si>
    <t>Geomagnetic excursions, i.e. short periods in time with much weaker geomagnetic fields and substantial changes in the position of the geomagnetic pole, occurred repeatedly in the Earth's history, e. g. the Laschamp event about 41 kyr ago. Although the next such excursion is certain to come, little is known about the timing and possible consequences for the state of the atmosphere and the ecosystems. Here we use the global chemistry climate model SOCOL-MPIOM to simulate the effects of geomagnetic excursions on atmospheric ionization, chemistry and dynamics. Our simulations show significantly increased concentrations of nitrogen oxides (NOx) in the entire stratosphere, especially over Antarctica (+15 %), due to enhanced ionization by galactic cosmic rays. Hydrogen oxides (HOx) are also produced in greater amounts (up to +40%) in the tropical and subtropical lower stratosphere, while their destruction by reactions with enhanced NOx prevails over the poles and in high altitudes (by -5%). Stratospheric ozone concentrations decrease globally above 20 km by 1-2% and at the northern hemispheric tropopause by up to 5% owing to the accelerated NOx-induced destruction. A 5% increase is found in the southern lower stratosphere and troposphere. In response to these changes in ozone and the concomitant changes in atmospheric heating rates, the Arctic vortex intensifies in boreal winter, while the Antarctic vortex weakens in austral winter and spring. Surface wind anomalies show significant intensification of the southern westerlies at their poleward edge during austral winter and a pronounced northward shift in spring. Major impacts on the global climate seem unlikely.</t>
  </si>
  <si>
    <t>[Suter, I.; Anet, J. G.; Peter, T.] Inst Atmospher &amp; Climate Sci ETH, Zurich, Switzerland; [Zech, R.] Geol Inst ETH, Zurich, Switzerland</t>
  </si>
  <si>
    <t>Suter, I (corresponding author), Inst Atmospher &amp; Climate Sci ETH, Zurich, Switzerland.</t>
  </si>
  <si>
    <t>suter.ivo@bluewin.ch</t>
  </si>
  <si>
    <t>Peter, Thomas/B-2529-2018</t>
  </si>
  <si>
    <t>Peter, Thomas/0000-0002-7218-7156; Anet, Julien/0000-0002-2949-1363; Suter, Ivo/0000-0002-8612-4033</t>
  </si>
  <si>
    <t>Swiss National Science Foundation (SNF) [CRSI122-130642(FUPSOL)]; SNF Ambizione [PZ00P2_131670]; Swiss National Science Foundation (SNF) [PZ00P2_131670] Funding Source: Swiss National Science Foundation (SNF)</t>
  </si>
  <si>
    <t>Swiss National Science Foundation (SNF)(Swiss National Science Foundation (SNSF)); SNF Ambizione; Swiss National Science Foundation (SNF)(Swiss National Science Foundation (SNSF))</t>
  </si>
  <si>
    <t>We would like to thank Eugene Rozanov and Andrea Stenke for helpful comments at various stages of this research. Special thanks go to Markus Thurkow from FU Berlin for he kindly provided the initial land surface data set and ocean temperatures and we also express our greatest thanks for the ionization look-up table from Ilya Usoskin, originally developed for the work of Marco Calisto. J. Anet is supported by the Swiss National Science Foundation (SNF) under the grant CRSI122-130642(FUPSOL) and R. Zech acknowledges the support through SNF Ambizione PZ00P2_131670.</t>
  </si>
  <si>
    <t>10.5194/cp-10-1183-2014</t>
  </si>
  <si>
    <t>WOS:000338761600016</t>
  </si>
  <si>
    <t>Fudge, TJ; Waddington, ED; Conway, H; Lundin, JMD; Taylor, K</t>
  </si>
  <si>
    <t>Fudge, T. J.; Waddington, E. D.; Conway, H.; Lundin, J. M. D.; Taylor, K.</t>
  </si>
  <si>
    <t>Interpolation methods for Antarctic ice-core timescales: application to Byrd, Siple Dome and Law Dome ice cores</t>
  </si>
  <si>
    <t>ABRUPT CLIMATE-CHANGE; AGE SCALE; CHRONOLOGY AICC2012; GREENLAND; ACCUMULATION; SYNCHRONIZATION; RECORDS; KA; HOLOCENE; GISP2</t>
  </si>
  <si>
    <t>Antarctic ice cores have often been dated by matching distinctive features of atmospheric methane to those detected in annually dated ice cores from Greenland. Establishing the timescale between these tie-point ages requires interpolation. While the uncertainty at tie points is relatively well described, uncertainty of the interpolation is not. Here we assess the accuracy of three interpolation schemes using data from the WAIS Divide ice core in West Antarctica; we compare the interpolation methods with the annually resolved timescale for the past 30 kyr. Linear interpolation yields large age errors (up to 380 years) between tie points, abrupt changes in duration of climate events at tie points, and an age bias. Interpolations based on the smoothest accumulation rate (ACCUM) or the smoothest annual-layer thickness (ALT) yield timescales that more closely agree with the annually resolved timescale and do not have abrupt changes in duration at tie points. We use ALT to assess the uncertainty in existing timescales for the past 30 kyr from Byrd, Siple Dome, and Law Dome. These ice-core timescales were developed with methods similar to linear interpolation. Maximum age differences exceed 1000 years for Byrd and Siple Dome, and 500 years for Law Dome. For the glacial-interglacial transition (21 to 12 kyr), the existing timescales are, on average, older than ALT by 40 years for Byrd, 240 years for Siple Dome, and 150 years for Law Dome. Because interpolation uncertainty is often not considered, age uncertainties for ice-core records are often underestimated.</t>
  </si>
  <si>
    <t>[Fudge, T. J.; Waddington, E. D.; Conway, H.; Lundin, J. M. D.] Univ Washington, Dept Earth &amp; Space Sci, Seattle, WA 98195 USA; [Taylor, K.] Nevada Syst Higher Educ, Desert Res Inst, Reno, NV USA</t>
  </si>
  <si>
    <t>University of Washington; University of Washington Seattle; Nevada System of Higher Education (NSHE); Desert Research Institute NSHE</t>
  </si>
  <si>
    <t>tjfudge@uw.edu</t>
  </si>
  <si>
    <t>; Taylor, Kendrick/A-3469-2016</t>
  </si>
  <si>
    <t>Conway, Howard/0000-0003-4634-3474; Fudge, Tyler/0000-0002-6818-7479; Taylor, Kendrick/0000-0001-8535-1261</t>
  </si>
  <si>
    <t>US National Science Foundation [0944197, 0636997, 0968391]; NASA National Earth and Space Sciences Fellowship; Directorate For Geosciences; Office of Polar Programs (OPP) [0944197] Funding Source: National Science Foundation; Division Of Polar Programs; Directorate For Geosciences [0944191] Funding Source: National Science Foundation</t>
  </si>
  <si>
    <t>US National Science Foundation(National Science Foundation (NSF)); NASA National Earth and Space Sciences Fellowship; Directorate For Geosciences; Office of Polar Programs (OPP)(National Science Foundation (NSF)NSF - Directorate for Geosciences (GEO)); Division Of Polar Programs; Directorate For Geosciences(National Science Foundation (NSF)NSF - Directorate for Geosciences (GEO))</t>
  </si>
  <si>
    <t>We thank Joel Pedro, Brad Markle, Mai Winstrup, Eric Steig, and Spruce Schoenemann for thoughtful discussion. We also thank referees Tas van Ommen and Frederic Parrenin, and editor Eric Wolff for constructive comments which improved the manuscript. The US National Science Foundation grants 0944197, 0636997, and 0968391 supported this work. T. J. Fudge was supported in part by a NASA National Earth and Space Sciences Fellowship.</t>
  </si>
  <si>
    <t>10.5194/cp-10-1195-2014</t>
  </si>
  <si>
    <t>WOS:000338761600017</t>
  </si>
  <si>
    <t>Sprenk, D; Weber, ME; Kuhn, G; Wennrich, V; Hartmann, T; Seelos, K</t>
  </si>
  <si>
    <t>Sprenk, D.; Weber, M. E.; Kuhn, G.; Wennrich, V.; Hartmann, T.; Seelos, K.</t>
  </si>
  <si>
    <t>Seasonal changes in glacial polynya activity inferred from Weddell Sea varves</t>
  </si>
  <si>
    <t>BOTTOM-WATER FORMATION; ANTARCTIC ICE-SHEET; COASTAL POLYNYAS; OCEAN CIRCULATION; TRACE-ELEMENTS; SEDIMENTS; MODEL; VARIABILITY; CALIBRATION; NORTHERN</t>
  </si>
  <si>
    <t>The Weddell Sea and the associated Filchner-Ronne Ice Shelf constitute key regions for global bottom-water production today. However, little is known about bottom-water production under different climate and ice-sheet conditions. Therefore, we studied core PS1795, which consists primarily of fine-grained siliciclastic varves that were deposited on contourite ridges in the southeastern Weddell Sea during the Last Glacial Maximum (LGM). We conducted high-resolution X-ray fluorescence (XRF) analysis and grain-size measurements with the RADIUS tool (Seelos and Sirocko, 2005) using thin sections to characterize the two seasonal components of the varves at sub-mm resolution to distinguish the seasonal components of the varves. Bright layers contain coarser grains that can mainly be identified as quartz in the medium-to-coarse silt grain size. They also contain higher amounts of Si, Zr, Ca, and Sr, as well as more ice-rafted debris (IRD). Dark layers, on the other hand, contain finer particles such as mica and clay minerals from the chlorite and illite groups. In addition, Fe, Ti, Rb, and K are elevated. Based on these findings as well as on previous analyses on neighbouring cores, we propose a model of enhanced thermohaline convection in front of a grounded ice sheet that is supported by seasonally variable coastal polynya activity during the LGM. Accordingly, katabatic (i.e. offshore blowing) winds removed sea ice from the ice edge, leading to coastal polynya formation. We suggest that glacial processes were similar to today with stronger katabatic winds and enhanced coastal polynya activity during the winter season. Under these conditions, lighter coarser-grained layers are likely glacial winter deposits, when brine rejection was increased, leading to enhanced bottom-water formation and increased sediment transport. Vice versa, darker finer-grained layers were then deposited during less windier season, mainly during summer, when coastal polynya activity was likely reduced.</t>
  </si>
  <si>
    <t>[Sprenk, D.; Weber, M. E.; Wennrich, V.; Hartmann, T.] Univ Cologne, Inst Geol &amp; Mineral, D-50931 Cologne, Germany; [Kuhn, G.] Helmholtz Zentrum Polar &amp; Meeresforsch, Alfred Wegener Inst, Bremerhaven, Germany; [Seelos, K.] Johannes Gutenberg Univ Mainz, Inst Geosci, D-55122 Mainz, Germany</t>
  </si>
  <si>
    <t>University of Cologne; Helmholtz Association; Alfred Wegener Institute, Helmholtz Centre for Polar &amp; Marine Research; Johannes Gutenberg University of Mainz</t>
  </si>
  <si>
    <t>Sprenk, D (corresponding author), Univ Cologne, Inst Geol &amp; Mineral, D-50931 Cologne, Germany.</t>
  </si>
  <si>
    <t>danielasprenk@gmail.com</t>
  </si>
  <si>
    <t>Weber, Michael E/G-8707-2012; Wennrich, Volker/I-3435-2012; IPO, PAGES/JXY-7546-2024</t>
  </si>
  <si>
    <t>Wennrich, Volker/0000-0003-3617-1963; Kuhn, Gerhard/0000-0001-6069-7485; Weber, Michael E/0000-0003-2175-8980</t>
  </si>
  <si>
    <t>Deutsche Forschungsgemeinschaft (DFG) [RI 525/17-1, KU 683/9-1, WE2039/8-1]; DFG-Priority Programme Antarctic Research 1158</t>
  </si>
  <si>
    <t>Deutsche Forschungsgemeinschaft (DFG)(German Research Foundation (DFG)); DFG-Priority Programme Antarctic Research 1158</t>
  </si>
  <si>
    <t>The authors are grateful for financial support from the Deutsche Forschungsgemeinschaft (DFG; grants RI 525/17-1, KU 683/9-1, WE2039/8-1) and the DFG-Priority Programme Antarctic Research 1158. Our study was part of the Alfred Wegener Institute research program Polar Regions and Coasts in a changing Earth System (PACES), Topic 3 Lessons from the Past. We thank Irka Hajdas from the Laboratory of Ion Beam at the ETH Zurich for the AMS 14C measurements as well as Ralf Baeumler and Jens Karls from the University of Cologne for helping with the thin sections. All data will be available at http://doi.pangaea.de/10.1594/PANGAEA.833377.</t>
  </si>
  <si>
    <t>10.5194/cp-10-1239-2014</t>
  </si>
  <si>
    <t>WOS:000338761600020</t>
  </si>
  <si>
    <t>Jones, TR; White, JWC; Popp, T</t>
  </si>
  <si>
    <t>Jones, T. R.; White, J. W. C.; Popp, T.</t>
  </si>
  <si>
    <t>Siple Dome shallow ice cores: a study in coastal dome microclimatology</t>
  </si>
  <si>
    <t>ANTARCTIC PRECIPITATION; ENSO MODULATION; WEST ANTARCTICA; TIME-VARIATION; EL-NINO; DELTA-D; CLIMATE; VARIABILITY; SNOW; CIRCULATION</t>
  </si>
  <si>
    <t>Ice cores at Siple Dome, West Antarctica, receive the majority of their precipitation from Pacific Ocean moisture sources. Pacific climate patterns, particularly the El Nino-Southern Oscillation (ENSO) and the Southern Annular Mode (SAM), affect local temperature, atmospheric circulation, snow accumulation, and water isotope signals at Siple Dome. We examine borehole temperatures, accumulation, and water isotopes from a number of shallow ice cores recovered from a 60 km north-south transect of the dome. The data reveal spatial gradients partly explained by orographic uplift, as well as microclimate effects that are expressed differently on the Pacific and inland flanks. Our analyses suggest that while an ENSO and SAM signal are evident at Siple Dome, differences in microclimate and possible postdepositional movement of snow makes climate reconstruction problematic, a conclusion which should be considered at other West Antarctic coastal dome locations.</t>
  </si>
  <si>
    <t>[Jones, T. R.; White, J. W. C.] Univ Colorado, Inst Arctic &amp; Alpine Res, Boulder, CO 80309 USA; [Popp, T.] Univ Copenhagen, Niels Bohr Inst, Ctr Ice &amp; Climate, DK-2100 Copenhagen, Denmark</t>
  </si>
  <si>
    <t>University of Colorado System; University of Colorado Boulder; University of Copenhagen; Niels Bohr Institute</t>
  </si>
  <si>
    <t>Jones, TR (corresponding author), Univ Colorado, Inst Arctic &amp; Alpine Res, Boulder, CO 80309 USA.</t>
  </si>
  <si>
    <t>tyler.jones@colorado.edu</t>
  </si>
  <si>
    <t>White, James W.C./A-7845-2009; IPO, PAGES/JXY-7546-2024</t>
  </si>
  <si>
    <t>JONES, TYLER/0000-0003-1871-2105</t>
  </si>
  <si>
    <t>National Science Foundation; Office of Polar Programs (OPP); Directorate For Geosciences [1043167] Funding Source: National Science Foundation</t>
  </si>
  <si>
    <t>National Science Foundation(National Science Foundation (NSF)); Office of Polar Programs (OPP); Directorate For Geosciences(National Science Foundation (NSF)NSF - Directorate for Geosciences (GEO))</t>
  </si>
  <si>
    <t>The authors would like to thank the National Science Foundation for funding and support related to this project.</t>
  </si>
  <si>
    <t>10.5194/cp-10-1253-2014</t>
  </si>
  <si>
    <t>WOS:000338761600021</t>
  </si>
  <si>
    <t>Osipov, EY; Khodzher, TV; Golobokova, LP; Onischuk, NA; Lipenkov, VY; Ekaykin, AA; Shibaev, YA; Osipova, OP</t>
  </si>
  <si>
    <t>Osipov, E. Y.; Khodzher, T. V.; Golobokova, L. P.; Onischuk, N. A.; Lipenkov, V. Y.; Ekaykin, A. A.; Shibaev, Y. A.; Osipova, O. P.</t>
  </si>
  <si>
    <t>High-resolution 900 year volcanic and climatic record from the Vostok area, East Antarctica</t>
  </si>
  <si>
    <t>ICE CORE; EXPLOSIVE VOLCANISM; DOME-C; SNOW ACCUMULATION; EUROPEAN PROJECT; HISTORY; LAND</t>
  </si>
  <si>
    <t>Ion chromatography measurements of 1730 snow and firn samples obtained from three short cores and one pit in the Vostok station area, East Antarctica, allowed for the production of the combined volcanic record of the last 900 years (AD 1093-2010). The resolution of the record is 2-3 samples per accumulation year. In total, 24 volcanic events have been identified, including seven well-known low-latitude eruptions (Pinatubo 1991, Agung 1963, Krakatoa 1883, Tambora 1815, Huanaputina 1600, Kuwae 1452, El Chichon 1259) found in most of the polar ice cores. In comparison with three other East Antarctic volcanic records (South Pole, Plateau Remote and Dome C), the Vostok record contains more events within the last 900 years. The differences between the records may be explained by local glaciological conditions, volcanic detection methodology, and, probably, differences in atmospheric circulation patterns. The strongest volcanic signal (both in sulfate concentration and flux) was attributed to the AD 1452 Kuwae eruption, similar to the Plateau Remote and Talos Dome records. The average snow accumulation rate calculated between volcanic stratigraphic horizons for the period AD 1260-2010 is 20.9mm H2O. Positive (+ 13 %) anomalies of snow accumulation were found for AD 1661-1815 and AD 1992-2010, and negative (-12 %) for AD 1260-1601. We hypothesized that the changes in snow accumulation are associated with regional peculiarities in atmospheric transport.</t>
  </si>
  <si>
    <t>[Osipov, E. Y.; Khodzher, T. V.; Golobokova, L. P.; Onischuk, N. A.] Limnol Inst SB RAS, Irkutsk, Russia; [Lipenkov, V. Y.; Ekaykin, A. A.; Shibaev, Y. A.] Arctic &amp; Antarctic Res Inst, St Petersburg 199226, Russia; [Osipova, O. P.] VB Sochava Inst Geog SB RAS, Irkutsk, Russia</t>
  </si>
  <si>
    <t>Russian Academy of Sciences; Irkutsk Science Centre of the Russian Academy of Sciences; Limnological Institute SB RAS; Arctic &amp; Antarctic Research Institute; Russian Academy of Sciences; Irkutsk Science Centre of the Russian Academy of Sciences; Sochava Institute of Geography, Siberian Branch of the Russian Academy of Sciences</t>
  </si>
  <si>
    <t>Osipov, EY (corresponding author), Limnol Inst SB RAS, Irkutsk, Russia.</t>
  </si>
  <si>
    <t>eduard@lin.irk.ru</t>
  </si>
  <si>
    <t>IPO, PAGES/JXY-7546-2024; Osipova, Olga/AAQ-3533-2020; Ekaykin, Alexey A./K-9894-2015; Osipov, Eduard Y/J-9069-2018; Golobokova, Liudmila Petrovna/J-4361-2018; Lipenkov, Vladimir/Q-8262-2016</t>
  </si>
  <si>
    <t>Osipov, Eduard Y/0000-0002-8997-210X; Onishchuk, Natalya/0000-0001-8496-2757; Lipenkov, Vladimir/0000-0003-4221-5440</t>
  </si>
  <si>
    <t>Russian Foundation for Basic Research [10-05-93109]; Department of Earth Sciences of Russian Academy of Sciences [12.11]</t>
  </si>
  <si>
    <t>Russian Foundation for Basic Research(Russian Foundation for Basic Research (RFBR)Spanish Government); Department of Earth Sciences of Russian Academy of Sciences</t>
  </si>
  <si>
    <t>We thank J. Cole-Dai and two anonymous reviewers for valuable comments on the manuscript. We are also grateful to J. R. Petit for useful discussions about chemical measurement techniques. The work was supported by the Russian Foundation for Basic Research, project no. 10-05-93109 and the Department of Earth Sciences of Russian Academy of Sciences (project no. 12.11).</t>
  </si>
  <si>
    <t>10.5194/tc-8-843-2014</t>
  </si>
  <si>
    <t>AK8CU</t>
  </si>
  <si>
    <t>WOS:000338655600003</t>
  </si>
  <si>
    <t>Brucker, L; Dinnat, EP; Koenig, LS</t>
  </si>
  <si>
    <t>Brucker, L.; Dinnat, E. P.; Koenig, L. S.</t>
  </si>
  <si>
    <t>Weekly gridded Aquarius L-band radiometer/scatterometer observations and salinity retrievals over the polar regions - Part 2: Initial product analysis</t>
  </si>
  <si>
    <t>MICROWAVE BRIGHTNESS TEMPERATURE; GREENLAND ICE-SHEET; MODELING TIME-SERIES; SEA-ICE; DOME-C; THICKNESS RETRIEVAL; SNOW ACCUMULATION; ANTARCTICA; VARIABILITY; EMISSION</t>
  </si>
  <si>
    <t>Following the development and availability of Aquarius weekly polar-gridded products, this study presents the spatial and temporal radiometer and scatterometer observations at L band (frequency similar to 1.4 GHz) over the cryosphere including the Greenland and Antarctic ice sheets, sea ice in both hemispheres, and over sub-Arctic land for monitoring the soil freeze/thaw state. We provide multiple examples of scientific applications for the L-band data over the cryosphere. For example, we show that over the Greenland Ice Sheet, the unusual 2012 melt event lead to an L-band brightness temperature (TB) sustained decrease of similar to 5K at horizontal polarization. Over the Antarctic ice sheet, normalized radar cross section (NRCS) observations recorded during ascending and descending orbits are significantly different, highlighting the anisotropy of the ice cover. Over sub-Arctic land, both passive and active observations show distinct values depending on the soil physical state (freeze/thaw). Aquarius sea surface salinity (SSS) retrievals in the polar waters are also presented. SSS variations could serve as an indicator of fresh water input to the ocean from the cryosphere, however the presence of sea ice often contaminates the SSS retrievals, hindering the analysis. The weekly grided Aquarius L-band products used are distributed by the US Snow and Ice Data Center at http: //nsidc.org/data/aquarius/index.html,and show potential for cryospheric studies.</t>
  </si>
  <si>
    <t>[Brucker, L.; Dinnat, E. P.; Koenig, L. S.] NASA, Goddard Space Flight Ctr, Cryospher Sci Lab, Greenbelt, MD 20771 USA; [Brucker, L.] Univ Space Res Assoc, Goddard Earth Sci Technol &amp; Res Studies &amp; Invest, Columbia, MD 21044 USA; [Dinnat, E. P.] Chapman Univ, Sch Earth &amp; Environm Sci, Orange, CA 92866 USA</t>
  </si>
  <si>
    <t>National Aeronautics &amp; Space Administration (NASA); NASA Goddard Space Flight Center; Universities Space Research Association (USRA); Chapman University System; Chapman University</t>
  </si>
  <si>
    <t>Brucker, L (corresponding author), NASA, Goddard Space Flight Ctr, Cryospher Sci Lab, Code 615, Greenbelt, MD 20771 USA.</t>
  </si>
  <si>
    <t>ludovic.brucker@nasa.gov</t>
  </si>
  <si>
    <t>Brucker, Ludovic/A-8029-2010; Brucker, Ludovic/L-5412-2019; Brucker, Ludovic/ACJ-3763-2022; Dinnat, Emmanuel/D-7064-2012</t>
  </si>
  <si>
    <t>Brucker, Ludovic/0000-0001-7102-8084; Dinnat, Emmanuel/0000-0001-9003-1182</t>
  </si>
  <si>
    <t>NASA Scientific Innovation Fund</t>
  </si>
  <si>
    <t>This research was funded by the NASA Scientific Innovation Fund. We acknowledge PO. DAAC for distributing the Level 2 Aquarius data (version 2.0) and NSIDC for archiving and distributing the weekly gridded products presented in this paper. We also acknowledge A. Decharon and L. Taylor (University of Maine, School of Marine Sciences) for hosting the visualization of the weekly gridded products of brightness temperature and sea surface salinity on the Aquarius Education &amp; Public Outreach website (http://aquarius.umaine.edu/cgi/gal_latitudes_tbv.htm and http://aquarius.umaine.edu/cgi/gal_latitudes_sss.htm, respectively). Finally, we acknowledge the reviewers for their useful suggestions.</t>
  </si>
  <si>
    <t>10.5194/tc-8-915-2014</t>
  </si>
  <si>
    <t>WOS:000338655600009</t>
  </si>
  <si>
    <t>Khodzher, TV; Golobokova, LP; Osipov, EY; Shibaev, YA; Lipenkov, VY; Osipova, OP; Petit, JR</t>
  </si>
  <si>
    <t>Khodzher, T. V.; Golobokova, L. P.; Osipov, E. Yu.; Shibaev, Yu. A.; Lipenkov, V. Ya.; Osipova, O. P.; Petit, J. R.</t>
  </si>
  <si>
    <t>Spatial-temporal dynamics of chemical composition of surface snow in East Antarctica along the Progress station-Vostok station transect</t>
  </si>
  <si>
    <t>CHEMISTRY; GLACIOCHEMISTRY; VARIABILITY; AEROSOL; LAND</t>
  </si>
  <si>
    <t>In January of 2008, during the 53rd Russian Antarctic Expedition, surface snow samples were taken from 13 shallow (0.7 to 1.5m depth) snow pits along the first tractor traverse from Progress to Vostok stations, East Antarctica. Sub-surface snow/firn layers are dated from 2.1 to 18 yr. The total length of the coast to inland traverse is more than 1280 km. Here we analysed spatial variability of concentrations of sulphate ions and elements and their fluxes in the snow deposited within the 2006-2008 time interval. Anions were analysed by high-performance liquid chromatography (HPLC), and the determination of selected metals, including Na, K, Mg, Ca and Al, was carried out by mass spectroscopy with atomization by induced coupled plasma (ICP-MS). Surface snow concentration records were examined for trends versus distance inland, elevation, accumulation rate and slope gradient. Na shows a significant positive correlation with accumulation rate, which decreases as distance from the sea and altitude increase. K, Ca and Mg concentrations do not show any significant relationship either with distance inland or with elevation. Maximal concentrations of these elements with a prominent Al peak are revealed in the middle part of the traverse (500-600 km from the coast). Analysis of element correlations and atmospheric circulation patterns allow us to suggest their terrestrial origin (e. g. aluminosilicates carried as a continental dust) from the Antarctic nunatak areas. Sulphate concentrations show no significant relationship with distance inland, elevation, slope gradient and accumulation rate. Non-sea salt secondary sulphate is the most important contribution to the total sulphate budget along the traverse. Sulphate of volcanic origin attributed to the Pinatubo eruption (1991) was revealed in the snow pit at 1276 km (depth 120-130 cm).</t>
  </si>
  <si>
    <t>[Khodzher, T. V.; Golobokova, L. P.; Osipov, E. Yu.] Limnol Inst SB RAS, Irkutsk, Russia; [Shibaev, Yu. A.; Lipenkov, V. Ya.] Arctic Antarctic Res Inst, St Petersburg, Russia; [Osipova, O. P.] VB Sochava Inst Geog SB RAS, Irkutsk, Russia; [Petit, J. R.] Lab Glaciol &amp; Environm Geophys, Grenoble, France</t>
  </si>
  <si>
    <t>Russian Academy of Sciences; Irkutsk Science Centre of the Russian Academy of Sciences; Limnological Institute SB RAS; Arctic &amp; Antarctic Research Institute; Irkutsk Science Centre of the Russian Academy of Sciences; Sochava Institute of Geography, Siberian Branch of the Russian Academy of Sciences; Russian Academy of Sciences</t>
  </si>
  <si>
    <t>Khodzher, TV (corresponding author), Limnol Inst SB RAS, Irkutsk, Russia.</t>
  </si>
  <si>
    <t>khodzher_@lin.irk.ru</t>
  </si>
  <si>
    <t>Golobokova, Liudmila Petrovna/J-4361-2018; Osipov, Eduard Y/J-9069-2018; IPO, PAGES/JXY-7546-2024; Osipova, Olga/AAQ-3533-2020; Lipenkov, Vladimir/Q-8262-2016</t>
  </si>
  <si>
    <t>Osipov, Eduard Y/0000-0002-8997-210X; Lipenkov, Vladimir/0000-0003-4221-5440</t>
  </si>
  <si>
    <t>RAS [11.9]; RFBR [10-05-93109]</t>
  </si>
  <si>
    <t>RAS(Russian Academy of SciencesRegione Sardegna); RFBR(Russian Foundation for Basic Research (RFBR))</t>
  </si>
  <si>
    <t>We would like to thank two anonymous reviewers for providing useful comments and suggestions for the initial version of the manuscript. The authors gratefully acknowledge the NOAA Air Resources Laboratory (ARL) for the provision of the HYSPLIT transport and dispersion model and/or READY website (http://www.ready.noaa.gov) used in this publication. This work was supported by Program of RAS No. 11.9 and RFBR Project No. 10-05-93109.</t>
  </si>
  <si>
    <t>10.5194/tc-8-931-2014</t>
  </si>
  <si>
    <t>WOS:000338655600010</t>
  </si>
  <si>
    <t>Rankl, M; Kienholz, C; Braun, M</t>
  </si>
  <si>
    <t>Rankl, M.; Kienholz, C.; Braun, M.</t>
  </si>
  <si>
    <t>Glacier changes in the Karakoram region mapped by multimission satellite imagery</t>
  </si>
  <si>
    <t>FEATURE-TRACKING; CLIMATE-CHANGE; RADAR INTERFEROMETRY; BALTORO GLACIER; LILIGO GLACIER; ICE VELOCITY; INDUS BASIN; PAKISTAN; HIMALAYA; SURGE</t>
  </si>
  <si>
    <t>Positive glacier-mass balances in the Karakoram region during the last decade have fostered stable and advancing glacier termini positions, while glaciers in the adjacent mountain ranges have been affected by glacier recession and thinning. In addition to fluctuations induced solely by climate, the Karakoram is known for a large number of surge-type glaciers. The present study provides an updated and extended inventory on advancing, stable, retreating, and surge-type glaciers using Landsat imagery from 1976 to 2012. Out of 1219 glaciers the vast majority showed a stable terminus (969) during the observation period. Sixty-five glaciers advanced, 93 glaciers retreated, and 101 surge-type glaciers were identified, of which 10 are new observations. The dimensional and topographic characteristics of each glacier class were calculated and analyzed. Ninety percent of nonsurge-type glaciers are shorter than 10 km, whereas surge-type glaciers are, in general, longer. We report short response times of glaciers in the Karakoram and suggest a shift from negative to balanced/positive mass budgets in the 1980s or 1990s. Additionally, we present glacier surface velocities derived from different SAR (synthetic aperture radar) sensors and different years for a Karakoram-wide coverage. High-resolution SAR data enables the investigation of small and relatively fast-flowing glaciers (e. g., up to 1.8 m day(-1) during an active phase of a surge). The combination of multitemporal optical imagery and SAR-based surface velocities enables an improved, Karakoram-wide glacier inventory and hence, provides relevant new observational information on the current state of glaciers in the Karakoram.</t>
  </si>
  <si>
    <t>[Rankl, M.; Braun, M.] Univ Erlangen Nurnberg, Inst Geog, D-91058 Erlangen, Germany; [Kienholz, C.] Univ Alaska Fairbanks, Inst Geophys, Fairbanks, AK 99775 USA</t>
  </si>
  <si>
    <t>University of Erlangen Nuremberg; University of Alaska System; University of Alaska Fairbanks</t>
  </si>
  <si>
    <t>Rankl, M (corresponding author), Univ Erlangen Nurnberg, Inst Geog, Wetterkreuz 15, D-91058 Erlangen, Germany.</t>
  </si>
  <si>
    <t>melanie.rankl@fau.de</t>
  </si>
  <si>
    <t>Braun, Matthias H/S-4693-2016; Braun, Matthias/A-4968-2009</t>
  </si>
  <si>
    <t>Braun, Matthias/0000-0001-5169-1567</t>
  </si>
  <si>
    <t>University of Erlangen-Nuremberg; DFG Priority Program Antarctic Research [BR2105/8-1]; NASA [NNX11AF41G, NNX11AO23G]; DFG; NASA [NNX11AO23G, 140151] Funding Source: Federal RePORTER</t>
  </si>
  <si>
    <t>University of Erlangen-Nuremberg; DFG Priority Program Antarctic Research; NASA(National Aeronautics &amp; Space Administration (NASA)); DFG(German Research Foundation (DFG)); NASA(National Aeronautics &amp; Space Administration (NASA))</t>
  </si>
  <si>
    <t>This study was kindly supported with TerraSAR-X and TanDEM-X data under DLR AOs LAN_0164 and mabra_XTI_ GLAC0264. Envisat ASAR and ERS-1/2 SAR imagery were accessed under ESA AO 3575. The USGS kindly granted access to the Landsat image archive. M. Rankl was financially supported by the University of Erlangen-Nuremberg, by the DFG Priority Program Antarctic Research, project nr. BR2105/8-1. C. Kienholz was supported by the NASA grants #NNX11AF41G and #NNX11AO23G. We further acknowledge support by DFG and University of Erlangen-Nuremberg within the funding program Open Access Publishing.</t>
  </si>
  <si>
    <t>10.5194/tc-8-977-2014</t>
  </si>
  <si>
    <t>WOS:000338655600013</t>
  </si>
  <si>
    <t>Price, D; Rack, W; Langhorne, PJ; Haas, C; Leonard, G; Barnsdale, K</t>
  </si>
  <si>
    <t>Price, D.; Rack, W.; Langhorne, P. J.; Haas, C.; Leonard, G.; Barnsdale, K.</t>
  </si>
  <si>
    <t>The sub-ice platelet layer and its influence on freeboard to thickness conversion of Antarctic sea ice</t>
  </si>
  <si>
    <t>MCMURDO SOUND; SHELF; VARIABILITY</t>
  </si>
  <si>
    <t>This is an investigation to quantify the influence of the sub-ice platelet layer on satellite measurements of total freeboard and their conversion to thickness of Antarctic sea ice. The sub-ice platelet layer forms as a result of the seaward advection of supercooled ice shelf water from beneath ice shelves. This ice shelf water provides an oceanic heat sink promoting the formation of platelet crystals which accumulate at the sea ice-ocean interface. The build-up of this porous layer increases sea ice freeboard, and if not accounted for, leads to overestimates of sea ice thickness from surface elevation measurements. In order to quantify this buoyant effect, the solid fraction of the sub-ice platelet layer must be estimated. An extensive in situ data set measured in 2011 in McMurdo Sound in the southwestern Ross Sea is used to achieve this. We use drill-hole measurements and the hydrostatic equilibrium assumption to estimate a mean value for the solid fraction of this sub-ice platelet layer of 0.16. This is highly dependent upon the uncertainty in sea ice density. We test this value with independent Global Navigation Satellite System (GNSS) surface elevation data to estimate sea ice thickness. We find that sea ice thickness can be overestimated by up to 19%, with a mean deviation of 12% as a result of the influence of the sub-ice platelet layer. It is concluded that within 100 km of an ice shelf this influence might need to be considered when undertaking sea ice thickness investigations using remote sensing surface elevation measurements.</t>
  </si>
  <si>
    <t>[Price, D.; Rack, W.] Univ Canterbury, Gateway Antarctica, Christchurch 1, New Zealand; [Langhorne, P. J.] Univ Otago, Dept Phys, Dunedin, New Zealand; [Haas, C.] York Univ, Dept Earth &amp; Space Sci &amp; Engn, N York, ON M3J 1P3, Canada; [Leonard, G.] Univ Otago, Natl Sch Surveying, Dunedin, New Zealand; [Barnsdale, K.] Univ Canterbury, Spatial Engn Res Ctr, Christchurch 1, New Zealand</t>
  </si>
  <si>
    <t>University of Canterbury; University of Otago; York University - Canada; University of Otago</t>
  </si>
  <si>
    <t>Price, D (corresponding author), Univ Canterbury, Gateway Antarctica, Christchurch 1, New Zealand.</t>
  </si>
  <si>
    <t>daniel.price@pg.canterbury.ac.nz</t>
  </si>
  <si>
    <t>Haas, Christian/L-5279-2016; Langhorne, Pat/C-3539-2018; Leonard, Greg/F-7157-2010; Rack, Wolfgang/U-8898-2017</t>
  </si>
  <si>
    <t>Haas, Christian/0000-0002-7674-3500; Price, Daniel/0000-0001-6003-0920; Langhorne, Pat/0000-0003-0239-7657; Leonard, Greg/0000-0001-7679-9486; Rack, Wolfgang/0000-0003-2447-377X</t>
  </si>
  <si>
    <t>CryoSat cal/val project [4512]</t>
  </si>
  <si>
    <t>CryoSat cal/val project</t>
  </si>
  <si>
    <t>The authors would like to acknowledge the K063 2011 fieldwork team including J. Beckers, A. Gough and K. Hughes and further the Scott Base staff of 2011. We would like to thank J.-F. Baure of Icam School of Engineering, Toulouse, France for processing GNSS data during a University of Canterbury supported internship. We are grateful for the logistics support of Antarctica New Zealand. Envisat ASAR data were received through CryoSat cal/val project 4512. This work was carried out at Gateway Antarctica, University of Canterbury, Christchurch, New Zealand.</t>
  </si>
  <si>
    <t>10.5194/tc-8-1031-2014</t>
  </si>
  <si>
    <t>WOS:000338655600017</t>
  </si>
  <si>
    <t>Picard, G; Royer, A; Arnaud, L; Fily, M</t>
  </si>
  <si>
    <t>Picard, G.; Royer, A.; Arnaud, L.; Fily, M.</t>
  </si>
  <si>
    <t>Influence of meter-scale wind-formed features on the variability of the microwave brightness temperature around Dome C in Antarctica</t>
  </si>
  <si>
    <t>SURFACE MASS-BALANCE; MODELING TIME-SERIES; INFRARED REFLECTANCE; SNOW ACCUMULATION; ICE SHEETS; GRAIN-SIZE; AREA; SCATTERING; GREENLAND; EMISSION</t>
  </si>
  <si>
    <t>Space-borne passive microwave radiometers are widely used to retrieve information in snowy regions by exploiting the high sensitivity of microwave emission to snow properties. For the Antarctic Plateau, many studies presenting retrieval algorithms or numerical simulations have assumed, explicitly or not, that the subpixel-scale heterogeneity is negligible and that the retrieved properties were representative of whole pixels. In this paper, we investigate the spatial variations of brightness temperature over a range of a few kilometers in the Dome C area. Using ground-based radiometers towed by a vehicle, we collected brightness temperature at 11, 19 and 37 GHz at horizontal and vertical polarizations along transects with meter resolution. The most remarkable observation was a series of regular undulations of the signal with a significant amplitude reaching 10K at 37 GHz and a quasi-period of 30-50 m. In contrast, the variability at longer length scales seemed to be weak in the investigated area, and the mean brightness temperature was close to SSM/I and WindSat satellite observations for all the frequencies and polarizations. To establish a link between the snow characteristics and the microwave emission undulations, we collected detailed snow grain size and density profiles at two points where opposite extrema of brightness temperature were observed. Numerical simulations with the DMRT-ML microwave emission model revealed that the difference in density in the upper first meter explained most of the brightness temperature variations. In addition, we found that these variations of density near the surface were linked to snow hardness. Patches of hard snow - probably formed by wind compaction - were clearly visible and covered as much as 39% of the investigated area. Their brightness temperature was higher than in normal areas. This result implies that the microwave emission measured by satellites over Dome C is more complex than expected and very likely depends on the year-to-year areal proportion of the two different types of snow.</t>
  </si>
  <si>
    <t>[Picard, G.; Arnaud, L.; Fily, M.] Univ Grenoble Alpes, LGGE UMR5183, F-38041 Grenoble, France; [Picard, G.; Arnaud, L.; Fily, M.] CNRS, LGGE UMR5183, F-38041 Grenoble, France; [Royer, A.] Univ Sherbrooke, Ctr Applicat &amp; Rech Teledetect CARTEL, Sherbrooke, PQ J1K 2R1, Canada</t>
  </si>
  <si>
    <t>Communaute Universite Grenoble Alpes; Universite Grenoble Alpes (UGA); Communaute Universite Grenoble Alpes; Universite Grenoble Alpes (UGA); Centre National de la Recherche Scientifique (CNRS); University of Sherbrooke</t>
  </si>
  <si>
    <t>Picard, G (corresponding author), Univ Grenoble Alpes, LGGE UMR5183, F-38041 Grenoble, France.</t>
  </si>
  <si>
    <t>ghislain.picard@ujf-grenoble.fr</t>
  </si>
  <si>
    <t>Picard, Ghislain/D-4246-2013</t>
  </si>
  <si>
    <t>Picard, Ghislain/0000-0003-1475-5853; arnaud, laurent/0000-0002-4432-4205</t>
  </si>
  <si>
    <t>IPEV French polar institute programme BIPOL; IPEV French polar institute programme CALVA; French Agence Nationale de la Recherche ANR VANISH [ANR-07-VULN-013 VANISH]; NSERC-Canada; Sherbrooke University; CMIRA ExploraPro, Region Rhone-Alpes; Office of Polar Programs (OPP); Directorate For Geosciences [1043649] Funding Source: National Science Foundation</t>
  </si>
  <si>
    <t>IPEV French polar institute programme BIPOL; IPEV French polar institute programme CALVA; French Agence Nationale de la Recherche ANR VANISH(Agence Nationale de la Recherche (ANR)); NSERC-Canada(Natural Sciences and Engineering Research Council of Canada (NSERC)); Sherbrooke University; CMIRA ExploraPro, Region Rhone-Alpes(Region Auvergne-Rhone-Alpes); Office of Polar Programs (OPP); Directorate For Geosciences(National Science Foundation (NSF)NSF - Directorate for Geosciences (GEO))</t>
  </si>
  <si>
    <t>This work would not have been possible without the logistical and financial support of the IPEV French polar institute programmes BIPOL and CALVA. The French Agence Nationale de la Recherche ANR VANISH (program ANR-07-VULN-013 VANISH), NSERC-Canada and Sherbrooke University also provided financial support. The manuscript was written, in part, during a visit to Sherbrooke University supported by the grant CMIRA 2012 ExploraPro, Region Rhone-Alpes. Measurements in 2012 were conducted in the framework of the ANR MONISNOW program. We acknowledge the Naval Research Laboratory, Naval Center for Space Technology, Washington, DC 20375 USA, which provided the WindSat data through Computational Physics, Inc. (http://www.cpi.com/projects/ws.html). We thank T. Scambos, C. Matzler and R. Kelly for reviewing this paper.</t>
  </si>
  <si>
    <t>10.5194/tc-8-1105-2014</t>
  </si>
  <si>
    <t>WOS:000338655600022</t>
  </si>
  <si>
    <t>Mazzarella, L; Merlino, A; Vitagliano, L; Verde, C; di Prisco, G; Peisach, J; Vergara, A</t>
  </si>
  <si>
    <t>Mazzarella, Lelio; Merlino, Antonello; Vitagliano, Luigi; Verde, Cinzia; di Prisco, Guido; Peisach, Jack; Vergara, Alessandro</t>
  </si>
  <si>
    <t>Structural modifications induced by the switch from an endogenous bis-histidyl to an exogenous cyanomet hexa-coordination in a tetrameric haemoglobin</t>
  </si>
  <si>
    <t>CRYSTALLOGRAPHIC CHARACTERIZATION; TREMATOMUS-BERNACCHII; CRYSTAL-STRUCTURE; LIGAND-BINDING; HEMICHROME; HEXACOORDINATION; TRANSITION; STABILITY; TERTIARY; REVEALS</t>
  </si>
  <si>
    <t>Ferric cold-adapted fish haemoglobins exhibit heterogeneous coordination at the alpha (aquo-met) and beta (bis-histidyl) subunits. Herein we report two EPR-distinct bis-histidyl conformers (I and II) of the beta subunits of ferric haemoglobin from Trematomus bernacchii which react differently with CN-. An EPR titration reveals that upon cyanidation the most distorted conformer I reacts faster than II, producing both a cyanided and penta-coordinate ferric forms in the b subunits. The X-ray crystal structure of the partially cyanided conformer I reveals both an order-disorder transition and details of a communication between alpha and beta subunits.</t>
  </si>
  <si>
    <t>[Mazzarella, Lelio; Merlino, Antonello; Vergara, Alessandro] Univ Naples Federico II, Dept Chem Sci, Naples, Italy; [Merlino, Antonello; Vitagliano, Luigi; Vergara, Alessandro] CNR, Inst Biostruct &amp; Bioimaging, I-80125 Naples, Italy; [Verde, Cinzia; di Prisco, Guido] CNR, Inst Biosci &amp; BioResources, I-80125 Naples, Italy; [Verde, Cinzia] Roma 3 Univ, Dept Biol, Rome, Italy; [Peisach, Jack] Albert Einstein Coll Med, Dept Biophys &amp; Physiol, New York, NY USA</t>
  </si>
  <si>
    <t>University of Naples Federico II; Consiglio Nazionale delle Ricerche (CNR); Istituto di Biostrutture e Bioimmagini (IBB-CNR); Consiglio Nazionale delle Ricerche (CNR); Istituto di Bioscienze e Biorisorse (IBBR-CNR); Roma Tre University; Yeshiva University</t>
  </si>
  <si>
    <t>Vergara, A (corresponding author), Univ Naples Federico II, Dept Chem Sci, Naples, Italy.</t>
  </si>
  <si>
    <t>luigi.vitagliano@unina.it; c.verde@ibp.cnr.it; avergara@unina.it</t>
  </si>
  <si>
    <t>Merlino, Antonello/AAI-2114-2020; Vergara, Alessandro/C-4435-2013</t>
  </si>
  <si>
    <t>VERDE, Cinzia/0000-0001-6185-282X; Vergara, Alessandro/0000-0003-4135-0245; Merlino, Antonello/0000-0002-1045-7720</t>
  </si>
  <si>
    <t>PNRA (Italian National Programme for Antarctic Research); University of Naples; Albert Einstein College of Medicine; National Institutes of Health [GM040168, HL071064-03004]</t>
  </si>
  <si>
    <t>PNRA (Italian National Programme for Antarctic Research); University of Naples; Albert Einstein College of Medicine; National Institutes of Health(United States Department of Health &amp; Human ServicesNational Institutes of Health (NIH) - USA)</t>
  </si>
  <si>
    <t>This work was financially supported by PNRA (Italian National Programme for Antarctic Research). We thank the Elettra Synchrotron (Trieste, Italy) for beam-time and the staff of the beam-line XRD1 for assistance during data collection. AV acknowledges the University of Naples and the Albert Einstein College of Medicine for travel grants. Work carried out at AECOM was supported by National Institutes of Health grants GM040168 and HL071064-03004, awarded to JP.</t>
  </si>
  <si>
    <t>10.1039/c4ra03317e</t>
  </si>
  <si>
    <t>AK4ZX</t>
  </si>
  <si>
    <t>WOS:000338434500046</t>
  </si>
  <si>
    <t>Xiong, C; Lühr, H</t>
  </si>
  <si>
    <t>Xiong, C.; Luehr, H.</t>
  </si>
  <si>
    <t>An empirical model of the auroral oval derived from CHAMP field-aligned current signatures - Part 2</t>
  </si>
  <si>
    <t>ANNALES GEOPHYSICAE</t>
  </si>
  <si>
    <t>Ionosphere; auroral ionosphere; magnetospheric physics; current systems; magnetosphere-ionosphere interactions</t>
  </si>
  <si>
    <t>LINE BOUNDARY; PRECIPITATION</t>
  </si>
  <si>
    <t>In this paper we introduce a new model for the location of the auroral oval. The auroral boundaries are derived from small- and medium-scale field-aligned current (FAC) based on the high-resolution CHAMP (CHAllenging Minisatellite Payload) magnetic field observations during the years 2000-2010. The basic shape of the auroral oval is controlled by the dayside merging electric field, E-m, and can be fitted well by ellipses at all levels of activity. All five ellipse parameters show a dependence on E-m which can be described by quadratic functions. Optimal delay times for the merging electric field at the bow shock are 30 and 15 min for the equatorward and poleward boundaries, respectively. A comparison between our model and the British Antarctic Survey (BAS) auroral model derived from IMAGE (Imager for Magnetopause-to-Aurora Global Exploration) optical observations has been performed. There is good agreement between the two models regarding both boundaries, and the differences show a Gaussian distribution with a width of +/- 2A degrees in latitude. The difference of the equatorward boundary shows a local-time dependence, which is 1A degrees in latitude poleward in the morning sector and 1A degrees equatorward in the afternoon sector of the BAS model. We think the difference between the two models is caused by the appearance of auroral forms in connection with upward FACs. All information required for applying our auroral oval model (CH-Aurora-2014) is provided.</t>
  </si>
  <si>
    <t>[Xiong, C.; Luehr, H.] GFZ German Res Ctr Geosci, Helmholtz Ctr Potsdam, D-14473 Potsdam, Germany; [Xiong, C.] Wuhan Univ, Dept Space Phys, Coll Elect Informat, Wuhan 430079, Peoples R China</t>
  </si>
  <si>
    <t>Helmholtz Association; Helmholtz-Center Potsdam GFZ German Research Center for Geosciences; Wuhan University</t>
  </si>
  <si>
    <t>Xiong, C (corresponding author), GFZ German Res Ctr Geosci, Helmholtz Ctr Potsdam, D-14473 Potsdam, Germany.</t>
  </si>
  <si>
    <t>bear@gfz-potsdam.de</t>
  </si>
  <si>
    <t>Xiong, Chao/IXX-1985-2023</t>
  </si>
  <si>
    <t>Xiong, Chao/0000-0002-7518-9368; Luhr, Hermann/0000-0002-1599-6758</t>
  </si>
  <si>
    <t>Space Agency of the German Aerospace Center (DLR) through Federal Ministry of Economics and Technology; Alexander von Humboldt Foundation; Research Centre of the Helmholtz Association</t>
  </si>
  <si>
    <t>Space Agency of the German Aerospace Center (DLR) through Federal Ministry of Economics and Technology(Helmholtz AssociationGerman Aerospace Centre (DLR)); Alexander von Humboldt Foundation(Alexander von Humboldt Foundation); Research Centre of the Helmholtz Association(Helmholtz Association)</t>
  </si>
  <si>
    <t>The BAS auroral boundary data were derived and provided by the British Antarctic Survey based on IMAGE satellite data. The CHAMP mission was sponsored by the Space Agency of the German Aerospace Center (DLR) through funds of the Federal Ministry of Economics and Technology. The work of Chao Xiong at GFZ is supported by the Alexander von Humboldt Foundation through a Research Fellowship for Postdoctoral Researchers.; The service charges for this open access publication have been covered by a Research Centre of the Helmholtz Association.</t>
  </si>
  <si>
    <t>0992-7689</t>
  </si>
  <si>
    <t>1432-0576</t>
  </si>
  <si>
    <t>ANN GEOPHYS-GERMANY</t>
  </si>
  <si>
    <t>10.5194/angeo-32-623-2014</t>
  </si>
  <si>
    <t>Astronomy &amp; Astrophysics; Geosciences, Multidisciplinary; Meteorology &amp; Atmospheric Sciences</t>
  </si>
  <si>
    <t>Astronomy &amp; Astrophysics; Geology; Meteorology &amp; Atmospheric Sciences</t>
  </si>
  <si>
    <t>AK6AI</t>
  </si>
  <si>
    <t>WOS:000338509000004</t>
  </si>
  <si>
    <t>Howard, T; Ridley, J; Pardaens, AK; Hurkmans, RTWL; Payne, AJ; Giesen, RH; Lowe, JA; Bamber, JL; Edwards, TL; Oerlemans, J</t>
  </si>
  <si>
    <t>Howard, T.; Ridley, J.; Pardaens, A. K.; Hurkmans, R. T. W. L.; Payne, A. J.; Giesen, R. H.; Lowe, J. A.; Bamber, J. L.; Edwards, T. L.; Oerlemans, J.</t>
  </si>
  <si>
    <t>The land-ice contribution to 21st-century dynamic sea level rise</t>
  </si>
  <si>
    <t>SURFACE MASS-BALANCE; FRESH-WATER; CLIMATE-MODEL; CENTENNIAL VARIABILITY; SPATIAL SENSITIVITIES; GLACIER CONTRIBUTIONS; ENVIRONMENTAL-CHANGE; SHEET DYNAMICS; NORTH-ATLANTIC; GREENLAND</t>
  </si>
  <si>
    <t>Climate change has the potential to influence global mean sea level through a number of processes including (but not limited to) thermal expansion of the oceans and enhanced land ice melt. In addition to their contribution to global mean sea level change, these two processes (among others) lead to local departures from the global mean sea level change, through a number of mechanisms including the effect on spatial variations in the change of water density and transport, usually termed dynamic sea level changes. In this study, we focus on the component of dynamic sea level change that might be given by additional freshwater inflow to the ocean under scenarios of 21st-century land-based ice melt. We present regional patterns of dynamic sea level change given by a global-coupled atmosphere-ocean climate model forced by spatially and temporally varying projected ice-melt fluxes from three sources: the Antarctic ice sheet, the Greenland Ice Sheet and small glaciers and ice caps. The largest ice melt flux we consider is equivalent to almost 0.7 m of global mean sea level rise over the 21st century. The temporal evolution of the dynamic sea level changes, in the presence of considerable variations in the ice melt flux, is also analysed. We find that the dynamic sea level change associated with the ice melt is small, with the largest changes occurring in the North Atlantic amounting to 3 cm above the global mean rise. Furthermore, the dynamic sea level change associated with the ice melt is similar regardless of whether the simulated ice fluxes are applied to a simulation with fixed CO2 or under a business-as-usual greenhouse gas warming scenario of increasing CO2.</t>
  </si>
  <si>
    <t>[Howard, T.; Ridley, J.; Pardaens, A. K.; Lowe, J. A.] Met Off Hadley Ctr, Exeter EX1 3PB, Devon, England; [Hurkmans, R. T. W. L.; Payne, A. J.; Bamber, J. L.; Edwards, T. L.] Univ Bristol, Bristol Glaciol Ctr, Sch Geog Sci, Bristol BS8 1SS, Avon, England; [Giesen, R. H.; Oerlemans, J.] Univ Utrecht, Inst Marine &amp; Atmospher Res Utrecht, Utrecht, Netherlands</t>
  </si>
  <si>
    <t>Met Office - UK; Hadley Centre; University of Bristol; Utrecht University</t>
  </si>
  <si>
    <t>Howard, T (corresponding author), Met Off Hadley Ctr, FitzRoy Rd, Exeter EX1 3PB, Devon, England.</t>
  </si>
  <si>
    <t>tom.howard@metoffice.gov.uk</t>
  </si>
  <si>
    <t>Bamber, Jonathan/C-7608-2011; Lowe, Jason/GQI-4036-2022; Giesen, Rianne H/E-7597-2011; Edwards, Tamsin/H-6462-2019; payne, antony/A-8916-2008</t>
  </si>
  <si>
    <t>Bamber, Jonathan/0000-0002-2280-2819; Giesen, Rianne H/0000-0001-8270-6338; Edwards, Tamsin/0000-0002-4760-4704; payne, antony/0000-0001-8825-8425</t>
  </si>
  <si>
    <t>European Union [226375]; Ice2sea [146]; Joint UK DECC/Defra Met Office Hadley Centre Climate Programme [GA01101]</t>
  </si>
  <si>
    <t>European Union(European Union (EU)); Ice2sea; Joint UK DECC/Defra Met Office Hadley Centre Climate Programme</t>
  </si>
  <si>
    <t>This work was supported by funding from the ice2sea programme from the European Union 7th Framework Programme, grant number 226375. Ice2sea contribution number #146. This work was also supported by the Joint UK DECC/Defra Met Office Hadley Centre Climate Programme (GA01101). The authors wish to express their gratitude to the referees whose comments helped to improve this article.</t>
  </si>
  <si>
    <t>10.5194/os-10-485-2014</t>
  </si>
  <si>
    <t>AK8BI</t>
  </si>
  <si>
    <t>WOS:000338651700013</t>
  </si>
  <si>
    <t>Barnard, A; Wellner, JS; Anderson, JB</t>
  </si>
  <si>
    <t>Barnard, Alex; Wellner, Julia S.; Anderson, John B.</t>
  </si>
  <si>
    <t>Late Holocene climate change recorded in proxy records from a Bransfield Basin sediment core, Antarctic Peninsula</t>
  </si>
  <si>
    <t>Antarctic Peninsula; palaeoclimate; Holocene; marine; isotopes</t>
  </si>
  <si>
    <t>MARINE DIATOM RECORD; PALMER-DEEP; SOUTHERN-OCEAN; ODP LEG-178; GROWTH-RATE; PHYTOPLANKTON; ASSEMBLAGES; INSIGHTS; RETREAT; FJORDS</t>
  </si>
  <si>
    <t>The glacimarine environment of the Antarctic Peninsula region is one of the fastest warming places on Earth today, but details of changes in the recent past remain unknown. Large distances and widespread variability separate late Holocene palaeoclimate reconstructions in this region. This study focuses on a marine sediment core collected from ca. 2000 m below sea level in the Central Bransfield Strait that serves as a key for understanding changes in this region. The core yielded a high sedimentation rate and therefore provides an exceptional high-resolution sedimentary record composed of hemipelagic sediment, with some turbidites. An age model has been created using radiocarbon dates that span the Late Holocene: 3560 cal yr BP to present. This chronostratigraphic framework was used to establish five units, which are grouped into two super-units: a lower super-unit (3560-1600 cal yr BP) and an upper super-unit (1600 cal yr BP-present), based on facies descriptions, laser particle size analysis, x-ray analysis, multi-sensor core logger data, weight percentages and isotopic values of total organic carbon and nitrogen. We interpret the signal contained within the upper super-unit as an increase in surface water irradiance and/or shortening of the sea-ice season and the five units are broadly synchronous with climatic intervals across the Antarctic Peninsula region. While the general trends of regional climatic periods are represented in the Bransfield Basin core we have examined, each additional record that is obtained adds variability to the known history of the Antarctic Peninsula, rather than clarifying specific trends.</t>
  </si>
  <si>
    <t>[Barnard, Alex; Wellner, Julia S.] Univ Houston, Dept Earth &amp; Atmospher Sci, Houston, TX 77204 USA; [Anderson, John B.] Rice Univ, Dept Earth Sci, Houston, TX 77005 USA</t>
  </si>
  <si>
    <t>University of Houston System; University of Houston; Rice University</t>
  </si>
  <si>
    <t>Barnard, A (corresponding author), Univ Houston, Dept Earth &amp; Atmospher Sci, 4800 Calhoun Rd, Houston, TX 77204 USA.</t>
  </si>
  <si>
    <t>abarnard2@uh.edu</t>
  </si>
  <si>
    <t>Barnard, Alex/0000-0002-9523-2896</t>
  </si>
  <si>
    <t>National Science Foundation [OPP-0739596]; Office of Polar Programs (OPP); Directorate For Geosciences [1246353] Funding Source: National Science Foundation</t>
  </si>
  <si>
    <t>We acknowledge the National Science Foundation for funding this project (OPP-0739596 to JSW and JBA). We thank the science party of NBP0703, Rice University Sedimentology Laboratory, Petroleum Systems and Geochemistry Program at the University of Houston, Steve Ackley for discussion of sea-ice trends, Qi Fu and three anonymous reviewers.</t>
  </si>
  <si>
    <t>10.3402/polar.v33.17236</t>
  </si>
  <si>
    <t>AK5AD</t>
  </si>
  <si>
    <t>WOS:000338435100001</t>
  </si>
  <si>
    <t>Molina-Montenegro, MA; Carrasco-Urra, F; Acuña-Rodríguez, I; Oses, R; Torres-Díaz, C; Chwedorzewska, KJ</t>
  </si>
  <si>
    <t>Molina-Montenegro, Marco A.; Carrasco-Urra, Fernando; Acuna-Rodriguez, Ian; Oses, Romulo; Torres-Diaz, Cristian; Chwedorzewska, Katarzyna J.</t>
  </si>
  <si>
    <t>Assessing the importance of human activities for the establishment of the invasive Poa annua in Antarctica</t>
  </si>
  <si>
    <t>Alien species; Colobanthus quitensis; Deschampsia antarctica; human disturbance; Poa annua; tourists</t>
  </si>
  <si>
    <t>PLANT INVASION; CLIMATE-CHANGE; IMPACTS; VEGETATION</t>
  </si>
  <si>
    <t>Because of its harsh environmental conditions and remoteness, Antarctica is often considered to be at low risk of plant invasion. However, an increasing number of reports have shown the presence and spread of non-native plants in Antarctica; it is therefore important to study which factors control the invasion process in this ecosystem. Here, we assessed the role of different human activities on the presence and abundance of the invasive Poa annua. In addition, we performed a reciprocal transplant experiment in the field, and a manipulative experiment of germination with P. annua and the natives Colobanthus quitensis and Deschampsia antarctica, in order to unravel the effects of physical soil disturbance on the establishment and survival of P. annua. We found a positive correlation between abundance of P. annua and level of soil disturbance, and that survival of P. annua was 33% higher in sites with disturbed soil than non-disturbed. Finally, we found that disturbance conditions increased germination for P. annua, whereas for native species germination in experimentally disturbed soil was either unchanged or reduced compared to undisturbed soil. Our results indicate that human activities that modify abiotic soil characteristics could play an important role in the abundance of this invasive species. If the current patterns of human activities are maintained in Antarctica, the establishment success and spread of P. annua could increase, negatively affecting native flora.</t>
  </si>
  <si>
    <t>[Molina-Montenegro, Marco A.; Acuna-Rodriguez, Ian; Oses, Romulo] Univ Catolica Norte, Fac Ciencias Mar, CEAZA, Larrondo 1281, Coquimbo, Chile; [Carrasco-Urra, Fernando] Univ Concepcion, Dept Bot, Concepcion 4030000, Chile; [Torres-Diaz, Cristian] Univ Bio Bio, Lab Genom &amp; Biodiversidad, Dept Ciencias Nat, Chillan 3780000, Chile; [Chwedorzewska, Katarzyna J.] Polish Acad Sci, Inst Biochem &amp; Biophys, Dept Antarctic Biol, PL-02106 Warsaw, Poland</t>
  </si>
  <si>
    <t>Universidad Catolica del Norte; Universidad de Concepcion; Universidad del Bio-Bio; Polish Academy of Sciences; Institute of Biochemistry &amp; Biophysics - Polish Academy of Sciences</t>
  </si>
  <si>
    <t>Molina-Montenegro, MA (corresponding author), Univ Catolica Norte, Fac Ciencias Mar, CEAZA, Larrondo 1281, Coquimbo, Chile.</t>
  </si>
  <si>
    <t>Chwedorzewska, Katarzyna J/A-9480-2008; Chwedorzewska, Katarzyna/M-9721-2019</t>
  </si>
  <si>
    <t>Chwedorzewska, Katarzyna/0000-0001-6860-3666; Torres Diaz, Cristian/0000-0002-5741-5288; Oses-Pedraza, Romulo/0000-0003-2310-3339; Molina-Montenegro, Marco/0000-0001-6801-8942</t>
  </si>
  <si>
    <t>Chilean Antarctic Institute (INACH) [T-14-08, G-22-11]</t>
  </si>
  <si>
    <t>Chilean Antarctic Institute (INACH)</t>
  </si>
  <si>
    <t>We acknowledge the financial support of the Chilean Antarctic Institute (INACH project T-14-08 and G-22-11).</t>
  </si>
  <si>
    <t>10.3402/polar.v33.21425</t>
  </si>
  <si>
    <t>AK5AG</t>
  </si>
  <si>
    <t>WOS:000338435400001</t>
  </si>
  <si>
    <t>Sofen, ED; Alexander, B; Steig, EJ; Thiemens, MH; Kunasek, SA; Amos, HM; Schauer, AJ; Hastings, MG; Bautista, J; Jackson, TL; Vogel, LE; McConnell, JR; Pasteris, DR; Saltzman, ES</t>
  </si>
  <si>
    <t>Sofen, E. D.; Alexander, B.; Steig, E. J.; Thiemens, M. H.; Kunasek, S. A.; Amos, H. M.; Schauer, A. J.; Hastings, M. G.; Bautista, J.; Jackson, T. L.; Vogel, L. E.; McConnell, J. R.; Pasteris, D. R.; Saltzman, E. S.</t>
  </si>
  <si>
    <t>WAIS Divide ice core suggests sustained changes in the atmospheric formation pathways of sulfate and nitrate since the 19th century in the extratropical Southern Hemisphere</t>
  </si>
  <si>
    <t>MASS-INDEPENDENT FRACTIONATION; ISOTOPE ANOMALY DELTA-O-17; NONMETAL REDOX KINETICS; TROPOSPHERIC OZONE; OXIDATION PATHWAYS; BROMINE CHEMISTRY; SULFUR EMISSIONS; BOUNDARY-LAYER; ACID REACTIONS; OXYGEN</t>
  </si>
  <si>
    <t>The O-17 excess (Delta O-17 = &amp;DELTA:O-17-0.52 x delta O-18) of sulfate and nitrate reflects the relative importance of their different production pathways in the atmosphere. A new record of sulfate and nitrate Delta O-17 spanning the last 2400 years from the West Antarctic Ice Sheet Divide ice core project shows significant changes in both sulfate and nitrate Delta O-17 in the most recent 200 years, indicating changes in their formation pathways. The sulfate Delta O-17 record exhibits a 1.1 parts per thousand increase in the early 19th century from (2.4 +/- 0.2) parts per thousand to (3.5 +/- 0.2) parts per thousand, which suggests that an additional 12-18% of sulfate formation occurs via aqueous-phase production by O-3, relative to that in the gas phase. Nitrate Delta O-17 gradually decreases over the whole record, with a more rapid decrease between the mid-19th century and the present day of 5.6 parts per thousand, indicating an increasing importance of RO2 in NOx cycling between the mid-19th century and the present day in the mid- to high-latitude Southern Hemisphere. The former has implications for the climate impacts of sulfate aerosol, while the latter has implications for the tropospheric O-3 production rate in remote low-NOx environments. Using other ice core observations, we rule out drivers for these changes other than variability in extratropical oxidant (OH, O-3, RO2, H2O2, and reactive halogens) concentrations. However, assuming OH, H2O2, and O-3 are the main oxidants contributing to sulfate formation, Monte Carlo box model simulations require a large (a parts per thousand yen 260%) increase in the O-3 / OH mole fraction ratio over the Southern Ocean in the early 19th century to match the sulfate Delta O-17 record. This unlikely scenario points to a deficiency in our understanding of sulfur chemistry and suggests other oxidants may play an important role in sulfate formation in the mid- to high-latitude marine boundary layer. The observed decrease in nitrate Delta O-17 since the mid-19th century is most likely due to an increased importance of RO2 over O-3 in NOx cycling and can be explained by a 60-90% decrease in the O-3 / RO2 mole fraction ratio in the extratropical Southern Hemisphere NOx-source regions.</t>
  </si>
  <si>
    <t>[Sofen, E. D.; Alexander, B.; Amos, H. M.; Hastings, M. G.] Univ Washington, Dept Atmospher Sci, Seattle, WA 98195 USA; [Steig, E. J.; Kunasek, S. A.; Schauer, A. J.; Bautista, J.] Univ Washington, Dept Earth &amp; Space Sci, Seattle, WA 98195 USA; [Thiemens, M. H.; Jackson, T. L.] Univ Calif San Diego, La Jolla, CA 92093 USA; [Vogel, L. E.] Univ Washington, Joint Inst Study Atmosphere &amp; Ocean, Seattle, WA 98195 USA; [McConnell, J. R.; Pasteris, D. R.] Desert Res Inst, Div Hydrol Sci, Reno, NV 89512 USA; [Saltzman, E. S.] Univ Calif Irvine, Dept Earth Syst Sci, Irvine, CA 92697 USA</t>
  </si>
  <si>
    <t>University of Washington; University of Washington Seattle; University of Washington; University of Washington Seattle; University of California System; University of California San Diego; University of Washington; University of Washington Seattle; Nevada System of Higher Education (NSHE); Desert Research Institute NSHE; University of California System; University of California Irvine</t>
  </si>
  <si>
    <t>Sofen, ED (corresponding author), Univ Washington, Dept Atmospher Sci, Seattle, WA 98195 USA.</t>
  </si>
  <si>
    <t>esofen@atmos.uw.edu</t>
  </si>
  <si>
    <t>Hastings, Meredith G/C-6199-2008; Alexander, Becky/N-7048-2013; /G-9088-2015</t>
  </si>
  <si>
    <t>Alexander, Becky/0000-0001-9915-4621; Schauer, Andrew/0000-0002-5941-5396; Sofen, Eric/0000-0002-4495-2148; /0000-0002-8191-5549</t>
  </si>
  <si>
    <t>NSF [PLR-0538049, AGS-0704169, AGS-1103163, DPP-0839122]; NSF - University of New Hampshire [0230396, 0440817, 0944348, 0944266]; National Science Foundation; Directorate For Geosciences; Div Atmospheric &amp; Geospace Sciences [1102880] Funding Source: National Science Foundation; Directorate For Geosciences; Office of Polar Programs (OPP) [0944348] Funding Source: National Science Foundation; Div Atmospheric &amp; Geospace Sciences; Directorate For Geosciences [1103163] Funding Source: National Science Foundation</t>
  </si>
  <si>
    <t>NSF(National Science Foundation (NSF)); NSF - University of New Hampshire; National Science Foundation(National Science Foundation (NSF)); Directorate For Geosciences; Div Atmospheric &amp; Geospace Sciences(National Science Foundation (NSF)NSF - Directorate for Geosciences (GEO)); Directorate For Geosciences; Office of Polar Programs (OPP)(National Science Foundation (NSF)NSF - Directorate for Geosciences (GEO)); Div Atmospheric &amp; Geospace Sciences; Directorate For Geosciences(National Science Foundation (NSF)NSF - Directorate for Geosciences (GEO))</t>
  </si>
  <si>
    <t>This work was supported by NSF PLR-0538049, NSF AGS-0704169, NSF AGS-1103163, and NSF DPP-0839122. The authors appreciate the support of the WAIS Divide Science Coordination Office at the Desert Research Institute of Reno, Nevada for the collection and distribution of the WAIS Divide ice core and related tasks (Kendrick Taylor, NSF Grants 0230396, 0440817, 0944348; and 0944266 - University of New Hampshire). The National Science Foundation Office of Polar Programs also funds the Ice Drilling Program Office and Ice Drilling Design and Operations group for coring activities; The National Ice Core Laboratory, which curated the core and performed core processing, is funded by the National Science Foundation. Raytheon Polar Services is thanked for logistics support in Antarctica, and the 109th New York Air National Guard for airlift in Antarctica.</t>
  </si>
  <si>
    <t>10.5194/acp-14-5749-2014</t>
  </si>
  <si>
    <t>AJ6KO</t>
  </si>
  <si>
    <t>WOS:000337803100027</t>
  </si>
  <si>
    <t>Ruiz-Halpern, S; Calleja, ML; Dachs, J; Del Vento, S; Pastor, M; Palmer, M; Agustí, S; Duarte, CM</t>
  </si>
  <si>
    <t>Ruiz-Halpern, S.; Calleja, M. Ll.; Dachs, J.; Del Vento, S.; Pastor, M.; Palmer, M.; Agusti, S.; Duarte, C. M.</t>
  </si>
  <si>
    <t>Ocean-atmosphere exchange of organic carbon and CO2 surrounding the Antarctic Peninsula</t>
  </si>
  <si>
    <t>AIR-SEA FLUX; ULTRAVIOLET-RADIATION; MARINE MACROALGAE; GAS-EXCHANGE; VOLATILE; PHYTOPLANKTON; ATLANTIC; BACTERIA; CLIMATE; KRILL</t>
  </si>
  <si>
    <t>Exchangeable organic carbon (OC) dynamics and CO2 fluxes in the Antarctic Peninsula during austral summer were highly variable, but the region appeared to be a net sink for OC and nearly in balance for CO2. Surface exchangeable dissolved organic carbon (EDOC) measurements had a 43 +/- 3 (standard error, hereafter SE) mol CL-1 overall mean and represented around 66% of surface non-purgeable dissolved organic carbon (DOC) in Antarctic waters, while the mean concentration of the gaseous fraction of organic carbon (GOCH'(-1)) was 46 +/- 3 SE mu mol C L-1. There was a tendency towards low fugacity of dissolved CO2 (fCO(2-w)) in waters with high chlorophyll a (Chl a) content and high fCO(2-w) in areas with high krill densities. However, such relationships were not found for EDOC. The depth profiles of EDOC were also quite variable and occasionally followed Chl a profiles. The diel cycles of EDOC showed two distinct peaks, in the middle of the day and the middle of the short austral dark period, concurrent with solar radiation maxima and krill night migration patterns. However, no evident diel pattern for GOC H'(-1) or CO2 was observed. The pool of exchangeable OC is an important and active compartment of the carbon budget surrounding the Antarctic Peninsula and adds to previous studies highlighting its importance in the redistribution of carbon in marine environments.</t>
  </si>
  <si>
    <t>[Ruiz-Halpern, S.; Palmer, M.; Agusti, S.; Duarte, C. M.] CSIC UIB, Inst Mediterraneo Estudios Avanzados IMEDEA, Esporles, I Balears, Spain; [Calleja, M. Ll.] Univ CSIC UGR, IACT, Granada 18100, Andalusia, Spain; [Dachs, J.; Del Vento, S.] CSIC, Dept Environm Chem, Inst Environm Assessment &amp; Water Res IDAEA, Barcelona, Catalonia, Spain; [Del Vento, S.] Univ Lancaster, Lancaster Environm Ctr, Lancaster LA1 4YQ, England; [Pastor, M.] UTM CSIC, Dept Acust &amp; Geofis, Barcelona, Catalonia, Spain; [Agusti, S.; Duarte, C. M.] Univ Western Australia, UWA Oceans Inst &amp; Sch Plant Biol, Crawley, WA 6009, Australia; [Ruiz-Halpern, S.] So Cross Univ, Ctr Coastal Biogeochem, Sch Environm Sci &amp; Engn, Lismore, NSW 2480, Australia</t>
  </si>
  <si>
    <t>Universitat de les Illes Balears; Consejo Superior de Investigaciones Cientificas (CSIC); ATTITUS Educacao; University of Barcelona; Consejo Superior de Investigaciones Cientificas (CSIC); CSIC - Instituto Andaluz de Ciencias de la Tierra (IACT); Consejo Superior de Investigaciones Cientificas (CSIC); CSIC - Centro de Investigacion y Desarrollo Pascual Vila (CID-CSIC); CSIC - Instituto de Diagnostico Ambiental y Estudios del Agua (IDAEA); Lancaster University; Consejo Superior de Investigaciones Cientificas (CSIC); CSIC - Centro Mediterraneo de Investigaciones Marinas y Ambientales (CMIMA); CSIC - Unidad de Tecnologia Marina (UTM); University of Western Australia; Southern Cross University</t>
  </si>
  <si>
    <t>Ruiz-Halpern, S (corresponding author), CSIC UIB, Inst Mediterraneo Estudios Avanzados IMEDEA, Esporles, I Balears, Spain.</t>
  </si>
  <si>
    <t>sergio.ruiz-halpern@scu.edu.au</t>
  </si>
  <si>
    <t>Calleja, Maria/H-2847-2012; Duarte, Carlos M/A-7670-2013; Agusti, Susana/G-2864-2017; Duarte Quesada, Carlos Manuel/ABD-6208-2021; Ruiz-Halpern, Sergio/J-2854-2015</t>
  </si>
  <si>
    <t>Calleja, Maria/0000-0002-5992-2013; Duarte, Carlos M/0000-0002-1213-1361; Agusti, Susana/0000-0003-0536-7293; Ruiz-Halpern, Sergio/0000-0002-4198-4187; Dachs, Jordi/0000-0002-4237-169X</t>
  </si>
  <si>
    <t>Spanish Ministry of Science under the scope of the International Polar Year (IPY); Spanish Research Council (CSIC) [JAEDOC030]; Fondo Social Europeo (FSO); Natural Environment Research Council [ceh010010] Funding Source: researchfish</t>
  </si>
  <si>
    <t>Spanish Ministry of Science under the scope of the International Polar Year (IPY); Spanish Research Council (CSIC); Fondo Social Europeo (FSO); Natural Environment Research Council(UK Research &amp; Innovation (UKRI)Natural Environment Research Council (NERC))</t>
  </si>
  <si>
    <t>We thank the commander and crew of the R/V Hesperides for dedicated and professional assistance, the personnel of the Unidad de Tecnologia Marina (UTM) for highly professional technical support, Miquel Alcaraz for help with krill collections, Pedro Echeveste for Chl a analysis, and Amaya Alvarez-Ellacuria for her insight on MATLAB. This is a contribution of both Aportes Atmosfericos de Carbono Organico y Contaminanates al oceano Polar (ATOS) and the Spanish component of the Synoptic Antarctic Shelf-Slope Interactions study (ESASSI), funded by the Spanish Ministry of Science under the scope of the International Polar Year (IPY). Maria Ll. Calleja was funded by the Spanish Research Council (CSIC, grant JAEDOC030) and cofounded by the Fondo Social Europeo (FSO). We would also like to thank Mingxi Yang and Wiley Evans for their thorough and insightful comments during the review process of the manuscript, as it has now greatly improved from the initial version.</t>
  </si>
  <si>
    <t>10.5194/bg-11-2755-2014</t>
  </si>
  <si>
    <t>AJ8IU</t>
  </si>
  <si>
    <t>WOS:000337947500014</t>
  </si>
  <si>
    <t>Xu, SS; Yan, LE; Zhang, X; Wang, C; Feng, G; Li, J</t>
  </si>
  <si>
    <t>Xu, Shanshan; Yan, Lien; Zhang, Xuan; Wang, Chao; Feng, Ge; Li, Jing</t>
  </si>
  <si>
    <t>Nocardiopsis fildesensis sp nov., an actinomycete isolated from soil</t>
  </si>
  <si>
    <t>SALINE SOIL; DNA HYBRIDIZATION; GENUS; MEMBER</t>
  </si>
  <si>
    <t>A filamentous actinomycete strain, designated GW9-2(T), was isolated from a soil sample collected from the Fildes Peninsula, King George Island, West Antarctica. The strain was identified using a polyphasic taxonomic approach. The strain grew slowly on most media tested, producing small amounts of aerial mycelia and no diffusible pigments on most media tested. The strain grew in the presence of 0-12% (w/v) NaCl (optimum, 2-4%), at pH 9.0-11.0 (optimum, pH 9.0) and 10-37 degrees C (optimum, 28 degrees C). The isolate contained meso-diaminopimelic acid, no diagnostic sugars and MK-9(H-4) as the predominant menaquinone. The major phospholipids were phosphatidylglycerol, phosphatidylcholine and phosphatidylmethylethanolamine. The major fatty acids were iso-C-16:0, anteiso-C-17:0, C-18:1 omega 9c, iso-C-15:0 and iso-C-17:0. DNA-DNA relatedness was 37.6 % with Nocardiopsis lucentensis DSM 44048(T), the nearest phylogenetic relative (97.93 % 16S rRNA gene sequence similarity). On the basis of the results of a polyphasic study, a novel species, Nocardiopsis fildesensis sp. nov., is proposed. The type strain is GW9-2(T)(=CGMCC 4.7023(T)=DSM 45699(T)=NRRL B-24873(T)).</t>
  </si>
  <si>
    <t>[Xu, Shanshan; Yan, Lien; Zhang, Xuan; Wang, Chao; Feng, Ge; Li, Jing] Ocean Univ China, Coll Marine Life Sci, Qingdao 266003, Shandong, Peoples R China</t>
  </si>
  <si>
    <t>Li, J (corresponding author), Ocean Univ China, Coll Marine Life Sci, Qingdao 266003, Shandong, Peoples R China.</t>
  </si>
  <si>
    <t>ouclijing@gmail.com</t>
  </si>
  <si>
    <t>National Natural Science Foundation of China [31200009]; Chinese Polar Environment Comprehensive Investigation &amp; Assessment Programmes [CHINARE2013-01-06-06]; Shandong Provincial Science and Technology Development Program [2009GG10002082]; Shandong Provincial Natural Science Foundation [ZR2010CM042]; Chinese Arctic and Antarctic Administration of the State Oceanic Administration</t>
  </si>
  <si>
    <t>National Natural Science Foundation of China(National Natural Science Foundation of China (NSFC)); Chinese Polar Environment Comprehensive Investigation &amp; Assessment Programmes; Shandong Provincial Science and Technology Development Program; Shandong Provincial Natural Science Foundation(Natural Science Foundation of Shandong Province); Chinese Arctic and Antarctic Administration of the State Oceanic Administration</t>
  </si>
  <si>
    <t>This work was supported by the National Natural Science Foundation of China (31200009), the Chinese Polar Environment Comprehensive Investigation &amp; Assessment Programmes (CHINARE2013-01-06-06), the Shandong Provincial Science and Technology Development Program (2009GG10002082) and by the Shandong Provincial Natural Science Foundation (ZR2010CM042). We also thank the Chinese Arctic and Antarctic Administration of the State Oceanic Administration for their support.</t>
  </si>
  <si>
    <t>JAN</t>
  </si>
  <si>
    <t>10.1099/ijs.0.053595-0</t>
  </si>
  <si>
    <t>AJ8CN</t>
  </si>
  <si>
    <t>WOS:000337930400029</t>
  </si>
  <si>
    <t>Young, GC; Long, JA</t>
  </si>
  <si>
    <t>Young, Gavin C.; Long, John A.</t>
  </si>
  <si>
    <t>New arthrodires (placoderm fishes) from the Aztec Siltstone (late Middle Devonian) of southern Victoria Land, Antarctica</t>
  </si>
  <si>
    <t>AUSTRALIAN JOURNAL OF ZOOLOGY</t>
  </si>
  <si>
    <t>SOUTHEASTERN AUSTRALIA; VERTEBRATES; GONDWANA; REMAINS; PERIOD</t>
  </si>
  <si>
    <t>A small collection of arthrodire remains is described from the Devonian Aztec Siltstone of southern Victoria Land, Antarctica. Barwickosteus antarcticus, gen. et sp. nov., is a small phlyctaeniid arthrodire probably closely related to Barrydalaspis from the Bokkeveld Group of South Africa. Grifftaylor antarcticus, gen. et sp. nov., is a generalised phlyctaeniid resembling Phlyctaenius and Neophlyctaenius. New specimens of Boomeraspis show that it had a high-spired trunk-armour with a median dorsal plate of similar proportions to Tiaraspis, Mithakaspis, Turrisaspis or Africanaspis. Other fragmentary median dorsal plates are provisionally referred to Turrisaspis and Mulgaspis. With these new taxa the vertebrate assemblage from the Aztec Siltstone comprises at least 37 genera and 50 species, making it one of the most diverse of Middle Late Devonian age.</t>
  </si>
  <si>
    <t>[Young, Gavin C.] Australian Natl Univ, Res Sch Earth Sci, Canberra, ACT 0200, Australia; [Long, John A.] Flinders Univ S Australia, Sch Biol Sci, Adelaide, SA 5001, Australia</t>
  </si>
  <si>
    <t>Australian National University; Flinders University South Australia</t>
  </si>
  <si>
    <t>Young, GC (corresponding author), Australian Natl Univ, Res Sch Earth Sci, GPO Box 4, Canberra, ACT 0200, Australia.</t>
  </si>
  <si>
    <t>Gavin.Young@anu.edu.au</t>
  </si>
  <si>
    <t>Long, John/0000-0001-8012-0114</t>
  </si>
  <si>
    <t>Trans-Antarctic Association; Alexander von Humboldt Foundation; ASAC [136]; ARC [DP 558499, 772138, 1092870]</t>
  </si>
  <si>
    <t>Trans-Antarctic Association; Alexander von Humboldt Foundation(Alexander von Humboldt Foundation); ASAC; ARC(Australian Research Council)</t>
  </si>
  <si>
    <t>Drs P. J. Barrett and A. Ritchie are thanked for arranging GCY's participation in the 1970-71 VUWAE 15 expedition, when he worked for the Bureau of Mineral Resources (secondment approved by J. N. Casey). Field and logistic support was provided by Scott Base staff, US Navy Squadron VXE-6, and other members of the VUWAE 15 team (R. Askin, P. Barrett, R. Grapes, B. Kohn, J. McPherson, D. Reid, A. Ritchie). GCY acknowledges a Trans-Antarctic Association travel grant to London (May 1988), the Alexander von Humboldt Foundation for a Humboldt Award in Berlin (2000-03), and advice from Professor H.-P. Schultze and Dr M. Otto on Tiaraspis. R. J. Tingey (formerly BMR) and Dr R. E. Barwick gave information on early Antarctic exploration and fossil fish discoveries, and J. Burnett provided images of the letter to C. S. Wright in Griffith Taylor's papers in the National Library of Australia. Dr A. Ritchie (formerly Australian Museum) provided unpublished information on Antarctic Groenlandaspis; Dr Yong Yi Zhen lent specimens in the Australian Museum collection. Ben Young is thanked for preparation and photography of Antarctic specimens. JAL acknowledges financial support for Antarctic fieldwork in 1991-92 through ASAC Grant 136, and assistance in the field from colleagues Drs Margaret Bradshaw, Fraka Harmsen and Brian Staite. This research was a contribution to IGCP Projects 328, 406, 410, and 491, and supported by ARC Discovery Grants DP 558499, 772138, and 1092870. Finally, we acknowledge the artistic inspiration of the late Richard Barwick, from his legendary coloured chalk diagrams for teaching first-year Zoology classes to the exquisite shaded pencil representations of fossil bones (a weak imitation of which was employed for this paper).</t>
  </si>
  <si>
    <t>0004-959X</t>
  </si>
  <si>
    <t>1446-5698</t>
  </si>
  <si>
    <t>AUST J ZOOL</t>
  </si>
  <si>
    <t>Aust. J. Zool.</t>
  </si>
  <si>
    <t>10.1071/ZO13070</t>
  </si>
  <si>
    <t>AJ4QP</t>
  </si>
  <si>
    <t>WOS:000337661200005</t>
  </si>
  <si>
    <t>Chiale, MC; Fernández, PE; Gimeno, EJ; Barbeito, C; Montalti, D</t>
  </si>
  <si>
    <t>Cecilia Chiale, Maria; Fernandez, Patricia E.; Gimeno, Eduardo J.; Barbeito, Claudio; Montalti, Diego</t>
  </si>
  <si>
    <t>Morphology and histology of the uropygial gland in Antarctic birds: relationship with their contact with the aquatic environment?</t>
  </si>
  <si>
    <t>avian gland; preen gland; seabird</t>
  </si>
  <si>
    <t>COLUMBA-LIVIA; EUROPEAN BIRDS; FEATHER MITES; SECRETION; SIZE; BROWN</t>
  </si>
  <si>
    <t>The uropygial gland is morphologically different in diverse bird species. This gland was macroscopically and microscopically examined in penguins, storm petrels and skuas. In all the studied species, the gland showed a connective tissue capsule and one papilla. A negative relationship was observed between the relative glandular mass and the body mass, being highest in petrels (small glands) and lowest in penguins (large glands). Birds that spend much time in water (penguins) have gland characteristics related to a continuous, but not stored, secretion, such as straight adenomers, the presence of abundant elastic fibres in the connective tissue and the absence of a primary storage chamber. Instead, birds that have less contact with water (storm petrels) have a gland with much more tortuous adenomers and a small primary storage chamber. The secretory cells showed a positive PAS reaction in all the glandular zones. Therefore, no differences could be seen between the sebaceous and glucogenic zones, as proposed in other birds. These results allow the conclusion that, in aquatic birds, there is no connection between the relative mass of the uropygial gland and the time in contact with water, though the differences found in the histological structure could be related to a different contact with the aquatic environment.</t>
  </si>
  <si>
    <t>[Cecilia Chiale, Maria; Montalti, Diego] Univ Nacl La Plata, Fac Ciencias Nat &amp; Museo, Div Zool Vertebrados, La Plata, Buenos Aires, Argentina; [Cecilia Chiale, Maria; Gimeno, Eduardo J.; Barbeito, Claudio; Montalti, Diego] Consejo Nacl Invest Cient &amp; Tecn, RA-1033 Buenos Aires, DF, Argentina; [Fernandez, Patricia E.; Gimeno, Eduardo J.; Barbeito, Claudio] Univ Nacl La Plata, Fac Ciencias Vet, Catedra Patol Gen, La Plata, Buenos Aires, Argentina; [Barbeito, Claudio] Univ Nacl La Plata, Fac Ciencias Vet, Catedra Histol &amp; Embriol, La Plata, Buenos Aires, Argentina</t>
  </si>
  <si>
    <t>National University of La Plata; Museo La Plata; Consejo Nacional de Investigaciones Cientificas y Tecnicas (CONICET); National University of La Plata; National University of La Plata</t>
  </si>
  <si>
    <t>Montalti, D (corresponding author), Univ Nacl La Plata, Fac Ciencias Nat &amp; Museo, Div Zool Vertebrados, Paseo Bosque S-N,B1900FWA, La Plata, Buenos Aires, Argentina.</t>
  </si>
  <si>
    <t>dmontalti@fcnym.unlp.edu.ar</t>
  </si>
  <si>
    <t>Barbeito, Claudio/AAM-5227-2020</t>
  </si>
  <si>
    <t>Barbeito, Claudio/0000-0001-9459-138X</t>
  </si>
  <si>
    <t>Universidad Nacional de La Plata, Argentina [11/V191, 11/N583]</t>
  </si>
  <si>
    <t>Universidad Nacional de La Plata, Argentina(National University of La Plata)</t>
  </si>
  <si>
    <t>The authors thank Mr Ruben C. Mario for his skilled technical assistance. This work was partially supported by grants 11/V191 and 11/N583 from Universidad Nacional de La Plata, Argentina.</t>
  </si>
  <si>
    <t>10.1071/ZO13103</t>
  </si>
  <si>
    <t>AJ5NW</t>
  </si>
  <si>
    <t>WOS:000337732200003</t>
  </si>
  <si>
    <t>Pote, S; Bhadekar, R</t>
  </si>
  <si>
    <t>Pote, Swanandi; Bhadekar, Rama</t>
  </si>
  <si>
    <t>Statistical Approach for Production of PUFA from Kocuria sp BRI 35 Isolated from Marine Water Sample</t>
  </si>
  <si>
    <t>BIOMED RESEARCH INTERNATIONAL</t>
  </si>
  <si>
    <t>POLYUNSATURATED FATTY-ACIDS; EICOSAPENTAENOIC ACID; SP-NOV.; SCHIZOCHYTRIUM SP; OPTIMIZATION; GROWTH</t>
  </si>
  <si>
    <t>In this study, Plackett-Burman design was used to identify the most influential parameters affecting PUFA production by Kocuria sp. BRI 35 isolated from Antarctic water sample. Amongst 10 variables evaluated, magnesium chloride, protease peptone, glucose, and temperature were significant. Response surface methodology consisting of a central composite design was developed to study the interactions between the variables and to determine optimal values of significant variables. A quadratic model (R = 0.9652, F = 14.64, P &lt; 0.0001) was built. The contour plots indicated that the isolate produced maximum PUFA at lower concentrations of magnesium sulfate (0.9 g/L) and higher concentrations of protease peptone (5 g/L) and glucose (10 g/L) at 15 C. MgSO4 and glucose exhibited quadratic as well as interactive effect on PUFA production whereas protease peptone and temperature showed interactive effects only. After optimization, PUFA production per unit biomass increased from 0.94mg/g to 11.12mg/g. This represented an increase from 3% to 58.62% of the total fatty acids. Among PUFAs, the yield of omega-6 fatty acids increased from 9.66mg/L to 107.71mg/L with significant increase in linoleic acid (20.36mg/L) whereas omega-3 fatty acids increased up to 12.37mg/L with DHA being the major omega-3 fatty acid produced.</t>
  </si>
  <si>
    <t>[Pote, Swanandi; Bhadekar, Rama] Bharati Vidyapeeth Deemed Univ, Rajiv Gandhi Inst IT &amp; Biotechnol, Dept Microbial Biotechnol, Pune 411046, Maharashtra, India</t>
  </si>
  <si>
    <t>Bharati Vidyapeeth Deemed University</t>
  </si>
  <si>
    <t>Bhadekar, R (corresponding author), Bharati Vidyapeeth Deemed Univ, Rajiv Gandhi Inst IT &amp; Biotechnol, Dept Microbial Biotechnol, Pune 411046, Maharashtra, India.</t>
  </si>
  <si>
    <t>neeta.bhadekar@gmail.com</t>
  </si>
  <si>
    <t>Pote, Swanandi/AAC-2161-2019; Bhadekar, Rama/GPC-4358-2022</t>
  </si>
  <si>
    <t>Pote, Swanandi/0000-0001-7593-3444;</t>
  </si>
  <si>
    <t>Department of Science and Technology (DST), Government of India</t>
  </si>
  <si>
    <t>Department of Science and Technology (DST), Government of India(Department of Science &amp; Technology (India))</t>
  </si>
  <si>
    <t>Financial support from the Department of Science and Technology (DST), Government of India, is gratefully acknowledged. The authors are also thankful to Dr. N. N. Nawani (Dr. D. Y. Patil Biotechnology and Bioinformatics Institute, Pune, India) for useful discussions.</t>
  </si>
  <si>
    <t>2314-6133</t>
  </si>
  <si>
    <t>2314-6141</t>
  </si>
  <si>
    <t>BIOMED RES INT</t>
  </si>
  <si>
    <t>Biomed Res. Int.</t>
  </si>
  <si>
    <t>10.1155/2014/570925</t>
  </si>
  <si>
    <t>Biotechnology &amp; Applied Microbiology; Medicine, Research &amp; Experimental</t>
  </si>
  <si>
    <t>Biotechnology &amp; Applied Microbiology; Research &amp; Experimental Medicine</t>
  </si>
  <si>
    <t>AJ2HH</t>
  </si>
  <si>
    <t>WOS:000337475900001</t>
  </si>
  <si>
    <t>Jones, MGW; Ryan, PG</t>
  </si>
  <si>
    <t>Jones, M. Genevieve W.; Ryan, Peter G.</t>
  </si>
  <si>
    <t>Effects of pre-laying attendance and body condition on long-term reproductive success in Wandering Albatrosses</t>
  </si>
  <si>
    <t>EMU-AUSTRAL ORNITHOLOGY</t>
  </si>
  <si>
    <t>BASAL METABOLIC-RATE; EXTRAPAIR PATERNITY; INDIVIDUAL QUALITY; DIOMEDEA-EXULANS; BREEDING SUCCESS; EXPERIENCE; AGE; PERFORMANCE; PATTERNS; BIRDS</t>
  </si>
  <si>
    <t>To conserve threatened species it is important to protect the most productive individuals in the population, yet there is little information on the characteristics that distinguish such individuals. Among experienced Wandering Albatrosses (Diomedea exulans), we show that current breeding performance is correlated with previous breeding success. By comparing birds with unproductive and productive breeding histories, we test whether we can differentiate more and less successful breeders based on body condition, arrival date and attendance at the colony during the pre-laying period. Males in pairs with successful reproductive histories were present in the colony for longer than unsuccessful males. Productive females spent more days with their mates, suggesting that time spent with partners may be indicative of long-term reproductive success. Overall, birds that bred in a given season arrived earlier and spent more time at the colony than those that deferred breeding. Individuals with better body condition arrived earlier and spent more time at the colony. Body condition was independent of year and may indirectly affect the capacity to breed through its influence on arrival date and pre-laying attendance. Body condition and pre-laying attendance (and indirectly climate and food availability), may influence reproductive success, differentiating more and less successful breeders.</t>
  </si>
  <si>
    <t>[Jones, M. Genevieve W.; Ryan, Peter G.] Univ Cape Town, DST NRF Ctr Excellence, Percy FitzPatrick Inst African Ornithol, ZA-7701 Rondebosch, South Africa</t>
  </si>
  <si>
    <t>Jones, MGW (corresponding author), Univ Cape Town, DST NRF Ctr Excellence, Percy FitzPatrick Inst African Ornithol, Private Bag X3, ZA-7701 Rondebosch, South Africa.</t>
  </si>
  <si>
    <t>mgenevievewjones@gmail.com</t>
  </si>
  <si>
    <t>Department of Science and Technology/National Research Foundation Centre of Excellence at the Percy FitzPatrick Institute of African Ornithology; South African National Antarctic Programme (through the National Research Foundation)</t>
  </si>
  <si>
    <t>Department of Science and Technology/National Research Foundation Centre of Excellence at the Percy FitzPatrick Institute of African Ornithology(Department of Science &amp; Technology (India)); South African National Antarctic Programme (through the National Research Foundation)</t>
  </si>
  <si>
    <t>We thank Quentin Hagens, Henk Louw, Edith Mertz and Paul Visser for extensive assistance with data collection, and the reviewers for their detailed comments on drafts of the manuscript. This paper depended upon data from long-term monitoring of Wandering Albatross on Marion Island that was initiated by John Cooper and built upon by many ornithological field workers on Marion Island. Genetic sexing was performed by Mareile Techow and the DNA Sequencing Unit, Central Analytical Facility, Stellenbosch University. Financial and logistical support was provided by the Department of Science and Technology/National Research Foundation Centre of Excellence at the Percy FitzPatrick Institute of African Ornithology and the South African National Antarctic Programme (through the National Research Foundation).</t>
  </si>
  <si>
    <t>TAYLOR &amp; FRANCIS AUSTRALIA</t>
  </si>
  <si>
    <t>LEVEL 2, 11 QUEENS RD, MELBOURNE, VIC 3004, AUSTRALIA</t>
  </si>
  <si>
    <t>10.1071/MU12054</t>
  </si>
  <si>
    <t>AJ5LD</t>
  </si>
  <si>
    <t>WOS:000337723100007</t>
  </si>
  <si>
    <t>Hassler, CS; Ridgway, KR; Bowie, AR; Butler, ECV; Clementson, LA; Doblin, MA; Davies, DM; Law, C; Ralph, PJ; van der Merwe, P; Watson, R; Ellwood, MJ</t>
  </si>
  <si>
    <t>Hassler, C. S.; Ridgway, K. R.; Bowie, A. R.; Butler, E. C. V.; Clementson, L. A.; Doblin, M. A.; Davies, D. M.; Law, C.; Ralph, P. J.; van der Merwe, P.; Watson, R.; Ellwood, M. J.</t>
  </si>
  <si>
    <t>Primary productivity induced by iron and nitrogen in the Tasman Sea: an overview of the PINTS expedition</t>
  </si>
  <si>
    <t>MARINE AND FRESHWATER RESEARCH</t>
  </si>
  <si>
    <t>algae; bioavailability; limitation; nutrients; subantarctic zone</t>
  </si>
  <si>
    <t>FRONTAL ZONES SOUTH; EAST AUSTRALIAN CURRENT; SUB-ANTARCTIC ZONE; TRACE-METALS; PHOSPHORUS RATIO; ELEMENTAL COMPOSITION; COMMUNITY STRUCTURE; CARBON-DIOXIDE; WATER MASSES; PHYTOPLANKTON</t>
  </si>
  <si>
    <t>The Tasman Sea and the adjacent subantarctic zone (SAZ) are economically important regions, where the parameters controlling the phytoplankton community composition and carbon fixation are not yet fully resolved. Contrasting nutrient distributions, as well as phytoplankton biomass, biodiversity and productivity were observed between the North Tasman Sea and the SAZ. In situ photosynthetic efficiency (FV/FM), dissolved and particulate nutrients, iron biological uptake, and nitrogen and carbon fixation were used to determine the factor-limiting phytoplankton growth and productivity in the North Tasman Sea and the SAZ. Highly productive cyanobacteria dominated the North Tasman Sea. High atmospheric nitrogen fixation and low nitrate dissolved concentrations indicated that non-diazotroph phytoplankton are nitrogen limited. Deck-board incubations also suggested that, at depth, iron could limit eukaryotes, but not cyanobacteria in that region. In the SAZ, the phytoplankton community was dominated by a bloom of haptophytes. The low productivity in the SAZ was mainly explained by light limitation, but nitrogen, silicic acid as well as iron were all depleted to the extent that they could become co-limiting. This study illustrates the challenge associated with identification of the limiting nutrient, as it varied between phytoplankton groups, depths and sites.</t>
  </si>
  <si>
    <t>[Hassler, C. S.; Doblin, M. A.; Ralph, P. J.] Univ Technol Sydney, Plant Funct Biol &amp; Climate Change Cluster, Broadway, NSW 2007, Australia; [Hassler, C. S.; Ridgway, K. R.; Butler, E. C. V.; Clementson, L. A.; Watson, R.] CSIRO Wealth Oceans Res Flagship, Hobart, Tas 7000, Australia; [Hassler, C. S.; Ridgway, K. R.; Butler, E. C. V.; Clementson, L. A.; Watson, R.] CSIRO Marine &amp; Atmospher Res, Hobart, Tas 7000, Australia; [Hassler, C. S.] Univ Geneva, Inst FA Forel, CH-1290 Versoix, Switzerland; [Bowie, A. R.; Davies, D. M.; van der Merwe, P.] Univ Tasmania, Antarctic Climate &amp; Ecosyst Cooperat Res Ctr, Hobart, Tas 7001, Australia; [Bowie, A. R.] Univ Tasmania, Inst Marine &amp; Antarctic Studies, Hobart, Tas 7001, Australia; [Law, C.] Natl Inst Water &amp; Atmospher Res NIWA, Wellington 6022, New Zealand; [Ellwood, M. J.] Australian Natl Univ, Res Sch Earth Sci, Canberra, ACT 0200, Australia</t>
  </si>
  <si>
    <t>University of Technology Sydney; Commonwealth Scientific &amp; Industrial Research Organisation (CSIRO); Commonwealth Scientific &amp; Industrial Research Organisation (CSIRO); University of Geneva; University of Tasmania; Antarctic Climate &amp; Ecosystems Cooperative Research Centre (ACE CRC); University of Tasmania; National Institute of Water &amp; Atmospheric Research (NIWA) - New Zealand; Australian National University</t>
  </si>
  <si>
    <t>Hassler, CS (corresponding author), Univ Technol Sydney, Plant Funct Biol &amp; Climate Change Cluster, POB 123, Broadway, NSW 2007, Australia.</t>
  </si>
  <si>
    <t>Christel.Hassler@unige.ch</t>
  </si>
  <si>
    <t>Watson, Reg A/F-4850-2012; Clementson, Lesley A/M-6905-2013; Ralph, Peter/L-1527-2019; Doblin, Martina/L-1804-2019; Ellwood, Michael J/G-7390-2011; Watson, Roslyn J./JVN-9055-2024; Ridgway, Ken/AAA-4040-2019; van der Merwe, Pier/C-9210-2015; Bowie, Andrew/C-8677-2013</t>
  </si>
  <si>
    <t>Watson, Reg A/0000-0001-7201-8865; Ralph, Peter/0000-0002-3103-7346; Doblin, Martina/0000-0001-8750-3433; Law, Cliff/0000-0002-7669-2475; van der Merwe, Pier/0000-0002-7428-8030; Butler, Edward/0000-0002-6660-3985; Davies, Diana M./0000-0001-6304-3938; Ellwood, Michael/0000-0003-4288-8530; Clementson, Lesley/0000-0003-4415-993X; Hassler, Christel/0000-0002-8976-5469; Ridgway, Ken/0000-0002-5861-1360; Bowie, Andrew/0000-0002-5144-7799</t>
  </si>
  <si>
    <t>Australian Government Cooperative Research Centres Program through the Antarctic Climate and Ecosystems CRC (ACE CRC); Australian Research Council [1092892, 110100108]; Australian Marine National Facility; UTS Chancellor's Fellowship; NZ Ministry of Primary Industries</t>
  </si>
  <si>
    <t>Australian Government Cooperative Research Centres Program through the Antarctic Climate and Ecosystems CRC (ACE CRC)(Australian GovernmentDepartment of Industry, Innovation and ScienceCooperative Research Centres (CRC) Programme); Australian Research Council(Australian Research Council); Australian Marine National Facility; UTS Chancellor's Fellowship; NZ Ministry of Primary Industries</t>
  </si>
  <si>
    <t>This research was supported by the Australian Government Cooperative Research Centres Program through the Antarctic Climate and Ecosystems CRC (ACE CRC), the Australian Research Council (Discovery Projects 1092892 and 110100108), and the Australian Marine National Facility. Hassler was supported by a UTS Chancellor's Fellowship. Law acknowledges funding support from the NZ Ministry of Primary Industries. We are grateful to the captain and crew of the RV Southern Surveyor; Don McKenzie, Claire Thompson, Gabriel Shaw, Robert van Hale, Mark Baird and Eike Breitbarth for their assistance at sea; Tom Trull and Thomas Rodemann for analysis of POC and PON and comments on previous versions; and Malcom Woodward for the determination of NOx at nanomolar level at P1; Hiski Kippo, Karl Forcey, Alicia Navidad and Sue Reynolds for the determination of macronutrients and other hydrological parameters at sea and calibration of the CTD sensors.</t>
  </si>
  <si>
    <t>1323-1650</t>
  </si>
  <si>
    <t>1448-6059</t>
  </si>
  <si>
    <t>MAR FRESHWATER RES</t>
  </si>
  <si>
    <t>Mar. Freshw. Res.</t>
  </si>
  <si>
    <t>10.1071/MF13137</t>
  </si>
  <si>
    <t>Fisheries; Limnology; Marine &amp; Freshwater Biology; Oceanography</t>
  </si>
  <si>
    <t>AJ5LN</t>
  </si>
  <si>
    <t>WOS:000337724200005</t>
  </si>
  <si>
    <t>Dolan, MFJ; Lucieer, VL</t>
  </si>
  <si>
    <t>Dolan, Margaret F. J.; Lucieer, Vanessa L.</t>
  </si>
  <si>
    <t>Variation and Uncertainty in Bathymetric Slope Calculations Using Geographic Information Systems</t>
  </si>
  <si>
    <t>MARINE GEODESY</t>
  </si>
  <si>
    <t>Slope; bathymetry; GIS; multibeam; terrain model; MAREANO</t>
  </si>
  <si>
    <t>ERROR PROPAGATION; CLASSIFICATION; RESOLUTION; HABITAT; SIZE; TROMS; SCALE</t>
  </si>
  <si>
    <t>Bathymetry data from multibeam echosounders and other acoustic sources are now widely available in the form of digital terrain models, which are conveniently displayed as raster grids in desktop geographic information systems. Calculation of terrain variables such as slope is a simple push-button operation in most geographic information systems; however, as we demonstrate here, there can be a great variation in the slope values obtained due to computation algorithms and resolution or analysis scale. This article also demonstrates how Monte Carlo simulation can be used to visualise uncertainty in the underlying bathymetry dataset and also how this uncertainty impacts on slope calculations.</t>
  </si>
  <si>
    <t>[Dolan, Margaret F. J.] Geol Survey Norway, N-7491 Trondheim, Norway; [Lucieer, Vanessa L.] Univ Tasmania, Inst Marine &amp; Antarctic Studies, Hobart, Tas 7001, Australia</t>
  </si>
  <si>
    <t>Geological Survey of Norway; University of Tasmania</t>
  </si>
  <si>
    <t>Dolan, MFJ (corresponding author), Geol Survey Norway, Postboks 6315, N-7491 Trondheim, Norway.</t>
  </si>
  <si>
    <t>margaret.dolan@ngu.no</t>
  </si>
  <si>
    <t>Dolan, Margaret/AAC-3875-2019; Lucieer, Vanessa/D-1697-2009</t>
  </si>
  <si>
    <t>Dolan, Margaret/0000-0003-4405-9277; Lucieer, Vanessa/0000-0001-7531-5750</t>
  </si>
  <si>
    <t>Ministry of Fisheries and Coastal Affairs; Ministry of Environment; Ministry of Trade and Industry; Marine Biodiversity Hub through the Australian Government's National Environmental Research Program (NERP); Institute for Marine and Antarctic Studies, University of Tasmania; CSIRO; Geoscience Australia; Australian Institute of Marine Science; Museum Victoria; Charles Darwin University; University of Western Australia</t>
  </si>
  <si>
    <t>Ministry of Fisheries and Coastal Affairs; Ministry of Environment(Ministry of Environment (ME), Republic of Korea); Ministry of Trade and Industry; Marine Biodiversity Hub through the Australian Government's National Environmental Research Program (NERP)(Australian Government); Institute for Marine and Antarctic Studies, University of Tasmania; CSIRO(Commonwealth Scientific &amp; Industrial Research Organisation (CSIRO)); Geoscience Australia; Australian Institute of Marine Science; Museum Victoria; Charles Darwin University; University of Western Australia</t>
  </si>
  <si>
    <t>MAREANO is financed by the Ministry of Fisheries and Coastal Affairs, the Ministry of Environment and the Ministry of Trade and Industry. Researcher Vanessa Lucieer was supported by the Marine Biodiversity Hub through the Australian Government's National Environmental Research Program (NERP). NERP Marine Biodiversity Hub partners include the Institute for Marine and Antarctic Studies, University of Tasmania; CSIRO, Geoscience Australia, Australian Institute of Marine Science, Museum Victoria, Charles Darwin University and the University of Western Australia.</t>
  </si>
  <si>
    <t>TAYLOR &amp; FRANCIS INC</t>
  </si>
  <si>
    <t>PHILADELPHIA</t>
  </si>
  <si>
    <t>530 WALNUT STREET, STE 850, PHILADELPHIA, PA 19106 USA</t>
  </si>
  <si>
    <t>0149-0419</t>
  </si>
  <si>
    <t>1521-060X</t>
  </si>
  <si>
    <t>MAR GEOD</t>
  </si>
  <si>
    <t>Mar. Geod.</t>
  </si>
  <si>
    <t>10.1080/01490419.2014.902888</t>
  </si>
  <si>
    <t>Geochemistry &amp; Geophysics; Oceanography; Remote Sensing</t>
  </si>
  <si>
    <t>AJ4AE</t>
  </si>
  <si>
    <t>WOS:000337610400006</t>
  </si>
  <si>
    <t>Adams, BJ; Wall, DH; Virginia, RA; Broos, E; Knox, MA</t>
  </si>
  <si>
    <t>Adams, Byron J.; Wall, Diana H.; Virginia, Ross A.; Broos, Emma; Knox, Matthew A.</t>
  </si>
  <si>
    <t>Ecological Biogeography of the Terrestrial Nematodes of Victoria Land,Antarctica</t>
  </si>
  <si>
    <t>Biodiversity; dispersal; climate change; Eudorylaimus; freeliving nematodes; Geomonhystera; habitat suitability; invasive species; Panagrolaimus; Plectus; Scottnema; soil</t>
  </si>
  <si>
    <t>MCMURDO DRY VALLEYS; DRONNING-MAUD-LAND; SCOTTNEMA-LINDSAYAE TIMM; TAYLOR VALLEY; ANTARCTIC SOIL; COMMUNITY STRUCTURE; ROSS ISLAND; ORNITHOGENIC SOILS; ORGANIC-MATTER; CARBON-DIOXIDE</t>
  </si>
  <si>
    <t>The terrestrial ecosystems of Victoria Land, Antarctica are characteristically simple in terms of biological diversity and ecological functioning. Nematodes are the most commonly encountered and abundant metazoans of Victoria Land soils, yet little is known of their diversity and distribution. Herein we present a summary of the geographic distribution, habitats and ecology of the terrestrial nematodes of Victoria Land from published and unpublished sources. All Victoria Land nematodes are endemic to Antarctica, and many are common and widely distributed at landscape scales. However, at smaller spatial scales, populations can have patchy distributions, with the presence or absence of each species strongly influenced by specific habitat requirements. As the frequency of nematode introductions to Antarctica increases, and soil habitats are altered in response to climate change, our current understanding of the environmental parameters associated with the biogeography of Antarctic nematofauna will be crucial to monitoring and possibly mitigating changes to these unique soil ecosystems.</t>
  </si>
  <si>
    <t>[Adams, Byron J.] Brigham Young Univ, Dept Biol, Provo, UT 84602 USA; [Adams, Byron J.] Brigham Young Univ, Evolutionary Ecol Labs, Provo, UT 84602 USA; [Wall, Diana H.; Knox, Matthew A.] Colorado State Univ, Dept Biol, Ft Collins, CO 80523 USA; [Wall, Diana H.; Broos, Emma; Knox, Matthew A.] Colorado State Univ, Nat Resource Ecol Lab, Ft Collins, CO 80523 USA; [Virginia, Ross A.] Dartmouth Coll, Environm Studies Program, Hanover, NH 03755 USA</t>
  </si>
  <si>
    <t>Brigham Young University; Brigham Young University; Colorado State University; Colorado State University; Dartmouth College</t>
  </si>
  <si>
    <t>Adams, BJ (corresponding author), Brigham Young Univ, Dept Biol, Provo, UT 84602 USA.</t>
  </si>
  <si>
    <t>bjadams@byu.edu</t>
  </si>
  <si>
    <t>Knox, Matt/ABB-6073-2020; Wall, Diana H/F-5491-2011; Adams, Byron/C-3808-2009</t>
  </si>
  <si>
    <t>Adams, Byron/0000-0002-7815-3352</t>
  </si>
  <si>
    <t>National Science Foundation [DPP 88-18049, DPP 89-14655, OPP 9120123, OPP 9421025]; McMurdo Long Term Ecological Research program [OPP 9211773, OPP 9810219]; Office of Polar Programs (OPP); Directorate For Geosciences [1115245] Funding Source: National Science Foundation</t>
  </si>
  <si>
    <t>National Science Foundation(National Science Foundation (NSF)); McMurdo Long Term Ecological Research program; Office of Polar Programs (OPP); Directorate For Geosciences(National Science Foundation (NSF)NSF - Directorate for Geosciences (GEO))</t>
  </si>
  <si>
    <t>We thank Rich Alward, Jackie Aislabie, Megan Balks, Jeb Barrett, Yvonne Baskin, Steve Blecker, Pella Brinkman, Dan Bumbarger, Melody Burkins, Iain Campbell, Katie Catapano, C. Page Chamberlain, Tom Cioppa, Ericha Courtright, Nicole DeCrappeo, Joel Feldman, John Freckman, Jerry Garcia, Ian Hawes, Mengchi Ho, David Hopkins, Mary Kratz, Ed Kuhn, Kevin Levine, Elizabeth Marlies, Jen Mercer, Johnson Nkem, Phil Novis, Andy Parsons, Mike Poage, Dorota Porazinska, Laura Powers, Rusty Rodriguez, Jim Schulz, Rebekka Stucker, Amy Treonis, Lewis White, Roger Worland, and David Wynn-Williams for help collecting and processing soil samples. Ethan Adams, Eric Sokol and Ian Hogg helped process the Cuticularia fermata sample, which was collected as part of the NZ TABS project (http://nztabs.ictar.aq). This work could not have been completed without the dedicated, expert helicopter support provided by personnel of the US Coast Guard, US Navy VXE-6, Petroleum Helicopters Inc., and logistic and science support by ITT, Antarctic Support Associates, and Raytheon Polar Services. Brad Herried and Paul Morin of the Polar Geospatial Center (http://www.pgc.umn.edu) helped generate Figure 1. We very much appreciate the thoughtful, constructive criticisms of three anonymous reviewers. This research was supported by National Science Foundation Grants DPP 88-18049 and DPP 89-14655, OPP 9120123, OPP 9421025, and the McMurdo Long Term Ecological Research program (OPP 9211773, OPP 9810219).</t>
  </si>
  <si>
    <t>PENSOFT PUBLISHERS</t>
  </si>
  <si>
    <t>10.3897/zookeys.419.7180</t>
  </si>
  <si>
    <t>AJ5XF</t>
  </si>
  <si>
    <t>WOS:000337762900002</t>
  </si>
  <si>
    <t>Rohm, W; Zhang, K; Bosy, J</t>
  </si>
  <si>
    <t>Rohm, W.; Zhang, K.; Bosy, J.</t>
  </si>
  <si>
    <t>Limited constraint, robust Kalman filtering for GNSS troposphere tomography</t>
  </si>
  <si>
    <t>ATMOSPHERE DELAY; GROUND GNSS; MODEL</t>
  </si>
  <si>
    <t>The mesoscale variability of water vapour (WV) in the troposphere is a highly complex phenomenon and modelling and monitoring the WV distribution is a very important but challenging task. Any observation technique that can reliably provide WV distribution is essential for both monitoring and predicting weather. The global navigation satellite system (GNSS) tomography technique is a powerful tool that builds upon the critical ground-based GNSS infrastructure (e.g. Continuous Operating Reference Station - CORS - networks) that can be used to sense the amount of WV. Previous research shows that the 3-D WV field from GNSS tomography has an uncertainty of 1 hPa. However, all the models used in GNSS tomography heavily rely on a priori information and constraints from non-GNSS measurements. In this study, 3-D GNSS tomography models are investigated based on a limited constrained approach - i.e. horizontal and vertical correlations between voxels were not introduced, instead various a priori information were added into the system. A case study is designed and the results show that proposed solutions are feasible by using a robust Kalman filtering technique and effective removal of linearly dependent observations and parameters. Discrepancies between reference wet refractivity data derived from the Australian Numerical Weather Prediction (NWP) model (ACCESS) and the GNSS tomography model using both simulated and real data are 4.2 ppm (mm km(-1)) and 6.2 ppm (mm km(-1)), respectively, which are essentially in the same order of accuracy.</t>
  </si>
  <si>
    <t>[Rohm, W.; Bosy, J.] Wroclaw Univ Environm &amp; Life Sci, Inst Geodesy &amp; Geoinformat, Wroclaw, Poland; [Rohm, W.; Zhang, K.] RMIT Univ, SPACE Res Ctr, Melbourne, Vic, Australia</t>
  </si>
  <si>
    <t>Wroclaw University of Environmental &amp; Life Sciences; Institute of Geodesy &amp; Cartography; Melbourne Genomics Health Alliance; Royal Melbourne Institute of Technology (RMIT)</t>
  </si>
  <si>
    <t>Rohm, W (corresponding author), Wroclaw Univ Environm &amp; Life Sci, Inst Geodesy &amp; Geoinformat, Wroclaw, Poland.</t>
  </si>
  <si>
    <t>witold.rohm@up.wroc.pl</t>
  </si>
  <si>
    <t>Zhang, Kefei/R-5239-2019; Rohm, Witold/E-6233-2013; Rohm, Witold/AAV-1648-2020; Bosy, Jaroslaw/ABC-2988-2021; zhang, ke/AAH-8217-2019</t>
  </si>
  <si>
    <t>Rohm, Witold/0000-0002-2082-6366; Rohm, Witold/0000-0002-2082-6366; Bosy, Jaroslaw/0000-0002-7004-6747; Zhang, Kefei/0000-0001-9376-1148</t>
  </si>
  <si>
    <t>Australian Space Research Program (ASRP2); Australian Research Council (ARC) [LP0883288]; Australian Antarctic Scheme - Australian Federal Government [4159]; Polish Ministry of Science and Higher Education [NN526 197238]; Australian Research Council [LP0883288] Funding Source: Australian Research Council</t>
  </si>
  <si>
    <t>Australian Space Research Program (ASRP2); Australian Research Council (ARC)(Australian Research Council); Australian Antarctic Scheme - Australian Federal Government; Polish Ministry of Science and Higher Education(Ministry of Science and Higher Education, Poland); Australian Research Council(Australian Research Council)</t>
  </si>
  <si>
    <t>This project is supported by the Australian Space Research Program (ASRP2), the Australian Research Council (ARC) Linkage (LP0883288) and the Australian Antarctic Scheme (4159) projects funded by the Australian Federal Government and the Polish Ministry of Science and Higher Education: research project No. NN526 197238. We also thank the Australian Bureau of Meteorology for providing the NWP data, and, the Department of Sustainability and Environment for providing the GPSnet data. The authors would like to express their gratitude to Brett Carter for enhancing the language of this paper. Special thanks to Sue Lynn Choy and Yuriy Kuleshov for their valuable comments and discussions.</t>
  </si>
  <si>
    <t>10.5194/amt-7-1475-2014</t>
  </si>
  <si>
    <t>AI3DW</t>
  </si>
  <si>
    <t>WOS:000336740700020</t>
  </si>
  <si>
    <t>Otero, RA; Soto-Acuña, S; O'Keefe, FR; O'Gorman, JP; Stinnesbeck, W; Suárez, ME; Rubilar-Rogers, D; Salazar, C; Quinzio-Sinn, LA</t>
  </si>
  <si>
    <t>Otero, Rodrigo A.; Soto-Acuna, Sergio; Robin O'Keefe, Frank; O'Gorman, Jose P.; Stinnesbeck, Wolfgang; Suarez, Mario E.; Rubilar-Rogers, David; Salazar, Christian; Arturo Quinzio-Sinn, Luis</t>
  </si>
  <si>
    <t>ARISTONECTES QUIRIQUINENSIS, SP NOV., A NEW HIGHLY DERIVED ELASMOSAURID FROM THE UPPER MAASTRICHTIAN OF CENTRAL CHILE</t>
  </si>
  <si>
    <t>JOURNAL OF VERTEBRATE PALEONTOLOGY</t>
  </si>
  <si>
    <t>PLESIOSAUR TATENECTES-LARAMIENSIS; NEW-ZEALAND; SAUROPTERYGIA; REPTILIA; PLIOSAURIDAE; EVOLUTION; OSTEOLOGY; AMMONITES; SKELETON; AMERICA</t>
  </si>
  <si>
    <t>This paper describes a new species of elasmosaurid plesiosaur, Aristonectes quiriquinensis, sp. nov., based on a partial skeleton recovered from upper Maastrichtian beds of the Quiriquina Formation of central Chile. The material described here consists of two skeletons, one collected near the village of Cocholgue, and a second juvenile specimen from Quiriquina Island. Prior to these finds, Aristonectes was viewed as a monospecific genus, including only the enigmatic Aristonectes parvidens, the holotype of which consists of an incomplete skull and incomplete postcranium. Other material referred to the genus includes an incomplete juvenile skull and other postcranial material from the upper Maastrichtian of Antarctica, as well as a partial skull from the Quiriquina Formation of central Chile. The relationships of Aristonectes have been controversial, with competing theories assigning the genus to Cryptoclididae, Elasmosauridae, and Aristonectidae; however, there is a developing consensus that Aristonectes is a derived elasmosaurid, and this paper gives strong evidence for this view. Comparison of the specimen here studied with the holotype of A. parvidens demonstrates that A. quiriquinensis is a distinct species. The completeness of the adult skeleton allows the first confident size estimates for adult Aristonectes. It is a large plesiosaurian with a relatively large skull with numerous homodont teeth, a moderately long and laterally compressed neck, and relatively narrow trunk, with slender and elongate forelimbs. The two specimens are restricted to the upper Maastrichtian of central Chile, posing questions concerning the austral circumpolar distribution of different elasmosaurids towards the end of the Cretaceous.</t>
  </si>
  <si>
    <t>[Otero, Rodrigo A.; Soto-Acuna, Sergio; Suarez, Mario E.] Univ Chile, Fac Ciencias, Dept Biol, Lab Ontogenia &amp; Filogenia, Santiago 3425, Chile; [Soto-Acuna, Sergio; Rubilar-Rogers, David; Salazar, Christian] Museo Nacl Hist Nat, Santiago, Chile; [Robin O'Keefe, Frank] Univ Nacl La Plata, Museo La Plata, Div Paleontol Vertebrados, La Plata, Buenos Aires, Argentina; [Robin O'Keefe, Frank] Consejo Nacl Invest Cient &amp; Tecn, RA-1033 Buenos Aires, DF, Argentina; [O'Gorman, Jose P.] Marshall Univ, Dept Biol Sci, Huntington, WV 25755 USA; [Stinnesbeck, Wolfgang] Heidelberg Univ, Inst Geowissensch, Heidelberg, Germany; [Arturo Quinzio-Sinn, Luis] Univ Concepcion, Dept Ciencias Tierra, Concepcion, Chile</t>
  </si>
  <si>
    <t>Universidad de Chile; National University of La Plata; Museo La Plata; Consejo Nacional de Investigaciones Cientificas y Tecnicas (CONICET); Marshall University; Ruprecht Karls University Heidelberg; Universidad de Concepcion</t>
  </si>
  <si>
    <t>Otero, RA (corresponding author), Univ Chile, Fac Ciencias, Dept Biol, Lab Ontogenia &amp; Filogenia, Santiago 3425, Chile.</t>
  </si>
  <si>
    <t>paracrioceras@gmail.com; okeefef@marshall.edu; joseogorman@fcnym.unlp.edu.ar; wolfgang.stinnesbeck@geow.uni-heidelberg.de; arcosaurio@gmail.com; drubilar@mnhn.cl; christian.salazar@mnhn.cl; lquinzio@udec.cl</t>
  </si>
  <si>
    <t>Salazar, Christian/GQQ-3188-2022; O’Gorman, José/AAK-6096-2021</t>
  </si>
  <si>
    <t>Salazar, Christian/0000-0002-9436-4950; Soto Acuna, Sergio/0000-0002-9311-9355; Otero, Rodrigo/0000-0002-3046-2973</t>
  </si>
  <si>
    <t>Antarctic Ring Project (Anillos de Ciencia Antartica ACT-105, Conicyt-Chile); Marshall University Department of Biological Sciences, College of Science; John Deever Drinko Research Fellowship; Deutsche Forschungsgemeinschaft [STI 128/20-1]</t>
  </si>
  <si>
    <t>Antarctic Ring Project (Anillos de Ciencia Antartica ACT-105, Conicyt-Chile)(Comision Nacional de Investigacion Cientifica y Tecnologica (CONICYT)CONICYT PIA/ANILLOS); Marshall University Department of Biological Sciences, College of Science; John Deever Drinko Research Fellowship; Deutsche Forschungsgemeinschaft(German Research Foundation (DFG))</t>
  </si>
  <si>
    <t>D. Rubilar-Rogers, R. A. Otero, and S. Soto-Acuna are supported by the Antarctic Ring Project (Anillos de Ciencia Antartica ACT-105, Conicyt-Chile). F. R. O'Keefe was supported by funds from the Marshall University Department of Biological Sciences, College of Science, and a John Deever Drinko Research Fellowship. W. Stinnesbeck gratefully acknowledges support by the Deutsche Forschungsgemeinschaft (grant STI 128/20-1). Special acknowledgments go to M. Reguero and Z. Gasparini (Universidad de La Plata, Argentina) for the access to the holotype of A. parvidens and the good will and help provided. P. Druckenmiller and R. Benson are gratefully acknowledged for their critical reviews of the manuscript and the very valuable comments that helped to improve it. Field work at Cocholgue was executed in March 2009 by a student group of the Departamento de Geociencias of the Universidad de Concepcion, headed by A. Quinzio-Sinn and C. Salazar. K. E. Buldrini, J. Alarcon (Laboratorio de Zoologia de Vertebrados, Facultad de Ciencias, Universidad de Chile), and D. Delgado (Universidad CES y Escuela de Ingenieria de Antioquia, Colombia) are acknowledged for their excellent work on the preparation of the specimen.</t>
  </si>
  <si>
    <t>0272-4634</t>
  </si>
  <si>
    <t>1937-2809</t>
  </si>
  <si>
    <t>J VERTEBR PALEONTOL</t>
  </si>
  <si>
    <t>J. Vertebr. Paleontol.</t>
  </si>
  <si>
    <t>10.1080/02724634.2013.780953</t>
  </si>
  <si>
    <t>AI9FE</t>
  </si>
  <si>
    <t>WOS:000337235500008</t>
  </si>
  <si>
    <t>Hemmings, AD</t>
  </si>
  <si>
    <t>Powell, RC; Dodds, K</t>
  </si>
  <si>
    <t>Hemmings, Alan D.</t>
  </si>
  <si>
    <t>Re-justifying the Antarctic Treaty System for the 21st century: rights, expectations and global equity</t>
  </si>
  <si>
    <t>POLAR GEOPOLITICS?: KNOWLEDGES, RESOURCES AND LEGAL REGIMES</t>
  </si>
  <si>
    <t>Univ Canterbury, Gateway Antarctica Ctr Antarctic Studies &amp; Res, Christchurch 1, New Zealand</t>
  </si>
  <si>
    <t>University of Canterbury</t>
  </si>
  <si>
    <t>Hemmings, AD (corresponding author), Univ Canterbury, Gateway Antarctica Ctr Antarctic Studies &amp; Res, Christchurch 1, New Zealand.</t>
  </si>
  <si>
    <t>EDWARD ELGAR PUBLISHING LTD</t>
  </si>
  <si>
    <t>CHELTENHAM</t>
  </si>
  <si>
    <t>THE LYPIATTS, 15 LANSDOWN RD, CHELTENHAM GL50 2JA, GLOS, ENGLAND</t>
  </si>
  <si>
    <t>978-1-78100-941-3; 978-1-78100-940-6</t>
  </si>
  <si>
    <t>10.4337/9781781009413</t>
  </si>
  <si>
    <t>Geography; Political Science</t>
  </si>
  <si>
    <t>Geography; Government &amp; Law</t>
  </si>
  <si>
    <t>BA3LW</t>
  </si>
  <si>
    <t>WOS:000334351200005</t>
  </si>
  <si>
    <t>Benwell, M</t>
  </si>
  <si>
    <t>Benwell, Matt</t>
  </si>
  <si>
    <t>Connecting southern frontiers: Argentina, the South West Atlantic and 'Argentine Antarctic Territory'</t>
  </si>
  <si>
    <t>INTERNATIONAL GEOPHYSICAL YEAR; AMERICAN ANTARCTICA; NATIONALISM; SOVEREIGNTY; DISPUTES; LANGUAGE; STAMPS</t>
  </si>
  <si>
    <t>Keele Univ, Social Sci Res Inst, Leverhulme Trust, Keele, Staffs, England</t>
  </si>
  <si>
    <t>Keele University</t>
  </si>
  <si>
    <t>Benwell, M (corresponding author), Keele Univ, Social Sci Res Inst, Leverhulme Trust, Keele, Staffs, England.</t>
  </si>
  <si>
    <t>WOS:000334351200013</t>
  </si>
  <si>
    <t>Dodds, K</t>
  </si>
  <si>
    <t>Dodds, Klaus</t>
  </si>
  <si>
    <t>Militant geography and frontier vigilantism: Australia, 'Australian Antarctic Territory' and the 'southern flank'</t>
  </si>
  <si>
    <t>Univ London, Dept Geog, London WC1E 7HU, England</t>
  </si>
  <si>
    <t>University of London</t>
  </si>
  <si>
    <t>Dodds, K (corresponding author), Univ London, Dept Geog, London WC1E 7HU, England.</t>
  </si>
  <si>
    <t>GLENSANDA HOUSE, MONTPELLIER PARADE, CHELTENHAM GL50 1UA, GLOS, ENGLAND</t>
  </si>
  <si>
    <t>WOS:000334351200014</t>
  </si>
  <si>
    <t>Leis, JM; Paris, CB; Irisson, JO; Yerman, MN; Siebeck, UE</t>
  </si>
  <si>
    <t>Leis, Jeffrey M.; Paris, Claire B.; Irisson, Jean-Olivier; Yerman, Michelle N.; Siebeck, Ulrike E.</t>
  </si>
  <si>
    <t>Orientation of fish larvae in situ is consistent among locations, years and methods, but varies with time of day</t>
  </si>
  <si>
    <t>Pomacentridae; Reef-fish; Orientation; Larva; Solar; Celestial; Visual cue; Dispersal; Connectivity</t>
  </si>
  <si>
    <t>CORAL-REEF FISHES; UNDERWATER LIGHT-FIELD; POPULATION CONNECTIVITY; VERTICAL-DISTRIBUTION; PELAGIC ENVIRONMENT; STAGE LARVAE; BEHAVIOR; DISPERSAL; ONTOGENY; CLOUDS</t>
  </si>
  <si>
    <t>Understanding larval dispersal requires knowledge of whether larvae in situ have orientated swimming, and how this varies temporally and spatially. Orientation of &gt;300 settlement-stage larvae of Chromis atripectoralis (Pomacentridae) measured over 1998-2008 by divers near Lizard Island, Great Barrier Reef was consistent. All 10 data sets had southerly orientation at all locations; 94% of larvae swam directionally. Median bearings east and west of Lizard Island were 166 degrees and 170 degrees, respectively. Orientation precision was significantly higher under sunny than cloudy skies. Similar mean bearings were obtained in 2008 with more than 125 larvae observed in a drifting in situ chamber (DISC). Orientation varied with time of day. In sunny conditions, precision was weakly, significantly correlated with time of day, but not solar elevation; however, a greater proportion of larvae was significantly directional at low (&lt;50 degrees) than at high (&gt;50 degrees) solar elevation. Mean bearing and time of day were weakly, but significantly correlated. Bearings changed from SE during most of the day to SSW in the late afternoon, with distribution of bearings significantly different. Location-independent but diurnally-dependent orientation implies that larvae used celestial cues for orientation. Of 91 Pomacentrus lepidogenys larvae that were followed by divers, 89% swam directionally, but orientation differed among locations and years. DISC results with 20 larvae were similar. The similarity of orientation returned by different methods used on 2 fish species corroborates previous results using diver following. Both methods are useful for the study of larval-fish orientation in situ: each has advantages and limitations, and their use is complementary.</t>
  </si>
  <si>
    <t>[Leis, Jeffrey M.; Yerman, Michelle N.] Australian Museum, Sydney, NSW 2010, Australia; [Leis, Jeffrey M.] Univ Tasmania, Inst Marine &amp; Antarctic Studies, Hobart, Tas 7000, Australia; [Paris, Claire B.; Irisson, Jean-Olivier] Univ Miami, Rosenstiel Sch Marine &amp; Atmospher Sci, Div Appl Marine Phys, Miami, FL 33149 USA; [Siebeck, Ulrike E.] Univ Queensland, Sch Biomed Sci, St Lucia, Qld 4072, Australia</t>
  </si>
  <si>
    <t>Australian Museum; University of Tasmania; University of Miami; University of Queensland</t>
  </si>
  <si>
    <t>Leis, JM (corresponding author), Australian Museum, Sydney, NSW 2010, Australia.</t>
  </si>
  <si>
    <t>jeff.leis@austmus.gov.au</t>
  </si>
  <si>
    <t>Leis, Jeffrey M/JCE-0397-2023; Leis, Jeffrey M/E-7502-2012; Irisson, Jean-Olivier/B-3909-2010; Siebeck, Ulrike E/J-6190-2014</t>
  </si>
  <si>
    <t>Leis, Jeffrey M/0000-0003-0603-3447; Leis, Jeffrey M/0000-0003-0603-3447; Siebeck, Ulrike E/0000-0003-2024-1568; Paris-Limouzy, Claire Beatrix/0000-0002-0637-1334</t>
  </si>
  <si>
    <t>Hermon Slade Foundation; ARC Discovery grant [DP110100695]; Paris Lab; NSF-OTIC [1155698]</t>
  </si>
  <si>
    <t>Hermon Slade Foundation; ARC Discovery grant(Australian Research Council); Paris Lab; NSF-OTIC</t>
  </si>
  <si>
    <t>This research was supported by a Hermon Slade Foundation grant to J.M.L. and C.B.P. and an ARC Discovery grant DP110100695 to J.M.L., U.E.S. and C. B. P. DISC development was funded in part by the Paris Lab and by NSF-OTIC 1155698 to C. B. P. We acknowledge the staff of Lizard Island Station for all sorts of things; the JCU light trap crew for sharing catches of larvae; and various people for help in the field, especially C. Wen and K. Fritsches. We also thank S. Bullock for editorial assistance. Research in 2008 was conducted under research permit G07/23614.1 from the Great Barrier Reef Marine Park Authority, and Australian Museum Animal Care and Ethics Committee Approval 07-02. Research in 2011 was carried out under GBRMPA research permit G34430.1 and University of Queensland Ethics Permit SBMS/276/11/ARC. See cited publications for information on permits for earlier observations.</t>
  </si>
  <si>
    <t>10.3354/meps10792</t>
  </si>
  <si>
    <t>AI5MY</t>
  </si>
  <si>
    <t>WOS:000336913000015</t>
  </si>
  <si>
    <t>Cherel, Y; Connan, M; Jaeger, A; Richard, P</t>
  </si>
  <si>
    <t>Cherel, Yves; Connan, Maelle; Jaeger, Audrey; Richard, Pierre</t>
  </si>
  <si>
    <t>Seabird year-round and historical feeding ecology: blood and feather δ13C and δ15N values document foraging plasticity of small sympatric petrels</t>
  </si>
  <si>
    <t>Diet; Museum specimens; Procellariiformes; Resource partitioning; Southern Ocean; Stable isotopes</t>
  </si>
  <si>
    <t>STABLE-ISOTOPES REVEAL; COMMON DIVING PETRELS; BLUE-PETRELS; PELECANOIDES-URINATRIX; HABITAT PREFERENCES; ENERGY-EXPENDITURE; HALOBAENA-CAERULEA; BREEDING BIOLOGY; TROPHIC POSITION; ILES-KERGUELEN</t>
  </si>
  <si>
    <t>The foraging ecology of small seabirds remains poorly understood because of the difficulty of studying them at sea. Here, the extent to which 3 sympatric seabirds (blue petrel, thin-billed prion and common diving petrel) alter their foraging ecology across the annual cycle was investigated using stable isotopes. delta C-13 and delta N-15 values were used as proxies of the birds' foraging habitat and diet, respectively, and were measured in 3 tissues (plasma, blood cells and feathers) that record trophic information at different time scales. Long-term temporal changes were investigated by measuring feather isotopic values from museum specimens. The study was conducted at the subantarctic Kerguelen Islands and emphasizes 4 main features. (1) The 3 species highlight a strong connection between subantarctic and Antarctic pelagic ecosystems, because they all foraged in Antarctic waters at some stages of the annual cycle. (2) Foraging niches are stage-dependent, with petrels shifting their feeding grounds during reproduction either from oceanic to productive coastal waters (common diving petrel) or from subantarctic to high-Antarctic waters where they fed primarily on crustaceans (blue petrel and thin-billed prion). (3) The common diving petrel segregated from the surface-feeders blue petrel and thin-billed prion by a coastal habitat and lower trophic level prey, while the blue petrel segregated from the thin-billed prion by foraging further south and including more fish in its diet. (4) Feather delta C-13 and delta N-15 values from historical and recent specimens of thin-billed prion depicted a pronounced temporal shift to higher latitudes in its main moulting ground, where it feeds on higher trophic level prey. The study contributes to growing evidence that seabirds exhibit considerable foraging plasticity and sheds new light on their flexibility at different time scales (from intra-seasonal to decadal).</t>
  </si>
  <si>
    <t>[Cherel, Yves; Connan, Maelle; Jaeger, Audrey] CNRS, UMR 7372, Ctr Etud Biol Chize, F-79360 Villiers En Bois, France; [Cherel, Yves; Connan, Maelle; Jaeger, Audrey] Univ La Rochelle, F-79360 Villiers En Bois, France; [Richard, Pierre] CNRS, UMR 7266, Lab Littoral Environm &amp; Soc, F-17000 La Rochelle, France; [Richard, Pierre] Univ La Rochelle, F-17000 La Rochelle, France</t>
  </si>
  <si>
    <t>Centre National de la Recherche Scientifique (CNRS); CNRS - Institute of Ecology &amp; Environment (INEE); La Rochelle Universite; Centre National de la Recherche Scientifique (CNRS); CNRS - Institute of Ecology &amp; Environment (INEE); La Rochelle Universite</t>
  </si>
  <si>
    <t>Cherel, Y (corresponding author), CNRS, UMR 7372, Ctr Etud Biol Chize, BP 14, F-79360 Villiers En Bois, France.</t>
  </si>
  <si>
    <t>cherel@cebc.cnrs.fr</t>
  </si>
  <si>
    <t>Connan, Maelle/A-8468-2008; Jaeger, Audrey/HMD-6340-2023; Richard, Pierre/N-6482-2014</t>
  </si>
  <si>
    <t>Jaeger, Audrey/0000-0002-5649-0315; Richard, Pierre/0000-0002-0393-9967; Connan, Maelle/0000-0002-1308-9118</t>
  </si>
  <si>
    <t>Institut Polaire Francais Paul Emile Victor [109]; Terres Australes et Antarctiques Francaises</t>
  </si>
  <si>
    <t>Institut Polaire Francais Paul Emile Victor; Terres Australes et Antarctiques Francaises</t>
  </si>
  <si>
    <t>The authors thank the fieldworkers who helped collect samples at the Kerguelen Islands, S. Dano for seabird molecular sexing, G. Guillou for stable isotope analysis and C. Barbraud for looking at demographic data. We are indebted to E. Pasquet and J. Cuisin for permission to collect feathers from historical specimens at the Museum National d'Histoire Naturelle of Paris. The present work was supported financially and logistically by the Institut Polaire Francais Paul Emile Victor (Programme No. 109, H. Weimerskirch) and the Terres Australes et Antarctiques Francaises.</t>
  </si>
  <si>
    <t>10.3354/meps10795</t>
  </si>
  <si>
    <t>WOS:000336913000020</t>
  </si>
  <si>
    <t>Almandoz, GO; Ferrario, ME; Sullivan, MJ; Ector, L; Schloss, IR</t>
  </si>
  <si>
    <t>Almandoz, Gaston O.; Ferrario, Martha E.; Sullivan, Michael J.; Ector, Luc; Schloss, Irene R.</t>
  </si>
  <si>
    <t>A new Pteroncola species (Bacillariophyceae) from the South Shetland Islands, Antarctica</t>
  </si>
  <si>
    <t>PHYCOLOGIA</t>
  </si>
  <si>
    <t>Arcuate valves; King George Island; Potter Cove; Striae dimorphism</t>
  </si>
  <si>
    <t>DIATOMS</t>
  </si>
  <si>
    <t>The marine araphid diatom Pteroncola carlinii sp. nov. from a coastal Antarctic environment was described based on light and scanning electron microscopy observations. The new species was found as solitary cells in the phytoplankton and epiphytic on green algal filaments or diatom chains. It was distinguished from P. inane, the only recognized species, primarily by a well developed sternum, a hyaline mantle, apical pore fields composed of three horizontal rows of pores, a single rimoportula per valve, and a lower striae density. Two morphotypes of P. carlinii were distinguished based upon the ultrastructure of alveolate (chambered) striae in external view. While most specimens presented striae formed by transapically elongated slits, others showed striae composed of a row of small areolae. A revised description of Pteroncola was provided as well as a comparison with related genera in the Fragilariaceae, such as Brandinia, Catacombas, Fragilaria, Fossula, Hyalosynedra, Staurosirella and Thalassioneis.</t>
  </si>
  <si>
    <t>[Almandoz, Gaston O.; Ferrario, Martha E.] Univ Nacl La Plata, Div Ficol, Fac Ciencias Nat &amp; Museo, La Plata, Argentina; [Almandoz, Gaston O.; Ferrario, Martha E.] Consejo Nacl Invest Cient &amp; Tecn, Buenos Aires, DF, Argentina; [Ector, Luc] Publ Res Ctr Gabriel Lippmann, Dept Environm &amp; Agrobiotechnol EVA, Belvaux, Luxembourg; [Schloss, Irene R.] Inst Antartico Argentino, Buenos Aires, DF, Argentina; [Schloss, Irene R.] Univ Quebec, Inst Sci Mer, Rimouski, PQ G5L 3A1, Canada</t>
  </si>
  <si>
    <t>National University of La Plata; Museo La Plata; Consejo Nacional de Investigaciones Cientificas y Tecnicas (CONICET); Luxembourg Institute of Science &amp; Technology; Instituto Antartico Argentino; University of Quebec</t>
  </si>
  <si>
    <t>Almandoz, GO (corresponding author), Univ Nacl La Plata, Div Ficol, Fac Ciencias Nat &amp; Museo, La Plata, Argentina.</t>
  </si>
  <si>
    <t>galmandoz@fcnym.unlp.edu.ar</t>
  </si>
  <si>
    <t>Schloss, Irene R./U-5411-2018</t>
  </si>
  <si>
    <t>Schloss, Irene R./0000-0002-5917-8925; Ector, Luc/0000-0002-4573-9445; Almandoz, Gaston O./0000-0001-7931-582X</t>
  </si>
  <si>
    <t>IAA; Consejo Nacional de Investigaciones Cientificas y Tecnicas (CONICET); Agencia Nacional de Promocion Cientifica y Tecnologica (ANPCyT) [PIP 01734 CONICET, PICTO 05-35562 ANPCyT]</t>
  </si>
  <si>
    <t>IAA; Consejo Nacional de Investigaciones Cientificas y Tecnicas (CONICET)(Consejo Nacional de Investigaciones Cientificas y Tecnicas (CONICET)); Agencia Nacional de Promocion Cientifica y Tecnologica (ANPCyT)(ANPCyTSpanish Government)</t>
  </si>
  <si>
    <t>We thank the Instituto Antartico Argentino (IAA) and the personnel of Carlini Station for logistical support to carry out the Antarctic campaigns. We extend our special gratitude to Marcelo Hernando and Oscar Gonzalez for field sampling, Patricia Sarmiento from the MEB service (Museo de La Plata), and Friedel Hinz (Hustedt Collection, Alfred-Wegener-Institut fur Polar-und Meeresforschung, Bremerhaven, Germany). Two anonymous reviewers are acknowledged for their helpful comments. This survey was supported from the IAA, the Consejo Nacional de Investigaciones Cientificas y Tecnicas (CONICET) and the Agencia Nacional de Promocion Cientifica y Tecnologica (ANPCyT) through grants PIP 01734 CONICET to M. E. Ferrario and PICTO 05-35562 ANPCyT to I.R. Schloss.</t>
  </si>
  <si>
    <t>0031-8884</t>
  </si>
  <si>
    <t>2330-2968</t>
  </si>
  <si>
    <t>Phycologia</t>
  </si>
  <si>
    <t>10.2216/13-210.1</t>
  </si>
  <si>
    <t>AI6KB</t>
  </si>
  <si>
    <t>WOS:000336981600008</t>
  </si>
  <si>
    <t>Anstey, JA; Shepherd, TG</t>
  </si>
  <si>
    <t>Anstey, James A.; Shepherd, Theodore G.</t>
  </si>
  <si>
    <t>High-latitude influence of the quasi-biennial oscillation</t>
  </si>
  <si>
    <t>Holton-Tan effect; polar vortex; interannual variability; decadal variability; stratosphere-troposphere coupling; seasonal predictability; middle atmosphere; annular modes</t>
  </si>
  <si>
    <t>WINTER STRATOSPHERIC CIRCULATION; EQUATORIAL UPPER-STRATOSPHERE; BREAKING PLANETARY-WAVES; 11-YEAR SOLAR-CYCLE; POLAR-NIGHT JET; NORTHERN-HEMISPHERE; INTERANNUAL VARIABILITY; SOUTHERN OSCILLATION; ANTARCTIC OZONE; EXTRATROPICAL CIRCULATION</t>
  </si>
  <si>
    <t>The interannual variability of the stratospheric winter polar vortex is correlated with the phase of the quasi-biennial oscillation (QBO) of tropical stratospheric winds. This dynamical coupling between high and low latitudes, often referred to as the Holton-Tan effect, has been the subject of numerous observational and modelling studies, yet important questions regarding its mechanism remain unanswered. In particular it remains unclear which vertical levels of the QBO exert the strongest influence on the winter polar vortex, and how QBO-vortex coupling interacts with the effects of other sources of atmospheric interannual variability such as the 11-year solar cycle or the El Nino no Southern Oscillation. As stratosphere-resolving general circulation models begin to resolve the QBO and represent its teleconnections with other parts of the climate system, it seems timely to summarize what is currently known about the QBO's high-latitude influence. In this review article, we offer a synthesis of the modelling and observational analyses of QBO-vortex coupling that have appeared in the literature, and update the observational record.</t>
  </si>
  <si>
    <t>[Anstey, James A.; Shepherd, Theodore G.] Univ Toronto, Dept Phys, Toronto, ON, Canada; [Anstey, James A.] Univ Oxford, Dept Phys, Oxford OX1 2JD, England; [Shepherd, Theodore G.] Univ Reading, Dept Meteorol, Reading RG6 2AH, Berks, England</t>
  </si>
  <si>
    <t>University of Toronto; University of Oxford; University of Reading</t>
  </si>
  <si>
    <t>Anstey, JA (corresponding author), Univ Oxford, Clarendon Lab, Parks Rd, Oxford OX1 3PU, England.</t>
  </si>
  <si>
    <t>anstey@atm.ox.ac.uk</t>
  </si>
  <si>
    <t>Anstey, James/0000-0001-6366-8647</t>
  </si>
  <si>
    <t>Canadian Foundation for Climate and Atmospheric Sciences (CFCAS); Natural Sciences and Engineering Research Council (NSERC) of Canada</t>
  </si>
  <si>
    <t>Canadian Foundation for Climate and Atmospheric Sciences (CFCAS); Natural Sciences and Engineering Research Council (NSERC) of Canada(Natural Sciences and Engineering Research Council of Canada (NSERC))</t>
  </si>
  <si>
    <t>This work has been supported by the Canadian Foundation for Climate and Atmospheric Sciences (CFCAS) and the Natural Sciences and Engineering Research Council (NSERC) of Canada. We acknowledge the European Centre for Medium-range Weather Forecasts (ECMWF) for our use of ERA-40 and ERA-Interim reanalysis data. Daily 10.7 cm solar flux data were obtained from the website of the National Research Council (NRC) of Canada Dominion Radio Astrophysical Observatory in Penticton, British Columbia. The authors would like to thank Peter Watson and two anonymous reviewers for insightful and constructive comments on the manuscript.</t>
  </si>
  <si>
    <t>10.1002/qj.2132</t>
  </si>
  <si>
    <t>AI5LM</t>
  </si>
  <si>
    <t>WOS:000336908400001</t>
  </si>
  <si>
    <t>Branagan, DF</t>
  </si>
  <si>
    <t>Branagan, D. F.</t>
  </si>
  <si>
    <t>CARSTEN EGEBERG BORCHGREVINK (1864-1934): THE MAN WHO CLAIMED TO BE THE FIRST TO SET FOOT ON ANTARCTICA</t>
  </si>
  <si>
    <t>EARTH SCIENCES HISTORY</t>
  </si>
  <si>
    <t>Carsten Borchgrevink continues to be one of the most enigmatic Antarctic explorers. He made two visits to Antarctica, briefly in 1895, and much longer in 1898-1900. Today it is acknowledged that he made significant contributions to Antarctic exploration. He made a claimed first discovery of terrestrial plant life in 1895. He led the first party to winter on Antarctica in 1899 in very difficult weather conditions. His expedition made a year-long continuous record of weather conditions, and glacier movement was briefly measured. Useful zoological data were obtained, but the death of Hanson, the zoologist and loss of some of his records, lessened their possible value. New plants, some insects, and shallow sea-water fauna were discovered. Extensive photographic records were obtained. The 1898-1900 expedition noted the reduction in the seaward extent of the Ross Ice Sheet. It discovered what later became known as the Bay of Whales, and there made the first ascent onto the Ross Sea Barrier, showing that travel inland was feasible in that region, 'opening the way to the South'. A reasonable estimate of the then position of the South Magnetic Pole was made. In addition Borchgrevink showed the effectiveness of kayaks for local water transport, and dogs with trained dog-handlers for land travel (and companionship). His expedition was underpinned by good planning for housing, equipment (including use of the recently invented Primus Stove), clothing (notably shoes lined with sennegrass) and food. His scientific party was well-chosen for their abilities, but national and social differences played a part in periods of tension with the leader, who was inclined to overestimate his own scientific ability. The achievements of the expedition were given little recognition for most of his life, particularly in Britain, in part because of his initial success, over a period of some years, in gaining financial support for his expedition in the face of strong opposition from 'official' British scientific bodies. In addition his rather brash and abrasive personality, some public quarrels and perhaps a rather quirky sense of humour did not make him popular. His achievements have been obscured to some extent by inaccurate and exaggerated criticisms of his activities.</t>
  </si>
  <si>
    <t>Univ Sydney, Sch Geosci, Sydney, NSW 2006, Australia</t>
  </si>
  <si>
    <t>University of Sydney</t>
  </si>
  <si>
    <t>Branagan, DF (corresponding author), Univ Sydney, Sch Geosci, F09, Sydney, NSW 2006, Australia.</t>
  </si>
  <si>
    <t>dbranaga@mail.usyd.edu.au</t>
  </si>
  <si>
    <t>HISTORY EARTH SCIENCES SOC</t>
  </si>
  <si>
    <t>SHREWSBURY</t>
  </si>
  <si>
    <t>C/O DAVID I. SPANAGEL, SECRETARY 101 GROVE STREET, SHREWSBURY, MA 01545 USA</t>
  </si>
  <si>
    <t>0736-623X</t>
  </si>
  <si>
    <t>1944-6187</t>
  </si>
  <si>
    <t>EARTH SCI HIST</t>
  </si>
  <si>
    <t>Earth Sci. Hist.</t>
  </si>
  <si>
    <t>Geology; Geosciences, Multidisciplinary; History &amp; Philosophy Of Science</t>
  </si>
  <si>
    <t>Geology; History &amp; Philosophy of Science</t>
  </si>
  <si>
    <t>AH9JQ</t>
  </si>
  <si>
    <t>WOS:000336458700007</t>
  </si>
  <si>
    <t>Cai, L; Sun, DF; Sun, GL</t>
  </si>
  <si>
    <t>Cai, L.; Sun, D. F.; Sun, G. L.</t>
  </si>
  <si>
    <t>Optimization of a biolistic transformation system for transfer of antifreeze gene KN2 and the bar herbicide resistance gene in common wheat</t>
  </si>
  <si>
    <t>GENETICS AND MOLECULAR RESEARCH</t>
  </si>
  <si>
    <t>Common wheat; Cold-resistance; Biolistic transformation; Antarctic fish superoxide dismutase gene</t>
  </si>
  <si>
    <t>PLANT-REGENERATION; SOMATIC EMBRYOGENESIS; SUPEROXIDE-DISMUTASE; TRITICUM-AESTIVUM; IMMATURE EMBRYOS; ROOT REGENERATION; CALLUS; TISSUE; TOLERANCE; CULTIVARS</t>
  </si>
  <si>
    <t>We studied the effects of different media for callus induction and differentiation, and pre-culture period of immature wheat embryo culture on biolistic transformation efficiency for including antifreeze gene KN2 and bar conferring resistance to the herbicide bialaphos. The percentage of plantlets generated from induction and differentiation media without Cu2+ was lower than those cultured on differentiation media with Cu2+ (71.15%) or induction media with Cu2+ (68.45%) and both induction and differentiation media with Cu2+ (52.17%). The combinations of Nor medium for callus induction and Cu2+ medium for regeneration, and Cu2+ medium for induction and R medium for regeneration were superior for biolistic transformation. The calli induced on Cu2+ medium and pre-cultured for 4 d before biolistic transformation, and cultured on R medium after biolistic transformation produced the highest percentage (65%) of transgenic plantlets with the KN2 gene. Overall, about 50% plantlets regenerated from calli pre-cultured 4d before bombardment carried the KN2 gene; 44.7% of the plantlets carried the bar gene, which was higher than for any other treatment, followed by pre-culture 1d with 31.43% transformation rate for the KN2 gene and 20% transformation rate for the bar gene.</t>
  </si>
  <si>
    <t>[Cai, L.; Sun, D. F.; Sun, G. L.] Huazhong Agr Univ, Coll Plant Sci &amp; Technol, Wuhan, Peoples R China; [Sun, G. L.] St Marys Univ, Dept Biol, Halifax, NS B3H 3C3, Canada</t>
  </si>
  <si>
    <t>Huazhong Agricultural University; Saint Marys University - Canada</t>
  </si>
  <si>
    <t>Sun, DF (corresponding author), Huazhong Agr Univ, Coll Plant Sci &amp; Technol, Wuhan, Peoples R China.</t>
  </si>
  <si>
    <t>sundongfa1@mail.hzau.edu.cn; genlou.sun@smu.ca</t>
  </si>
  <si>
    <t>Chinese Transgenic Program [2011ZX08002004]; 863 Project [2011AA10A106]</t>
  </si>
  <si>
    <t>Chinese Transgenic Program; 863 Project(National High Technology Research and Development Program of China)</t>
  </si>
  <si>
    <t>Research supported by the Chinese Transgenic Program (#2011ZX08002004) and the 863 Project (#2011AA10A106).</t>
  </si>
  <si>
    <t>FUNPEC-EDITORA</t>
  </si>
  <si>
    <t>RIBEIRAO PRETO</t>
  </si>
  <si>
    <t>RUA FLORIANO PEIXOTO 2444, ALTO DA BOA VISTA, RIBEIRAO PRETO, SP 00000, BRAZIL</t>
  </si>
  <si>
    <t>1676-5680</t>
  </si>
  <si>
    <t>GENET MOL RES</t>
  </si>
  <si>
    <t>Genet. Mol. Res.</t>
  </si>
  <si>
    <t>10.4238/2014.April.30.8</t>
  </si>
  <si>
    <t>Biochemistry &amp; Molecular Biology; Genetics &amp; Heredity</t>
  </si>
  <si>
    <t>AI3AC</t>
  </si>
  <si>
    <t>WOS:000336729500118</t>
  </si>
  <si>
    <t>Karanovic, T; Kim, K; Lee, W</t>
  </si>
  <si>
    <t>Karanovic, Tomislav; Kim, Kichoon; Lee, Wonchoel</t>
  </si>
  <si>
    <t>Morphological and molecular affinities of two East Asian species of Stenhelia (Crustacea, Copepoda, Harpacticoida)</t>
  </si>
  <si>
    <t>Miraciidae; Stenheliinae; marine; systematics; phylogeny; DNA barcoding</t>
  </si>
  <si>
    <t>INTEGUMENTAL PORE SIGNATURE; THERMOCYCLOPS-EMINI MRAZEK; FRESH-WATER; SIZE DIFFERENTIATION; CRYPTIC SPECIATION; COMPLEX COPEPODA; 1ST RECORD; DNA; CYCLOPOIDA; PATTERNS</t>
  </si>
  <si>
    <t>Definition of monophyletic supraspecific units in the harpacticoid subfamily Stenheliinae Brady, 1880 has been considered problematic and hindered by the lack of molecular or morphology based phylogenies, as well as by incomplete original descriptions of many species. Presence of a modified seta on the fifth leg endopod has been suggested recently as a synapomorphy of eight species comprising the redefined genus Stenhelia Boeck, 1865, although its presence was not known in S. pubescens Chislenko, 1978. We redescribe this species in detail here, based on our freshly collected topotypes from the Russian Far East. The other species redescribed in this paper was collected from the southern coast of South Korea and identified as the Chinese S. taiae Mu &amp; Huys, 2002, which represents its second record ever and the first one in Korea. A fragment of the mtCOI gene was successfully PCR-amplified from two specimens of each species, which represents the first molecular data for this genus, and from additional 19 specimens belonging to six different species of other stenheliins from Korea and Russia. Reconstructed phylogenies confirm previously postulated monophyly of Stenhelia and polyphyly of the closely related genus Delavalia Brady, 1869. Average pairwise maximum likelihood distances between S. pubescens and S. taiae are only slightly above 10%, suggesting a very close relationship despite numerous newly discovered micro-morphological differences and despite macro-morphological similarities being probable plesiomorphies.</t>
  </si>
  <si>
    <t>[Karanovic, Tomislav; Kim, Kichoon; Lee, Wonchoel] Hanyang Univ, Dept Life Sci, Seoul 133791, South Korea; [Karanovic, Tomislav] Univ Tasmania, Inst Marine &amp; Antarctic Studies, Hobart, Tas 7001, Australia</t>
  </si>
  <si>
    <t>Lee, Wonchoel/L-9822-2018</t>
  </si>
  <si>
    <t>Lee, Wonchoel/0000-0002-9873-1033</t>
  </si>
  <si>
    <t>National Institute of Biological Resources (NIBR) - Ministry of Environment of the Republic of Korea (NIBR) [2013-02-001]; National Research Foundation of Korea (NRF) - Ministry of Education, Science and Technology of the Republic of Korea [2012R1A1A2005312]</t>
  </si>
  <si>
    <t>National Institute of Biological Resources (NIBR) - Ministry of Environment of the Republic of Korea (NIBR)(Ministry of Environment (ME), Republic of Korea); National Research Foundation of Korea (NRF) - Ministry of Education, Science and Technology of the Republic of Korea(National Research Foundation of Korea)</t>
  </si>
  <si>
    <t>This work was supported by grants from the National Institute of Biological Resources (NIBR), funded by the Ministry of Environment of the Republic of Korea (NIBR No. 2013-02-001), and from the Basic Science Research Programme of the National Research Foundation of Korea (NRF), funded by the Ministry of Education, Science and Technology of the Republic of Korea (2012R1A1A2005312). Scanning electron microscope was made available through Prof. Jin Hyun Jun (Eulji University, Seoul), and we also want to thank Mr. Junho Kim (Eulji University, Seoul) for the technical help provided. We are very grateful to Dr. Yulia Trebukhova (Institute of Marine Biology, Vladivostok) for collecting the samples of Stenhelia pubescens and Itostenhelia golikovi, as well as to Dr. Marina Malyutina (Institute of Marine Biology, Vladivostok) and Prof. Angelika Brandt (Zoological Museum, Hamburg) for their assistance in transporting these specimens. We also thank Dr. Kanghyun Lee and Ms. Eunkyoung Park for their help in the field and in the molecular lab respectively.</t>
  </si>
  <si>
    <t>10.3897/zookeys.411.7346</t>
  </si>
  <si>
    <t>AI4OE</t>
  </si>
  <si>
    <t>WOS:000336843900004</t>
  </si>
  <si>
    <t>Lea, JM; Mair, DWF; Rea, BR</t>
  </si>
  <si>
    <t>Lea, James M.; Mair, Douglas W. F.; Rea, Brice R.</t>
  </si>
  <si>
    <t>Instruments and Methods Evaluation of existing and new methods of tracking glacier terminus change</t>
  </si>
  <si>
    <t>glacier calving; glacier mapping; glaciological instruments and methods</t>
  </si>
  <si>
    <t>CENTRAL EAST GREENLAND; ANTARCTIC PENINSULA; KANGERDLUGSSUAQ; FLUCTUATIONS; OCEAN</t>
  </si>
  <si>
    <t>Several different methodologies have previously been employed in the tracking of glacier terminus change, though a systematic comparison of these has not been undertaken. The frequent application of single methods to multiple glaciers over large geographical areas such as Greenland, raises the question of whether individual methodologies are robust. In this study we evaluate three existing methodologies that have been widely used to track terminus change (the centre-line, bow and box methods) against a full range of idealized glaciological scenarios and six examples of real glaciers. We also evaluate two new methodologies that aim to reduce measurement error compared with the existing methodologies. The first is a modification to the box method that can account for termini retreating through fjords that change orientation (termed the curvilinear box method), while the second determines the average terminus position relative to the glacier centre line using an inverse distance weighting extrapolation (termed the extrapolated centre-line method). No single method tested achieved complete accuracy for all scenarios, though the extrapolated centre-line method was able to successfully account for variable fjord orientation, width and terminus geometry with the least error.</t>
  </si>
  <si>
    <t>[Lea, James M.; Mair, Douglas W. F.; Rea, Brice R.] Univ Aberdeen, Dept Geog, Aberdeen AB9 2UF, Scotland</t>
  </si>
  <si>
    <t>Lea, JM (corresponding author), Univ Aberdeen, Dept Geog, Aberdeen AB9 2UF, Scotland.</t>
  </si>
  <si>
    <t>j.lea@abdn.ac.uk</t>
  </si>
  <si>
    <t>Lea, James/HNI-3615-2023; Lea, James/N-5699-2015</t>
  </si>
  <si>
    <t>Lea, James/0000-0003-1885-0858; Rea, Brice/0000-0002-9928-145X; Mair, Douglas/0000-0001-7009-5461</t>
  </si>
  <si>
    <t>UK Natural Environment Research Council [NE/1528742/1]</t>
  </si>
  <si>
    <t>UK Natural Environment Research Council(UK Research &amp; Innovation (UKRI)Natural Environment Research Council (NERC))</t>
  </si>
  <si>
    <t>The authors thank two anonymous reviewers for constructive comments that helped to improve the manuscript. This research was financially supported by J.M.L.'s PhD funding from UK Natural Environment Research Council grant No. NE/I528742/1</t>
  </si>
  <si>
    <t>10.3189/2014JoG13J061</t>
  </si>
  <si>
    <t>AH5VB</t>
  </si>
  <si>
    <t>WOS:000336198100012</t>
  </si>
  <si>
    <t>Hoffman, MJ; Fountain, AG; Liston, GE</t>
  </si>
  <si>
    <t>Hoffman, Matthew J.; Fountain, Andrew G.; Liston, Glen E.</t>
  </si>
  <si>
    <t>Near-surface internal melting: a substantial mass loss on Antarctic Dry Valley glaciers</t>
  </si>
  <si>
    <t>Antarctic glaciology; energy balance; glacier ablation phenomena; ice/atmosphere interactions; surface melt</t>
  </si>
  <si>
    <t>AERODYNAMIC ROUGHNESS LENGTH; SOUTHERN VICTORIA LAND; ENERGY-BALANCE; TAYLOR VALLEY; OPTICAL-PROPERTIES; SPATIAL VARIATIONS; ABLATION ZONE; ICE; SNOW; GREENLAND</t>
  </si>
  <si>
    <t>The McMurdo Dry Valleys, southern Victoria Land, East Antarctica, are a polar desert, and melt from glacial ice is the primary source of water to streams, lakes and associated ecosystems. Previous work found that to adequately model glacier ablation and subsurface ice temperatures with a surface energy-balance model required including the transmission of solar radiation into the ice. Here we investigate the contribution of subsurface melt to the mass balance of (and runoff from) Dry Valley glaciers by including a drainage process in the model and applying the model to three glacier sites using 13 years of hourly meteorological data. Model results for the smooth glacier surfaces common to many glaciers in the Dry Valleys showed that sublimation was typically the largest component of surface lowering, with rare episodes of surface melting, consistent with anecdotal field observations. Results also showed extensive internal melting 5-15 cm below the ice surface, the drainage of which accounted for similar to 50% of summer ablation. This is consistent with field observations of subsurface streams and formation of a weathering crust. We identify an annual cycle of weathering crust formation in summer and its removal during the 10 months of winter sublimation.</t>
  </si>
  <si>
    <t>[Hoffman, Matthew J.] Los Alamos Natl Lab, Fluid Dynam &amp; Solid Mech Grp, Los Alamos, NM 87545 USA; [Fountain, Andrew G.] Portland State Univ, Dept Geol, Portland, OR 97207 USA; [Liston, Glen E.] Colorado State Univ, Cooperat Inst Res Atmosphere, Ft Collins, CO 80523 USA</t>
  </si>
  <si>
    <t>United States Department of Energy (DOE); Los Alamos National Laboratory; Portland State University; Colorado State University</t>
  </si>
  <si>
    <t>Hoffman, MJ (corresponding author), Los Alamos Natl Lab, Fluid Dynam &amp; Solid Mech Grp, Los Alamos, NM 87545 USA.</t>
  </si>
  <si>
    <t>mhoffman@lanl.gov</t>
  </si>
  <si>
    <t>Hoffman, Matthew/0000-0001-5076-0540</t>
  </si>
  <si>
    <t>US National Science Foundation (NSF) Office of Polar Programs [ANT-0423595, ANT-0233823]; Earth System Modeling program of the Office of Biological and Environmental Research within the US Department of Energy's Office of Science; NSF grant [ANT-0424589]; Office of Polar Programs (OPP); Directorate For Geosciences [1115245] Funding Source: National Science Foundation</t>
  </si>
  <si>
    <t>US National Science Foundation (NSF) Office of Polar Programs(National Science Foundation (NSF)); Earth System Modeling program of the Office of Biological and Environmental Research within the US Department of Energy's Office of Science; NSF grant(National Science Foundation (NSF)); Office of Polar Programs (OPP); Directorate For Geosciences(National Science Foundation (NSF)NSF - Directorate for Geosciences (GEO))</t>
  </si>
  <si>
    <t>This work was funded by US National Science Foundation (NSF) Office of Polar Programs grants ANT-0423595 and ANT-0233823, the Earth System Modeling program of the Office of Biological and Environmental Research within the US Department of Energy's Office of Science, and by NSF grant No. ANT-0424589 to the Center for Remote Sensing of Ice Sheets (CReSIS). We thank Hassan Basagic, Thomas Nylen and Liz Bagshaw for assistance in the field.</t>
  </si>
  <si>
    <t>10.3189/2014JoG13J095</t>
  </si>
  <si>
    <t>WOS:000336198100016</t>
  </si>
  <si>
    <t>Craven, M; Warner, RC; Galton-Fenzi, BK; Herraiz-Borreguer, L; Vogel, SW; Allison, I</t>
  </si>
  <si>
    <t>Craven, M.; Warner, R. C.; Galton-Fenzi, B. K.; Herraiz-Borreguer, L.; Vogel, S. W.; Allison, I.</t>
  </si>
  <si>
    <t>Platelet ice attachment to instrument strings beneath the Amery Ice Shelf, East Antarctica</t>
  </si>
  <si>
    <t>glaciological instruments and methods; ice shelves; ice/ocean interactions</t>
  </si>
  <si>
    <t>FILCHNER-RONNE ICE; MARINE ICE; MCMURDO SOUND; SEA-ICE; SHEET; TEMPERATURE; WATER; FLOW</t>
  </si>
  <si>
    <t>Oceanographic instruments suspended beneath the Amery Ice Shelf, East Antarctica, have recorded sporadic pressure decreases of 10-20 dbar over a few days at three sites where basal marine ice growth is expected. We attribute these events to flotation due to platelet ice accretion on the instrument moorings. Some events were transient, rapidly returning to pre-event pressures, probably through dislodgement of loosely attached crystals. Driven by these pressure changes, temperatures recorded by the shallowest instruments (within 20 m of the shelf base) tracked in situ freezing temperatures during the events. These observations provide indirect evidence for the presence of frazil ice in the sub-ice-shelf mixed layer and for active marine ice accretion. At one site we infer that a dense layer of platelet ice similar to 1.5 m thick was accreted to the ice shelf over a 50 day period. Following some permanent abrupt pressure decreases (which we interpret as due to the lodgement of the uppermost instrument at the ice-shelf base), altered background trends in pressure suggest compaction rates of 3-4 m a(-1) for the accreted basal platelet layer. Attachment of platelet ice and resulting displacement of moorings has ramifications for project design and instrument deployment, and implications for interpretation of oceanographic data from sub-ice-shelf environments.</t>
  </si>
  <si>
    <t>[Craven, M.; Warner, R. C.; Galton-Fenzi, B. K.; Vogel, S. W.; Allison, I.] Australian Antarctic Div, Kingston, Tas, Australia; [Craven, M.; Warner, R. C.; Galton-Fenzi, B. K.; Herraiz-Borreguer, L.; Vogel, S. W.; Allison, I.] Univ Tasmania, Antarctic Climate &amp; Ecosyst Cooperat Res Ctr ACE, Hobart, Tas, Australia</t>
  </si>
  <si>
    <t>Craven, M (corresponding author), Australian Antarctic Div, Kingston, Tas, Australia.</t>
  </si>
  <si>
    <t>Roland.Warner@aad.gov.au</t>
  </si>
  <si>
    <t>Warner, Roland Charles/ISS-2485-2023; Warner, Robert R./M-5342-2013; Allison, Ian F/I-4477-2015; Vogel, Stefan/I-1963-2014; Herraiz-Borreguero, Laura/D-5795-2015</t>
  </si>
  <si>
    <t>Warner, Roland Charles/0000-0002-9778-3544; Allison, Ian F/0000-0001-9599-0251; Vogel, Stefan/0000-0002-4350-7130; Galton-Fenzi, Benjamin Keith/0000-0003-1404-4103; Herraiz-Borreguero, Laura/0000-0002-4455-801X</t>
  </si>
  <si>
    <t>Australian Government's Cooperative Research Centres Program through the Antarctic Climate and Ecosystems CRC</t>
  </si>
  <si>
    <t>Australian Government's Cooperative Research Centres Program through the Antarctic Climate and Ecosystems CRC(Australian GovernmentDepartment of Industry, Innovation and ScienceCooperative Research Centres (CRC) Programme)</t>
  </si>
  <si>
    <t>We acknowledge logistic support from the Australian Antarctic Division and invaluable input from the hot-water drill teams and the many people who contributed to the AMISOR ASAC (Australian Antarctic Science Advisory Council) 1164 field program. This work was supported by the Australian Government's Cooperative Research Centres Program through the Antarctic Climate and Ecosystems CRC. We acknowledge insightful remarks from Keith Makinson and an anonymous reviewer, and thank the scientific editor, Helen Fricker, for helpful suggestions that improved the structure and clarity of the paper.</t>
  </si>
  <si>
    <t>10.3189/2014JoG13J082</t>
  </si>
  <si>
    <t>WOS:000336198100018</t>
  </si>
  <si>
    <t>Sidor, CA; Steyer, JS; Hammer, WR</t>
  </si>
  <si>
    <t>Sidor, Christian A.; Steyer, J. Sebastien; Hammer, William R.</t>
  </si>
  <si>
    <t>NEW CAPITOSAUROID TEMNOSPONDYL FROM THE MIDDLE TRIASSIC UPPER FREMOUW FORMATION OF ANTARCTICA</t>
  </si>
  <si>
    <t>CENTRAL TRANSANTARCTIC MOUNTAINS; SOUTH-AFRICA; BEAUFORT GROUP; VERTEBRATE FAUNA; KAROO BASIN; TETRAPOD; PHYLOGENY; BIOSTRATIGRAPHY; ANOMODONTIA; REVISION</t>
  </si>
  <si>
    <t>We describe a new capitosauroid temnospondyl, Antarctosuchus polyodon, gen. et sp. nov., on the basis of a large and relatively complete skull from the upper Fremouw Formation of Antarctica. The new species is characterized by its possession of numerous, extremely small maxillary, palatine, and ectopterygoid teeth, a dental pattern that suggests specialization on small prey items, possibly invertebrates. The taxon is also characterized by a parachoanal tooth row that extends far posterior to the choana and occipital condyles set close to the midline. A combination of features, including a flat skull and low occiput together with well-developed sensory canals, suggests an aquatic lifestyle. We address the phylogenetic relationships of Antarctosuchus by adding it to a recent cladistic analysis of Capitosauria. The revised data set includes 27 taxa and 53 characters. The results of this analysis place Antarctosuchus within a clade of derived Triassic stereospondyls as the sister taxon to Paracyclotosaurus crookshanki from the Triassic Denwai Formation of India. To date, the upper Fremouw Formation has yielded two endemic temnospondyl species (viz., Kryostega collinsoni and Antarctosuchus polyodon), although indeterminate remains referred to benthosuchids and a cranial fragment assigned to Parotosuchus sp. have also been noted. In contrast to the broadly distributed therapsid taxa recognized from the Middle Triassic of Antarctica (e.g., Cynognathus, Diademodon), the temnospondyl fauna suggests more limited interchange with other coeval southern Pangean basins (e.g., Karoo, Luangwa, Ruhuhu, Waterberg).</t>
  </si>
  <si>
    <t>[Sidor, Christian A.] Univ Washington, Burke Museum, Seattle, WA 98195 USA; [Sidor, Christian A.] Univ Washington, Dept Biol, Seattle, WA 98195 USA; [Steyer, J. Sebastien] Univ Paris 06, MNHN, UMR CNRS CR2P 7207, F-75005 Paris, France; [Hammer, William R.] Augustana Coll, Dept Geol, Rock Isl, IL 61201 USA</t>
  </si>
  <si>
    <t>University of Washington; University of Washington Seattle; University of Washington; University of Washington Seattle; Sorbonne Universite; Museum National d'Histoire Naturelle (MNHN)</t>
  </si>
  <si>
    <t>Sidor, CA (corresponding author), Univ Washington, Burke Museum, Seattle, WA 98195 USA.</t>
  </si>
  <si>
    <t>casidor@uw.edu; steyer@mnhn.fr; williamhammer@augustana.edu</t>
  </si>
  <si>
    <t>Steyer, J.-Sebastien/0000-0003-1835-7852</t>
  </si>
  <si>
    <t>NSF-ANT [0229698, 0838762]; ANT [1146399]; CNRS; Cossima Productions; Directorate For Geosciences; Office of Polar Programs (OPP) [1146399, 0229698, 1244253] Funding Source: National Science Foundation; Office of Polar Programs (OPP); Directorate For Geosciences [0838762] Funding Source: National Science Foundation</t>
  </si>
  <si>
    <t>NSF-ANT(National Science Foundation (NSF)); ANT; CNRS(Centre National de la Recherche Scientifique (CNRS)); Cossima Productions; Directorate For Geosciences; Office of Polar Programs (OPP)(National Science Foundation (NSF)NSF - Directorate for Geosciences (GEO)); Office of Polar Programs (OPP); Directorate For Geosciences(National Science Foundation (NSF)NSF - Directorate for Geosciences (GEO))</t>
  </si>
  <si>
    <t>We thank B. Ryan, J. Tamplin, and S. DeFauw for excavating fossils from Gordon Valley, B. Ryan and B. Crowley for preparation, T. Keillor for molding and casting, and J. Swales for drawing Figures 3-6. Reviews provided by J. McHugh, J. Fortuny, and B. Rubidge improved the final manuscript. Antarctic research has been supported by NSF-ANT 0229698 (to W. R. H.) and NSF-ANT 0838762 and ANT 1146399 (to C. A. S.). Additional support was provided by the CNRS and Cossima Productions (to J.S.S.).</t>
  </si>
  <si>
    <t>10.1080/02724634.2013.808205</t>
  </si>
  <si>
    <t>AH6MI</t>
  </si>
  <si>
    <t>WOS:000336244600004</t>
  </si>
  <si>
    <t>Andreo, V; Neteler, M; Rocchini, D; Provensal, C; Levis, S; Porcasi, X; Rizzoli, A; Lanfri, M; Scavuzzo, M; Pini, N; Enria, D; Polop, J</t>
  </si>
  <si>
    <t>Andreo, Veronica; Neteler, Markus; Rocchini, Duccio; Provensal, Cecilia; Levis, Silvana; Porcasi, Ximena; Rizzoli, Annapaola; Lanfri, Mario; Scavuzzo, Marcelo; Pini, Noemi; Enria, Delia; Polop, Jaime</t>
  </si>
  <si>
    <t>Estimating Hantavirus Risk in Southern Argentina: A GIS-Based Approach Combining Human Cases and Host Distribution</t>
  </si>
  <si>
    <t>VIRUSES-BASEL</t>
  </si>
  <si>
    <t>Argentina; Oligoryzomys longicaudatus; Andes virus (ANDV); hantavirus pulmonary syndrome (HPS); Species Distribution Models (SDM); Geographic Information Systems (GIS); risk</t>
  </si>
  <si>
    <t>OLIGORYZOMYS-LONGICAUDATUS; PEROMYSCUS-MANICULATUS; POPULATION-DYNAMICS; SPECIES DISTRIBUTIONS; SELECTING THRESHOLDS; PULMONARY SYNDROME; RODENT RESERVOIRS; ANDES HANTAVIRUS; CLIMATE-CHANGE; LAND-COVER</t>
  </si>
  <si>
    <t>We use a Species Distribution Modeling (SDM) approach along with Geographic Information Systems (GIS) techniques to examine the potential distribution of hantavirus pulmonary syndrome (HPS) caused by Andes virus (ANDV) in southern Argentina and, more precisely, define and estimate the area with the highest infection probability for humans, through the combination with the distribution map for the competent rodent host (Oligoryzomys longicaudatus). Sites with confirmed cases of HPS in the period 1995-2009 were mostly concentrated in a narrow strip (similar to 90 km x 900 km) along the Andes range from northern Neuquen to central Chubut province. This area is characterized by high mean annual precipitation (similar to 1,000 mm on average), but dry summers (less than 100 mm), very low percentages of bare soil (similar to 10% on average) and low temperatures in the coldest month (minimum average temperature -1.5 degrees C), as compared to the HPS-free areas, features that coincide with sub-Antarctic forests and shrublands (especially those dominated by the invasive plant Rosa rubiginosa), where rodent host abundances and ANDV prevalences are known to be the highest. Through the combination of predictive distribution maps of the reservoir host and disease cases, we found that the area with the highest probability for HPS to occur overlaps only 28% with the most suitable habitat for O. longicaudatus. With this approach, we made a step forward in the understanding of the risk factors that need to be considered in the forecasting and mapping of risk at the regional/national scale. We propose the implementation and use of thematic maps, such as the one built here, as a basic tool allowing public health authorities to focus surveillance efforts and normally scarce resources for prevention and control actions in vast areas like southern Argentina.</t>
  </si>
  <si>
    <t>[Andreo, Veronica; Porcasi, Ximena; Lanfri, Mario; Scavuzzo, Marcelo] CONAE, Ctr Espacial Teofilo Tabanera, Inst Altos Estudios Espaciales Mario Gulich, RA-5187 Cordoba, Argentina; [Neteler, Markus; Rocchini, Duccio; Rizzoli, Annapaola] Fdn Edmund Mach, GIS &amp; Remote Sensing Unit, I-38010 San Michele All Adige, Trento, Italy; [Neteler, Markus; Rocchini, Duccio; Rizzoli, Annapaola] Fdn Edmund Mach, Anim Ecol Unit, Dept Biodivers &amp; Mol Ecol, Res &amp; Innovat Ctr, I-38010 San Michele All Adige, Trento, Italy; [Provensal, Cecilia; Polop, Jaime] Univ Nacl Rio Cuarto, Dept Ciencias Nat, RA-5800 Cordoba, Argentina; [Levis, Silvana; Pini, Noemi; Enria, Delia] Inst Nacl Enfermedades Virales Humanas Dr Julio I, RA-2700 Buenos Aires, DF, Argentina</t>
  </si>
  <si>
    <t>Fondazione Edmund Mach; Fondazione Edmund Mach; Universidad Nacional Rio Cuarto</t>
  </si>
  <si>
    <t>Andreo, V (corresponding author), CONAE, Ctr Espacial Teofilo Tabanera, Inst Altos Estudios Espaciales Mario Gulich, Ruta Prov C45,Km 8, RA-5187 Cordoba, Argentina.</t>
  </si>
  <si>
    <t>veroandreo@gmail.com; markus.neteler@fmach.it; duccio.rocchini@fmach.it; cprovensal@exa.unrc.edu.ar; slevis0@yahoo.com; ximena.porcasi@conae.gov.ar; annapaola.rizzoli@fmach.it; lamfri@conae.gov.ar; scavuzzo@conae.gov.ar; pininoemi@yahoo.com.ar; deliaenria@gmail.com; jpolop@exa.unrc.edu.ar</t>
  </si>
  <si>
    <t>Rocchini, Duccio/B-6742-2011; Andreo, Veronica/A-3245-2016; scavuzzo, carlos marcelo/M-9829-2015; Neteler, Markus/C-6328-2008; Rizzoli, Annapaola/J-2439-2012</t>
  </si>
  <si>
    <t>Andreo, Veronica/0000-0002-4633-2161; Neteler, Markus/0000-0003-1916-1966; Rocchini, Duccio/0000-0003-0087-0594; carlos marcelo, scavuzzo/0000-0003-0905-6361; Rizzoli, Annapaola/0000-0003-3997-6783</t>
  </si>
  <si>
    <t>Fondo para la Investigacion Cientifica y Tecnologica (FONCYT); Consejo Nacional de Investigaciones Cientificas y Tecnicas (CONICET); Comision Nacional de Actividades Espaciales (CONAE); Agenzia Spaziale Italiana-Ministero degli Affari Esteri (ASI-MAE) at the Fondazione Edmund Mach; Research and Innovation Center, Department of Biodiversity and Molecular Ecology; Animal Ecology group; GIS and Remote Sensing Unit, Italy; CONAE; ASI-MAE (Italy)</t>
  </si>
  <si>
    <t>Fondo para la Investigacion Cientifica y Tecnologica (FONCYT)(FONCyT); Consejo Nacional de Investigaciones Cientificas y Tecnicas (CONICET)(Consejo Nacional de Investigaciones Cientificas y Tecnicas (CONICET)); Comision Nacional de Actividades Espaciales (CONAE); Agenzia Spaziale Italiana-Ministero degli Affari Esteri (ASI-MAE) at the Fondazione Edmund Mach; Research and Innovation Center, Department of Biodiversity and Molecular Ecology; Animal Ecology group; GIS and Remote Sensing Unit, Italy; CONAE; ASI-MAE (Italy)</t>
  </si>
  <si>
    <t>This research was made possible by grants from the Fondo para la Investigacion Cientifica y Tecnologica (FONCYT) and Consejo Nacional de Investigaciones Cientificas y Tecnicas (CONICET). This article was written as a result of an internship of V. A. funded by Comision Nacional de Actividades Espaciales (CONAE) and Agenzia Spaziale Italiana-Ministero degli Affari Esteri (ASI-MAE) at the Fondazione Edmund Mach, Research and Innovation Center, Department of Biodiversity and Molecular Ecology, Animal Ecology group and the GIS and Remote Sensing Unit (http://gis.cri.fmach.it/), Italy. V. A. thanks CONAE and ASI-MAE (Italy) for the financial assistance and the host institution for a great working environment and facilities. We are grateful to the Health Ministries of Neuquen, Rio Negro and Chubut provinces (Argentina) for providing us with human case data and to the NASA Land Processes Distributed Active Archive Center (LP DAAC) for making the MODIS data available. We are also grateful to two anonymous reviewers who provided valuable comments and suggestions on an earlier version of the manuscript.</t>
  </si>
  <si>
    <t>1999-4915</t>
  </si>
  <si>
    <t>Viruses-Basel</t>
  </si>
  <si>
    <t>10.3390/v6010201</t>
  </si>
  <si>
    <t>Virology</t>
  </si>
  <si>
    <t>AH4JM</t>
  </si>
  <si>
    <t>WOS:000336093200011</t>
  </si>
  <si>
    <t>Banwell, AF; Caballero, M; Arnold, NS; Glasser, NF; Mac Cathles, L; MacAyeal, DR</t>
  </si>
  <si>
    <t>Banwell, Alison F.; Caballero, Martamaria; Arnold, Neil S.; Glasser, Neil F.; Mac Cathles, L.; MacAyeal, Douglas R.</t>
  </si>
  <si>
    <t>Supraglacial lakes on the Larsen B ice shelf, Antarctica, and at Paakitsoq, West Greenland: a comparative study</t>
  </si>
  <si>
    <t>Antarctic glaciology; Arctic glaciology; ice-shelf break-up; ice shelves; surface melt</t>
  </si>
  <si>
    <t>MASS-BALANCE; SURFACE; COLLAPSE; SHEET; DISINTEGRATION; ACCELERATION; CALIBRATION; ISBRAE; BASAL</t>
  </si>
  <si>
    <t>Supraglacial meltwater lakes trigger ice-shelf break-up and modulate seasonal ice-sheet flow, and are thus agents by which warming is transmitted to the Antarctic and Greenland ice sheets. To characterize supraglacial lake variability we perform a comparative analysis of lake geometry and depth in two distinct regions, one on the pre-collapse (2002) Larsen B ice shelf, Antarctica, and the other in the ablation zone of Paakitsoq, a land-terminating region of the Greenland ice sheet. Compared to Paakitsoq, lakes on the Larsen B ice shelf cover a greater proportion of surface area (5.3% cf. 1%), but are shallower and more uniform in area. Other aspects of lake geometry (e.g. eccentricity, degree of convexity (solidity) and orientation) are relatively similar between the two regions. We attribute the notable difference in lake density and depth between ice-shelf and grounded ice to the fact that ice shelves have flatter surfaces and less distinct drainage basins. Ice shelves also possess more stimuli to small-scale, localized surface elevation variability, due to the various structural features that yield small variations in thickness and which float at different levels by Archimedes' principle.</t>
  </si>
  <si>
    <t>[Banwell, Alison F.; Caballero, Martamaria; Mac Cathles, L.; MacAyeal, Douglas R.] Univ Chicago, Dept Geophys Sci, Chicago, IL 60637 USA; [Banwell, Alison F.; Arnold, Neil S.] Univ Cambridge, Scott Polar Res Inst, Cambridge CB2 1ER, England; [Caballero, Martamaria] Ctr Mario Molina Chile, Santiago, Chile; [Glasser, Neil F.] Aberystwyth Univ, Inst Geog &amp; Earth Sci, Ctr Glaciol, Aberystwyth, Dyfed, Wales</t>
  </si>
  <si>
    <t>University of Chicago; University of Cambridge; Aberystwyth University</t>
  </si>
  <si>
    <t>Banwell, AF (corresponding author), Univ Chicago, Dept Geophys Sci, 5734 S Ellis Ave, Chicago, IL 60637 USA.</t>
  </si>
  <si>
    <t>afb39@cam.ac.uk</t>
  </si>
  <si>
    <t>Arnold, Neil/AAI-2272-2021; Banwell, Alison/W-8180-2018</t>
  </si>
  <si>
    <t>Banwell, Alison/0000-0001-9545-829X; Glasser, Neil/0000-0002-8245-2670</t>
  </si>
  <si>
    <t>US National Science Foundation [ANT-0944248]; Directorate For Geosciences; Office of Polar Programs (OPP) [1443126, 0944248] Funding Source: National Science Foundation</t>
  </si>
  <si>
    <t>We acknowledge the support of the US National Science Foundation under grant ANT-0944248. We also thank the scientific editor, Weili Wang, and two anonymous referees for careful reviews that helped to improve an earlier draft of the paper.</t>
  </si>
  <si>
    <t>10.3189/2014AoG66A049</t>
  </si>
  <si>
    <t>AH3FX</t>
  </si>
  <si>
    <t>Bronze, Green Submitted, Green Accepted</t>
  </si>
  <si>
    <t>WOS:000336010200002</t>
  </si>
  <si>
    <t>Zhou, CX; Zhou, Y; Deng, FH; Ai, ST; Wang, ZM; E, DC</t>
  </si>
  <si>
    <t>Zhou, Chunxia; Zhou, Yu; Deng, Fanghui; Ai, Songtao; Wang, Zemin; E, Dongchen</t>
  </si>
  <si>
    <t>Seasonal and interannual ice velocity changes of Polar Record Glacier, East Antarctica</t>
  </si>
  <si>
    <t>Antarctic glaciology; glacier flow; glacier fluctuations; ice velocity; remote sensing</t>
  </si>
  <si>
    <t>PINE ISLAND GLACIER; SHEET MOTION; SURFACE VELOCITY; ACCELERATION; FLOW; SNOW</t>
  </si>
  <si>
    <t>We present a study of seasonal and interannual ice velocity changes at Polar Record Glacier, East Antarctica, using ERS-1/2, Envisat and PALSAR data with D-InSAR and intensity tracking. Ice flow showed seasonal variations at the front of the glacier tongue. Velocities in winter were 19% less than velocities during summer. No significant interannual changes were detected. Ice velocities in the grounding zone and grounded glacier did not show clear seasonal or interannual changes. The distribution of the seasonal variations suggests that the cause for the changes should be localized. Possible causes are seasonal sea-ice changes and iceberg blocking. Satellite images show that the sea ice surrounding Polar Record Glacier undergoes seasonal changes. Frozen sea ice in winter slowed the huge iceberg, and provided increased resistance to the glacier flow. The interaction between the glacier tongue, iceberg and sea ice significantly influences their flow pattern.</t>
  </si>
  <si>
    <t>[Zhou, Chunxia; Zhou, Yu; Deng, Fanghui; Ai, Songtao; Wang, Zemin; E, Dongchen] Wuhan Univ, Chinese Antarctic Ctr Surveying &amp; Mapping, Wuhan 430072, Peoples R China; [Zhou, Yu] Univ Oxford, Dept Earth Sci, Oxford OX1 3PR, England</t>
  </si>
  <si>
    <t>Wuhan University; University of Oxford</t>
  </si>
  <si>
    <t>Zhou, CX (corresponding author), Wuhan Univ, Chinese Antarctic Ctr Surveying &amp; Mapping, Wuhan 430072, Peoples R China.</t>
  </si>
  <si>
    <t>Ai, Songtao/AAA-7338-2019; ZeMin, Wang/AAU-3422-2020; Zhou, Yu/GLU-4966-2022</t>
  </si>
  <si>
    <t>Zhou, Yu/0000-0002-9782-9311</t>
  </si>
  <si>
    <t>National Nature Science Foundation of China (NSFC) [41076126, 41376187]; Chinese 863 Program [2009AAl2Z133]; Open Research Foundation of SOA Key Laboratory for Polar Sciences [KP201001]</t>
  </si>
  <si>
    <t>National Nature Science Foundation of China (NSFC)(National Natural Science Foundation of China (NSFC)); Chinese 863 Program(National High Technology Research and Development Program of China); Open Research Foundation of SOA Key Laboratory for Polar Sciences</t>
  </si>
  <si>
    <t>This research is funded by the National Nature Science Foundation of China (NSFC) (No. 41076126, No. 41376187), the Chinese 863 Program (No. 2009AAl2Z133) and the Open Research Foundation of SOA Key Laboratory for Polar Sciences (No. KP201001). We thank the European Space Agency for providing data through the IPY (International Polar Year) announcement of opportunity (project ID 3685), the China Centre for Resources Satellite Data and Applications (CRESDA) for providing Huan-Jing-1A (HJ-1A) data, and the Japanese National Institute of Polar Research for providing the PALSAR data. We also thank two anonymous reviewers and the editor for constructive comments and suggestions.</t>
  </si>
  <si>
    <t>10.3189/2014AoG66A185</t>
  </si>
  <si>
    <t>WOS:000336010200007</t>
  </si>
  <si>
    <t>Wen, JH; Huang, L; Wang, WL; Jacka, TH; Damm, V; Liu, Y</t>
  </si>
  <si>
    <t>Wen, Jiahong; Huang, Long; Wang, Weili; Jacka, T. H.; Damm, V.; Liu, Yan</t>
  </si>
  <si>
    <t>Ice thickness over the southern limit of the Amery Ice Shelf, East Antarctica, and reassessment of the mass balance of the central portion of the Lambert Glacier-Amery Ice Shelf system</t>
  </si>
  <si>
    <t>Antarctic glaciology; ice-sheet mass balance</t>
  </si>
  <si>
    <t>SURFACE; ACCUMULATION; BUDGETS; FLUXES</t>
  </si>
  <si>
    <t>We combine radio-echo sounding ice thickness data from the BEDMAP Project database and the PCMEGA (Prince Charles Mountains Expedition of Germany and Australia) dataset to generate a new ice thickness grid for the southern limit region of the Amery Ice Shelf, East Antarctica. We then reassess the mass balance of the central portion of the Lambert-Amery system, incorporating flow information derived from synthetic aperture radar interferometry (InSAR) and a modeled surface mass-balance dataset based on regional atmospheric modeling. Our analysis reveals that Mellor and Fisher Glaciers are approximately in balance to the level of our measurement uncertainty, while Lambert Glacier has a positive imbalance of 4.2 +/- 2.3 Gt a(-1). The mass budget for the whole Lambert Glacier basin is approximately in balance, and the average basal melt rate in the downstream section of the ice shelf is 5.1 +/- 3.0 m a(-1). Our results differ substantially from other recent estimates using hydrostatically derived ice thickness data.</t>
  </si>
  <si>
    <t>[Wen, Jiahong; Huang, Long] Shanghai Normal Univ, Dept Geog, Shanghai, Peoples R China; [Wang, Weili] NASA, Goddard Space Flight Ctr, SGT Inc, Greenbelt, MD 20771 USA; [Jacka, T. H.] Antarctic Climate &amp; Ecosyst Cooperat Res Ctr, Hobart, Tas, Australia; [Damm, V.] Fed Inst Geosci &amp; Nat Resources, Hannover, Germany; [Liu, Yan] Beijing Normal Univ, Coll Global Change &amp; Earth Syst Sci, Beijing, Peoples R China; [Liu, Yan] Beijing Normal Univ, State Key Lab Remote Sensing Sci, Beijing, Peoples R China</t>
  </si>
  <si>
    <t>Shanghai Normal University; National Aeronautics &amp; Space Administration (NASA); NASA Goddard Space Flight Center; Stinger Ghaffarian Technologies, Inc. (SGT); Antarctic Climate &amp; Ecosystems Cooperative Research Centre (ACE CRC); Beijing Normal University; Beijing Normal University</t>
  </si>
  <si>
    <t>Wen, JH (corresponding author), Shanghai Normal Univ, Dept Geog, Shanghai, Peoples R China.</t>
  </si>
  <si>
    <t>jhwen@shnu.edu.cn</t>
  </si>
  <si>
    <t>Liu）, 刘岩（Yan/AAT-5481-2020</t>
  </si>
  <si>
    <t>National Natural Science Foundation of China [41276188]; National Basic Research Program of China [2012CB957704]</t>
  </si>
  <si>
    <t>National Natural Science Foundation of China(National Natural Science Foundation of China (NSFC)); National Basic Research Program of China(National Basic Research Program of China)</t>
  </si>
  <si>
    <t>This work is supported by the National Natural Science Foundation of China (grant No. 41276188) and National Basic Research Program of China (grant No. 2012CB957704). We thank J.T.M. Lenaerts for providing SMB data, Jaehyung Yu and Hongxing Liu for providing the interpolated ice thickness grid and T.A. Scambos for valuable comments. Constructive comments and suggestions from two anonymous reviewers have been very helpful in improving this paper.</t>
  </si>
  <si>
    <t>10.3189/2014AoG66A154</t>
  </si>
  <si>
    <t>WOS:000336010200011</t>
  </si>
  <si>
    <t>Fried, MJ; Hulbe, CL; Fahnestock, MA</t>
  </si>
  <si>
    <t>Fried, M. J.; Hulbe, C. L.; Fahnestock, M. A.</t>
  </si>
  <si>
    <t>Grounding-line dynamics and margin lakes</t>
  </si>
  <si>
    <t>Antarctic glaciology; glacier mass balance; ice rise; subglacial lakes</t>
  </si>
  <si>
    <t>ICE STREAM-C; WEST ANTARCTICA; HOLOCENE RETREAT; SHEET; ROSS; STAGNATION; DISCHARGE; RADAR; SHELF; FLOW</t>
  </si>
  <si>
    <t>At both corners of the now stagnant Kamb Ice Stream (KIS, West Antarctica) outlet, shear margins of different ages confine wedge-shaped areas with relatively flat, smooth surfaces that stagnated before the main trunk of the ice stream. We identify these features as lakes or past lakes, and consider scenarios for their development in a regional history of ongoing adjustment to grounding-line position. We focus here on the centuries leading up to the recent stagnation of KIS, a time when its grounding line appears to have advanced &gt; 100 km from an earlier upstream location. Starting from stagnation of Crary Ice Rise and changes in the grounding zone of Whillans Ice Stream, we trace feedbacks associated with local thickening, ice grounding and thickness transients that both advance the grounding line and leave remnant lakes in their wake. These lakes in turn promote the development of secondary margins that may appear as 'margin jumps' in the ice record.</t>
  </si>
  <si>
    <t>[Fried, M. J.] Univ Texas Austin, Inst Geophys, Austin, TX 78712 USA; [Hulbe, C. L.] Univ Otago, Sch Surveying, Dunedin, New Zealand; [Fahnestock, M. A.] Univ Alaska, Inst Geophys, Fairbanks, AK USA</t>
  </si>
  <si>
    <t>University of Texas System; University of Texas Austin; University of Otago; University of Alaska System; University of Alaska Fairbanks</t>
  </si>
  <si>
    <t>Fried, MJ (corresponding author), Univ Texas Austin, Inst Geophys, Austin, TX 78712 USA.</t>
  </si>
  <si>
    <t>mason.j.fried@gmail.com</t>
  </si>
  <si>
    <t>Fahnestock, Mark A/N-2678-2013</t>
  </si>
  <si>
    <t>Hulbe, Christina/0000-0003-4765-7037</t>
  </si>
  <si>
    <t>US National Science Foundation Office of Polar Programs [0838810]; Office of Polar Programs (OPP); Directorate For Geosciences [0838810] Funding Source: National Science Foundation</t>
  </si>
  <si>
    <t>US National Science Foundation Office of Polar Programs(National Science Foundation (NSF)); Office of Polar Programs (OPP); Directorate For Geosciences(National Science Foundation (NSF)NSF - Directorate for Geosciences (GEO))</t>
  </si>
  <si>
    <t>Imagery for this work was provided by the Polar Geospatial Data Center. This work was funded by the US National Science Foundation Office of Polar Programs award No. 0838810 to C.L. Hulbe and M.A. Fahnestock. The manuscript was greatly improved by comments from Sasha Carter and an anonymous reviewer.</t>
  </si>
  <si>
    <t>10.3189/2014AoG66A216</t>
  </si>
  <si>
    <t>WOS:000336010200012</t>
  </si>
  <si>
    <t>Wang, CM; Hou, SG; Pang, HX; Liu, YP; Gäggeler, HW; Tobler, L; Szidat, S; Vogel, E</t>
  </si>
  <si>
    <t>Wang, Chaomin; Hou, Shugui; Pang, Hongxi; Liu, Yaping; Gaeggeler, Heinz W.; Tobler, Leonhard; Szidat, Soenke; Vogel, Edith</t>
  </si>
  <si>
    <t>210Pb dating of the Miaoergou ice core from the eastern Tien Shan, China</t>
  </si>
  <si>
    <t>accumulation; glacier chemistry; ice chronology/dating; ice core</t>
  </si>
  <si>
    <t>ANTARCTIC ICE; MASS-BALANCE; RECORD; DUST; GLACIER; CLIMATE; GEOCHRONOLOGY; TEMPERATURE; DEPOSITION; DEPTH</t>
  </si>
  <si>
    <t>In 2005, two ice cores with lengths of 58.7 and 57.6 m respectively to bedrock were recovered from the Miaoergou flat-topped glacier (43 degrees 03 ' 19 '' N, 94 degrees 19 ' 21 '' E; 4512 m a.s.l.), eastern Tien Shan. Pb-210 dating of one of the ice cores (57.6 m) was performed, and an age of AD 1851 +/- 6 at a depth of 35.2 m w.e. was determined. For the period AD 1851-2005, a mean annual net accumulation of 229 +/- 7 mm w.e. a(-1) was calculated. At the nearby oasis city of Hami (similar to 80 km from the Miaoergou flat-topped glacier) the annual precipitation rate is 38 mm w.e. a(-1), hence glacial meltwater is a major water supply for local residents. The surface activity concentration of Pb-210(ex) was found to be similar to 400 mBq kg(-1), which is higher than observed at other continental sites such as Belukha, Russia, and Tsambagarav, Mongolia, which have surface activity concentrations of 280 mBq kg(-1). The Pb-210 dating agrees well with the chronological sequence deduced from the annual-layer counting resulting from the seasonalities of delta O-18 and trace metals for the period AD 1953-2005, and beta-activity horizons resulting from atmospheric nuclear testing during the period AD 1962-63. We conclude that Pb-210 analysis is a suitable method for obtaining a continuous dating of the Miaoergou ice core for similar to 160 years, which can also be applied to other ice cores recovered from the mountains of western China.</t>
  </si>
  <si>
    <t>[Wang, Chaomin; Hou, Shugui; Pang, Hongxi] Nanjing Univ, Sch Geog &amp; Oceanog Sci, Nanjing 210008, Jiangsu, Peoples R China; [Liu, Yaping] Chinese Acad Sci, Cold &amp; Arid Regions Environm &amp; Engn Res Inst, State Key Lab Cryospher Sci, Lanzhou, Peoples R China; [Gaeggeler, Heinz W.; Tobler, Leonhard] Paul Scherrer Inst, Villigen, Switzerland; [Szidat, Soenke; Vogel, Edith] Univ Bern, Lab Radio &amp; Environm Chem, Bern, Switzerland</t>
  </si>
  <si>
    <t>Nanjing University; Chinese Academy of Sciences; Cold &amp; Arid Regions Environmental &amp; Engineering Research Institute, CAS; Swiss Federal Institutes of Technology Domain; Paul Scherrer Institute; University of Bern</t>
  </si>
  <si>
    <t>Wang, CM (corresponding author), Nanjing Univ, Sch Geog &amp; Oceanog Sci, Nanjing 210008, Jiangsu, Peoples R China.</t>
  </si>
  <si>
    <t>shugui@nju.edu.cn</t>
  </si>
  <si>
    <t>Szidat, Sönke/D-6706-2011; Hou, Shugui/J-3651-2015</t>
  </si>
  <si>
    <t>Hou, Shugui/0000-0002-0905-3542</t>
  </si>
  <si>
    <t>National Natural Science Foundation of China [41330526, 41171052, 41321062, 40825017]; National Basic Research Program of China [2010CB951401]; Chinese Academy of Sciences [XDB03030101-4]; Fundamental Research Funds for the Central Universities [1082020904, 20110091110025]</t>
  </si>
  <si>
    <t>National Natural Science Foundation of China(National Natural Science Foundation of China (NSFC)); National Basic Research Program of China(National Basic Research Program of China); Chinese Academy of Sciences(Chinese Academy of Sciences); Fundamental Research Funds for the Central Universities(Fundamental Research Funds for the Central Universities)</t>
  </si>
  <si>
    <t>We greatly appreciate the efforts of all field personnel on the scientific expedition to the Miaoergou flat-topped glacier in 2005. This research was funded by the National Natural Science Foundation of China (41330526, 41171052, 41321062 and 40825017), the National Basic Research Program of China (2010CB951401), the Chinese Academy of Sciences (XDB03030101-4) and the Fundamental Research Funds for the Central Universities (1082020904, 20110091110025). H.W.G. greatly appreciates the hospitality he received during his visit to Nanjing University.</t>
  </si>
  <si>
    <t>10.3189/2014AoG66A151</t>
  </si>
  <si>
    <t>WOS:000336010200014</t>
  </si>
  <si>
    <t>Lu, P; Li, ZJ</t>
  </si>
  <si>
    <t>Lu, Peng; Li, Zhijun</t>
  </si>
  <si>
    <t>Uncertainties in retrieved ice thickness from freeboard measurements due to surface melting</t>
  </si>
  <si>
    <t>energy balance; remote sensing; sea ice; snow; surface melt</t>
  </si>
  <si>
    <t>ARCTIC SEA-ICE; FRAM STRAIT; SUMMER; SNOW; DEPTH; PONDS</t>
  </si>
  <si>
    <t>Airborne and spaceborne remote sensing of ice freeboard offers a good method of retrieving ice thickness in the polar oceans. However, its accuracy is highly limited by the factors altering the hydrostatic equilibrium of ice floes, such as snow cover and melt ponds which change the surface loading on the ice volume. In contrast to the abundant studies on snow loads, little attention has been paid to the role of melt ponds, partly owing to the difficulties of freeboard measurements during the melt season. To help fill this gap and provide a basis for possible instruments and algorithms being able to access ice freeboard with melting surface in future, a theoretical model was developed to investigate the uncertainty in ice thickness retrieval due to surface melting. First, the ice thickness was related to the freeboard, snow depth, melt pond size and densities of snow, ice and water, and then a sensitivity analysis was carried out to study the influence of melt pond morphology. The results show that melting ice has a much lower mean thickness than ice without a melting surface, although with the same freeboard because of a loss of floe weight due to melting. During pond evolution, a floe gains weight when ponds deepen on the vertical scale, but loses weight when they widen on the horizontal scale, resulting in increasing mean ice thickness with decreasing pond depth and fraction. Freeboard is found to be the major source of uncertainty in the retrieved thickness of first-year ice (FYI), while it is ice density in the case of multi-year ice (MYI). The ratio of ice draft to freeboard ranges from 3.0 to 6.2 for FYI and 2.0 to 4.1 for MYI, agreeing with field observations during melting seasons.</t>
  </si>
  <si>
    <t>[Lu, Peng; Li, Zhijun] Dalian Univ Technol, State Key Lab Coastal &amp; Offshore Engn, Dalian, Peoples R China</t>
  </si>
  <si>
    <t>Dalian University of Technology</t>
  </si>
  <si>
    <t>Lu, P (corresponding author), Dalian Univ Technol, State Key Lab Coastal &amp; Offshore Engn, Dalian, Peoples R China.</t>
  </si>
  <si>
    <t>lupeng@dlut.edu.cn</t>
  </si>
  <si>
    <t>Lu, Peng/HNR-4786-2023; Li, Zhijun/A-5299-2019</t>
  </si>
  <si>
    <t>Li, Zhijun/0000-0002-2897-0450</t>
  </si>
  <si>
    <t>National Natural Science Foundation of China [41276191, 40930848]; International Science and Technology Cooperation Projects of China [2011DFA22260]; Chinese Arctic and Antarctic Administration</t>
  </si>
  <si>
    <t>National Natural Science Foundation of China(National Natural Science Foundation of China (NSFC)); International Science and Technology Cooperation Projects of China; Chinese Arctic and Antarctic Administration</t>
  </si>
  <si>
    <t>This research was supported by the National Natural Science Foundation of China (41276191 and 40930848), and the International Science and Technology Cooperation Projects of China (2011DFA22260). We thank all crew on RN Xuelong for their help during CHINARE-2010 which was organized by the Chinese Arctic and Antarctic Administration. Special thanks go to Christian Haas of York University, Canada, for help with satellite altimetry interpretation. We also thank two anonymous reviewers for constructive comments and recommendations.</t>
  </si>
  <si>
    <t>10.3189/2014AoG66A188</t>
  </si>
  <si>
    <t>WOS:000336010200025</t>
  </si>
  <si>
    <t>Herzfeld, UC; Wallin, B</t>
  </si>
  <si>
    <t>Herzfeld, Ute C.; Wallin, Bruce</t>
  </si>
  <si>
    <t>Spatio-temporal analysis of surface elevation changes in Pine Island Glacier, Antarctica, from ICESat GLAS data and ERS-1 radar altimeter data</t>
  </si>
  <si>
    <t>Antarctic glaciology; ice streams; remote sensing</t>
  </si>
  <si>
    <t>WEST ANTARCTICA; SHEET; GEOSTATISTICS; ACCELERATION; MARGINS; MISSION; LAND</t>
  </si>
  <si>
    <t>Characterized by fast movement, low surface slope and grounding below sea level, Pine Island Glacier (PIG) plays an important role in the stability of the West Antarctic ice sheet. In previous work, we reported that the spatial distribution of 1995-2003 surface lowering in PIG suggests an attribution of changes to an internally forced process in the glacier. Other work associates changes in PIG entirely with processes in its ice shelf. Here time series of maps of surface elevation change in PIG and its ice shelf are derived from geostatistical analysis of ICESat GLAS and ERS-1 radar altimeter data. Based on spatio-temporal analysis of 1995-2007 elevation change, we discuss indications of processes that initiate from changes in the ice shelf versus processes that start internally in the glacier. Thinning rates continued to increase after 2003, regionally to &gt;15 m a(-1). The initiation of acceleration occurred in the interior of the ice stream, while in later years largest elevation loss was driven by changes in the ice shelf and upward propagation. By 2006, the region of thinning had expanded up-glacier beyond the initial areas of surface lowering to 100 km above the hinge line. More than one process causes dynamically complex changes in PIG.</t>
  </si>
  <si>
    <t>[Herzfeld, Ute C.] Univ Colorado, Dept Elect Comp &amp; Energy Engn, Boulder, CO 80309 USA; [Herzfeld, Ute C.] Univ Colorado, Cooperat Inst Res Environm Sci, Boulder, CO 80309 USA; [Wallin, Bruce] New Mexico Inst Min &amp; Technol, Dept Appl Math, Socorro, NM 87801 USA</t>
  </si>
  <si>
    <t>University of Colorado System; University of Colorado Boulder; University of Colorado System; University of Colorado Boulder; New Mexico Institute of Mining Technology</t>
  </si>
  <si>
    <t>Herzfeld, UC (corresponding author), Univ Colorado, Dept Elect Comp &amp; Energy Engn, Boulder, CO 80309 USA.</t>
  </si>
  <si>
    <t>ute.herzfeld@colorado.edu</t>
  </si>
  <si>
    <t>Herzfeld, Ute/AAE-5115-2019</t>
  </si>
  <si>
    <t>Herzfeld, Ute/0000-0002-5694-4698</t>
  </si>
  <si>
    <t>NASA Cryospheric Sciences [NNGO4G062G (Pine Island Glacier), NNX09A083G, NNX08AV9OG]; University of Colorado Undergraduate Research Opportunity Program (UROP)</t>
  </si>
  <si>
    <t>NASA Cryospheric Sciences(National Aeronautics &amp; Space Administration (NASA)); University of Colorado Undergraduate Research Opportunity Program (UROP)</t>
  </si>
  <si>
    <t>Thanks are due to John DiMarzio and David Hancock of the NASA Goddard Space Flight Center and Tim Urban of the University of Texas at Austin for discussions on data processing, to U.C.H.'s colleagues of the ICESat Science Team, the ICESat-2 ad hoc Science Team and the ICESat and ICESat-2 Projects for collaboration, to Patrick McBride, Danielle Lirette, Tyler Sears, Thomas Trantow, Alexander Weltman, Brian McDonald, all of University of Colorado Boulder, and to Almut Herzfeld Mayer for help with data processing and manuscript preparation, to editors Doug MacAyeal and Weili Wang and to anonymous reviewers whose help improved the manuscript. Support through NASA Cryospheric Sciences awards NNGO4G062G (Pine Island Glacier), NNX09A083G and NNX08AV9OG to U.C.H. and through the University of Colorado Undergraduate Research Opportunity Program (UROP) is gratefully appreciated, the latter especially by B.W.</t>
  </si>
  <si>
    <t>10.3189/2014AoG66A014</t>
  </si>
  <si>
    <t>WOS:000336010200030</t>
  </si>
  <si>
    <t>Ekaykin, AA; Kozachek, AV; Lipenkov, VY; Shibaev, YA</t>
  </si>
  <si>
    <t>Ekaykin, A. A.; Kozachek, A. V.; Lipenkov, V. Ya.; Shibaev, Yu. A.</t>
  </si>
  <si>
    <t>Multiple climate shifts in the Southern Hemisphere over the past three centuries based on central Antarctic snow pits and core studies</t>
  </si>
  <si>
    <t>Antarctic glaciology; climate change; ice and climate; ice core; snow</t>
  </si>
  <si>
    <t>ICE-CORE; ISOTOPE COMPOSITION; VOSTOK STATION; TEMPERATURES; VARIABILITY</t>
  </si>
  <si>
    <t>Based on the results of geochemical and glaciological investigations in snow pits and shallow cores, regional stack series of air temperature in central Antarctica (in the southern part of Vostok Subglacial Lake) were obtained, covering the last 350 years. It is shown that this parameter varied quasi-periodically with a wavelength of 30-50 years. The correlation of the newly obtained record with the circulation indices of the Southern Hemisphere (SH) shows that the central Antarctic climate is mainly governed by the type of circulation in the SH: under conditions of zonal circulation, negative anomalies of temperature and precipitation rate are observed, whereas the sign of the anomalies is positive during meridional circulation. In the 1970s the sign of the relationship between many climatic parameters changed, which is likely related to the rearrangement of the climatic system of the SH. The data suggest that during the past 350 years such events have taken place at least five times. The stable water isotope content of the central Antarctic snow is governed by the summer temperature rather than the mean annual temperature, which is interpreted as the influence of 'post-depositional' effects.</t>
  </si>
  <si>
    <t>[Ekaykin, A. A.; Kozachek, A. V.; Lipenkov, V. Ya.; Shibaev, Yu. A.] Arctic &amp; Antarctic Res Inst, Climate &amp; Environm Res Lab, St Petersburg 199226, Russia</t>
  </si>
  <si>
    <t>Ekaykin, AA (corresponding author), Arctic &amp; Antarctic Res Inst, Climate &amp; Environm Res Lab, St Petersburg 199226, Russia.</t>
  </si>
  <si>
    <t>ekaykin@aari.ru</t>
  </si>
  <si>
    <t>Kozachek, Anna V./Q-4543-2016; Kozachek, Anna V./JCE-4791-2023; Ekaykin, Alexey A./K-9894-2015; Lipenkov, Vladimir/Q-8262-2016</t>
  </si>
  <si>
    <t>Kozachek, Anna V./0000-0002-9704-8064; Lipenkov, Vladimir/0000-0003-4221-5440</t>
  </si>
  <si>
    <t>Russian Foundation for Basic Research [13-05-00607]</t>
  </si>
  <si>
    <t>The work was financially supported by the Russian Foundation for Basic Research grant 13-05-00607. We thank Alice Lagnado for improving the English, and two anonymous reviewers for valuable comments.</t>
  </si>
  <si>
    <t>10.3189/2014AoG66A189</t>
  </si>
  <si>
    <t>WOS:000336010200031</t>
  </si>
  <si>
    <t>Bustos, RL; Daneri, GA; Volpedo, AV; Harrington, A; Varela, EA</t>
  </si>
  <si>
    <t>Bustos, Raimundo Lucas; Daneri, Gustavo Adolfo; Volpedo, Alejandra Vanina; Harrington, Ana; Varela, Esperanza Amalia</t>
  </si>
  <si>
    <t>Diet of the South American sea lion Otaria flavescens during the summer season at Rio Negro, Patagonia, Argentina</t>
  </si>
  <si>
    <t>AQUATIC BIOLOGY</t>
  </si>
  <si>
    <t>Otaria flavescens; Summer diet; Scats; Patagonia; Argentina</t>
  </si>
  <si>
    <t>ANTARCTIC FUR SEALS; ARCTOCEPHALUS-GAZELLA; FISHERY; WINTER; POPULATION; DIGESTION; OTOLITHS; BEHAVIOR; OVERLAP; PISCES</t>
  </si>
  <si>
    <t>The South American sea lion Otaria flavescens population from northern Patagonia was under intensive commercial harvesting pressure between 1930 and 1950 and is currently increasing at a rate of nearly 6% yr(-1). Food availability in the oceans is one of the most important factors influencing the survival and dynamics of marine mammal populations. The objective of the present study was to determine the summer diet of O. flavescens by faecal analysis, in order to assess its trophic behavior, determine whether there are interannual differences in diet composition, and evaluate the potential interaction between fisheries operating in the study area and the species. Present results show that O. flavescens preys mainly on fish species, with Raneya brasiliensis being the most frequent (frequency of occurrence, % FO = 65.7) and abundant (% N = 47.9) fish prey. Cephalopods were the second most important prey item in terms of % FO (42.6%), with the highest index of relative importance corresponding to the octopod Octopus tehuelches. Since these prey taxa are not targeted by the commercial fishing fleet that operates in the study area, the overlap in the use of resources by O. flavescens and fisheries may not be substantial. Given that the biomass of the prey species mentioned above is not directly affected by fishery activities during summer, a greater amount of food may be available for sea lions, with this factor possibly contributing to the population recovery in the area.</t>
  </si>
  <si>
    <t>[Bustos, Raimundo Lucas; Daneri, Gustavo Adolfo; Harrington, Ana; Varela, Esperanza Amalia] Museo Argentino Ciencias Nat Bernardino Rivadavia, Div Mastozool, Buenos Aires, DF, Argentina; [Volpedo, Alejandra Vanina] Univ Buenos Aires, CONICET, Ctr Estudios Transdisciplinarios, Fac Ciencias Vet, Buenos Aires, DF, Argentina</t>
  </si>
  <si>
    <t>Museo Argentino de Ciencias Naturales Bernardino Rivadavia (MACN); University of Buenos Aires; Consejo Nacional de Investigaciones Cientificas y Tecnicas (CONICET)</t>
  </si>
  <si>
    <t>Bustos, RL (corresponding author), Museo Argentino Ciencias Nat Bernardino Rivadavia, Div Mastozool, Av Angel Gallardo 470,C1405DJR, Buenos Aires, DF, Argentina.</t>
  </si>
  <si>
    <t>lbustos@macn.gov.ar</t>
  </si>
  <si>
    <t>Volpedo, Alejandra/ADT-1366-2022; Volpedo, Alejandra Vanina/AAP-9903-2020</t>
  </si>
  <si>
    <t>Volpedo, Alejandra/0000-0003-3321-311X;</t>
  </si>
  <si>
    <t>CONICET; Universidad de Buenos Aires (UBACYT) [20620110100007]; Agencia Argentina para la Promocion de la Ciencia y la Tecnologia (ANPCyT) [PICT 2010-1372]</t>
  </si>
  <si>
    <t>CONICET(Consejo Nacional de Investigaciones Cientificas y Tecnicas (CONICET)); Universidad de Buenos Aires (UBACYT)(University of Buenos Aires); Agencia Argentina para la Promocion de la Ciencia y la Tecnologia (ANPCyT)</t>
  </si>
  <si>
    <t>We thank the Secretaria de Medio Ambiente and Direccion de Fauna of Rio Negro province for giving us permission to sample in the rookery; Mauricio Failla, Roberto Lini and Ramon Conde for logistic support; and the rangers from Rio Negro province for their collaboration in field work. We are also grateful to CONICET, Universidad de Buenos Aires (UBACYT 20620110100007), and Agencia Argentina para la Promocion de la Ciencia y la Tecnologia (ANPCyT) Proyecto PICT 2010-1372 for financial support. Finally, we thank the 2 anonymous reviewers whose critical comments greatly improved the manuscript.</t>
  </si>
  <si>
    <t>1864-7790</t>
  </si>
  <si>
    <t>1864-7782</t>
  </si>
  <si>
    <t>AQUAT BIOL</t>
  </si>
  <si>
    <t>Aquat. Biol.</t>
  </si>
  <si>
    <t>10.3354/ab00557</t>
  </si>
  <si>
    <t>AH0RM</t>
  </si>
  <si>
    <t>WOS:000335827900006</t>
  </si>
  <si>
    <t>Weller, R; Levin, I; Schmithüsen, D; Nachbar, M; Asseng, J; Wagenbach, D</t>
  </si>
  <si>
    <t>Weller, R.; Levin, I.; Schmithuesen, D.; Nachbar, M.; Asseng, J.; Wagenbach, D.</t>
  </si>
  <si>
    <t>On the variability of atmospheric 222Rn activity concentrations measured at Neumayer, coastal Antarctica</t>
  </si>
  <si>
    <t>TRACE-ELEMENTS; BOUNDARY-LAYER; RADON; TRANSPORT; AEROSOL; OCEAN; SOIL</t>
  </si>
  <si>
    <t>We report on continuously measured Rn-222 activity concentrations in near-surface air at Neumayer Station in the period 1995-2011. This 17-year record showed no long-term trend and has overall mean +/- standard deviation of (0.019 +/- 0.012) Bqm(-3). A distinct and persistent seasonality could be distinguished with maximum values of (0.028 +/- 0.013) Bqm(-3) from January to March and minimum values of (0.015 +/- 0.009) Bqm(-3) from May to October. Elevated Rn-222 activity concentrations were typically associated with air mass transport from the Antarctic Plateau. Our results do not support a relation between enhanced Rn-222 activity concentrations at Neumayer and cyclonic activity or long-range transport from South America. The impact of oceanic Rn-222 emissions could not be properly assessed but we tentatively identified regional sea ice extent (SIE) variability as a significant driver of the annual Rn-222 cycle.</t>
  </si>
  <si>
    <t>[Weller, R.; Asseng, J.] Helmholtz Zentrum Polar &amp; Meeresforsch, Alfred Wegener Inst, D-27570 Bremerhaven, Germany; [Levin, I.; Schmithuesen, D.; Nachbar, M.; Wagenbach, D.] Heidelberg Univ, Inst Umweltphys, D-69120 Heidelberg, Germany</t>
  </si>
  <si>
    <t>Helmholtz Association; Alfred Wegener Institute, Helmholtz Centre for Polar &amp; Marine Research; Ruprecht Karls University Heidelberg</t>
  </si>
  <si>
    <t>Weller, R (corresponding author), Helmholtz Zentrum Polar &amp; Meeresforsch, Alfred Wegener Inst, Handelshafen 12, D-27570 Bremerhaven, Germany.</t>
  </si>
  <si>
    <t>rolf.weller@awi.de</t>
  </si>
  <si>
    <t>Rolf, Weller/0000-0003-4880-5572</t>
  </si>
  <si>
    <t>German Science Foundation (DFG); European Community STEP programme within the project Polar Atmospheric Chemistry</t>
  </si>
  <si>
    <t>German Science Foundation (DFG)(German Research Foundation (DFG)); European Community STEP programme within the project Polar Atmospheric Chemistry</t>
  </si>
  <si>
    <t>The authors would like to thank the many technicians and scientists of the Neumayer overwintering crews, whose outstanding commitment has enabled the achievement of continuous, high quality aerosol and trace gas records since 1982. Special thanks go to Holger Schmithusen and Gert Konig-Langlo for their effort in compiling meteorological data for our purpose. We are thankful to NOAA Air Resources Laboratory for having made available the HYSPLIT trajectory calculation program as well as all input data files used. We also acknowledge partial funding of the initial phase of the air chemical NM Observatory programme by the German Science Foundation (DFG) as well as financial support obtained within the European Community STEP programme within the project Polar Atmospheric Chemistry.</t>
  </si>
  <si>
    <t>10.5194/acp-14-3843-2014</t>
  </si>
  <si>
    <t>AH2AO</t>
  </si>
  <si>
    <t>WOS:000335923300005</t>
  </si>
  <si>
    <t>Toyota, K; Dastoor, AP; Ryzhkov, A</t>
  </si>
  <si>
    <t>Toyota, K.; Dastoor, A. P.; Ryzhkov, A.</t>
  </si>
  <si>
    <t>Air-snowpack exchange of bromine, ozone and mercury in the springtime Arctic simulated by the 1-D model PHANTAS - Part 2: Mercury and its speciation</t>
  </si>
  <si>
    <t>GASEOUS ELEMENTAL MERCURY; DISSOLVED ORGANIC-MATTER; ATMOSPHERIC MERCURY; BOUNDARY-LAYER; DEPLETION EVENTS; SEA-ICE; NY-ALESUND; VERTICAL-DISTRIBUTION; HUMIC SUBSTANCES; MIXED COMPLEXES</t>
  </si>
  <si>
    <t>Atmospheric mercury depletion events (AMDEs) refer to a recurring depletion of mercury occurring in the springtime Arctic (and Antarctic) boundary layer, in general, concurrently with ozone depletion events (ODEs). To close some of the knowledge gaps in the physical and chemical mechanisms of AMDEs and ODEs, we have developed a one-dimensional model that simulates multiphase chemistry and transport of trace constituents throughout porous snowpack and in the overlying atmospheric boundary layer (ABL). This paper constitutes Part 2 of the study, describing the mercury component of the model and its application to the simulation of AMDEs. Building on model components reported in Part 1 (In-snow bromine activation and its impact on ozone), we have developed a chemical mechanism for the redox reactions of mercury in the gas and aqueous phases with temperature dependent reaction rates and equilibrium constants accounted for wherever possible. Thus the model allows us to study the chemical and physical processes taking place during ODEs and AMDEs within a single framework where two-way interactions between the snowpack and the atmosphere are simulated in a detailed, process-oriented manner. Model runs are conducted for meteorological and chemical conditions that represent the springtime Arctic ABL characterized by the presence of haze (sulfate aerosols) and the saline snowpack on sea ice. The oxidation of gaseous elemental mercury (GEM) is initiated via reaction with Br-atom to form HgBr, followed by competitions between its thermal decomposition and further reactions to give thermally stable Hg(II) products. To shed light on uncertain kinetics and mechanisms of this multi-step oxidation process, we have tested different combinations of their rate constants based on published laboratory and quantum mechanical studies. For some combinations of the rate constants, the model simulates roughly linear relationships between the gaseous mercury and ozone concentrations as observed during AMDEs/ODEs by including the reaction HgBr + BrO and assuming its rate constant to be the same as for the reaction HgBr + Br, while for other combinations the results are more realistic by neglecting the reaction HgBr + BrO. Speciation of gaseous oxidized mercury (GOM) changes significantly depending on whether or not BrO is assumed to react with HgBr to form Hg(OBr)Br. Similarly to ozone (reported in Part 1), GEM is depleted via bromine radical chemistry more vigorously in the snowpack interstitial air than in the ambient air. However, the impact of such in-snow sink of GEM is found to be often masked by the re-emissions of GEM from the snow following the photo-reduction of Hg(II) deposited from the atmosphere. GOM formed in the ambient air is found to undergo fast dry deposition to the snowpack by being trapped on the snow grains in the top similar to 1 mm layer. We hypothesize that liquid-like layers on the surface of snow grains are connected to create a network throughout the snowpack, thereby facilitating the vertical diffusion of trace constituents trapped on the snow grains at much greater rates than one would expect inside solid ice crystals. Nonetheless, on the timescale of a week simulated in this study, the signal of atmospheric deposition does not extend notably below the top 1 cm of the snowpack. We propose and show that particulate-bound mercury (PBM) is produced mainly as HgBr42- by taking up GOM into bromide-enriched aerosols after ozone is significantly depleted in the air mass. In the Arctic, haze aerosols may thus retain PBM in ozone-depleted air masses, allowing the airborne transport of oxidized mercury from the area of its production farther than in the form of GOM. Temperature dependence of thermodynamic constants calculated in this study for Henry's law and aqueous-phase halide complex formation of Hg(II) species is a critical factor for this proposition, calling for experimental verification. The proposed mechanism may explain observed changes in the GOM-PBM partitioning with seasons, air temperature and the concurrent progress of ozone depletion in the high Arctic. The net deposition of mercury to the surface snow is shown to increase with the thickness of the turbulent ABL and to correspond well with the column amount of BrO in the atmosphere.</t>
  </si>
  <si>
    <t>[Toyota, K.] York Univ, Dept Earth &amp; Space Sci &amp; Engn, Toronto, ON M3J 2R7, Canada; [Toyota, K.] Environm Canada, Air Qual Modelling &amp; Integrat Sect, Toronto, ON, Canada; [Dastoor, A. P.; Ryzhkov, A.] Environm Canada, Air Qual Modelling &amp; Integrat Sect, Dorval, PQ, Canada</t>
  </si>
  <si>
    <t>York University - Canada; Environment &amp; Climate Change Canada; Environment &amp; Climate Change Canada</t>
  </si>
  <si>
    <t>Toyota, K (corresponding author), York Univ, Dept Earth &amp; Space Sci &amp; Engn, Toronto, ON M3J 2R7, Canada.</t>
  </si>
  <si>
    <t>kenjiro.toyota@ec.gc.ca</t>
  </si>
  <si>
    <t>Toyota, Kenjiro/D-7044-2012</t>
  </si>
  <si>
    <t>Toyota, Kenjiro/0000-0001-9280-5305; Dastoor, Ashu/0000-0002-3312-7484</t>
  </si>
  <si>
    <t>Clean Air Regulatory Agenda (CARA) at Environment Canada</t>
  </si>
  <si>
    <t>This study was supported by funding from the Clean Air Regulatory Agenda (CARA) at Environment Canada. We wish to thank M. Subir, A. Steffen, G. Kos, P. A. Ariya and F. Wang for useful discussion on mercury chemistry and measurements. We are also grateful to comments from the referees and the editor.</t>
  </si>
  <si>
    <t>10.5194/acp-14-4135-2014</t>
  </si>
  <si>
    <t>WOS:000335923300023</t>
  </si>
  <si>
    <t>Matsumoto, GI; Honda, E; Seto, K; Tani, Y; Watanabe, T; Ohtani, S; Kashima, K; Nakamura, T; Imura, S</t>
  </si>
  <si>
    <t>Matsumoto, Genki I.; Honda, Eisuke; Seto, Koji; Tani, Yukinori; Watanabe, Takahiro; Ohtani, Shuji; Kashima, Kaoru; Nakamura, Toshio; Imura, Satoshi</t>
  </si>
  <si>
    <t>Holocene paleolimnological changes of Lake Oyako-ike in the Soya Kaigan of East Antarctica</t>
  </si>
  <si>
    <t>INLAND WATERS</t>
  </si>
  <si>
    <t>AMS C-14 dating; Antarctic lake; microalgae; cyanobacteria; organic components; paleolimnology; sediment core; Soya Kaigan</t>
  </si>
  <si>
    <t>LUTZOW-HOLM BAY; ENVIRONMENTAL-CHANGE; ORGANIC-COMPONENTS; RADIOCARBON AGE; LARSEMANN HILLS; HISTORY; HOVSGOL; DEGLACIATION; CALIBRATION; MONGOLIA</t>
  </si>
  <si>
    <t>We studied Holocene paleolimnological changes as a part of studies of global change in Lake Oyako-ike in the Soya Kaigan of Lutzow-Holm Bay region in East Antarctica, inferred from organic components and microscopic observation of microalgae and cyanobacteria in a sediment core (Ok4C-01, core length 135 cm), along with sedimentary facies and accelerator mass spectrometry (AMS) C-14 dating. The Ok4C-01 core was composed mainly of silt and fine sand containing laminae between 135 and 65.5 cm, overlain by cyanobacterial mud between 65.5 and 0 cm. The mean sedimentation rate and crustal uplift rate were estimated to be 0.69 mm/y and 2.2 mm/y, respectively. The crustal uplift rate of Lake Oyako-ike basin is similar to those of present uplift rates but is somewhat greater than those estimated in the Lambert Glacier region, East Antarctica. The low biological production with diatoms in coastal marine environments (135-74.75 cm, ca. 2170-1300 cal BP) changes into green sulfur bacteria in stratified saline lake environments (74.75-60.95 cm, ca. 1300-1100 cal BP), and then high biological production with cyanobacteria and green algae in freshwater environments (60.95-0 cm, ca. 1100-220 cal BP). The ongoing retreat of glaciers and ongoing isostatic uplift during the mid-Holocene Hypsithermal (4000-2000 years ago) and thereafter are the main reasons for this isolation, whereas eustatic sea level change is believed to have played only a minor role.</t>
  </si>
  <si>
    <t>[Matsumoto, Genki I.; Honda, Eisuke] Otsuma Womens Univ, Dept Environm Studies, Tokyo 2068540, Japan; [Seto, Koji] Shimane Univ, Res Ctr Coastal Lagoon Environm, Matsue, Shimane 6908504, Japan; [Tani, Yukinori] Univ Shizuoka, Inst Environm Sci, Suruga Ku, Shizuoka 4228526, Japan; [Watanabe, Takahiro] Tohoku Univ, Grad Sch Sci, Aoba Ku, Sendai, Miyagi 9808578, Japan; [Ohtani, Shuji] Shimane Univ, Fac Educ, Matsue, Shimane 6908504, Japan; [Kashima, Kaoru] Kushu Univ, Dept Earth &amp; Planetary Sci, Higashi Ku, Fukuoka 8128581, Japan; [Nakamura, Toshio] Nagoya Univ, Ctr Chronol Res, Chikusa Ku, Nagoya, Aichi 4648601, Japan; [Imura, Satoshi] Natl Inst Polar Res, Tokyo 1908518, Japan</t>
  </si>
  <si>
    <t>Shimane University; University of Shizuoka; Tohoku University; Shimane University; Kyushu University; Nagoya University; Research Organization of Information &amp; Systems (ROIS); National Institute of Polar Research (NIPR) - Japan</t>
  </si>
  <si>
    <t>Matsumoto, GI (corresponding author), Otsuma Womens Univ, Dept Environm Studies, 2-7-1 Karakida, Tokyo 2068540, Japan.</t>
  </si>
  <si>
    <t>genki@otsuma.ac.jp</t>
  </si>
  <si>
    <t>Grants-in-Aid for Scientific Research [23247012, 24501291] Funding Source: KAKEN</t>
  </si>
  <si>
    <t>2044-2041</t>
  </si>
  <si>
    <t>2044-205X</t>
  </si>
  <si>
    <t>Inland Waters</t>
  </si>
  <si>
    <t>10.5268/IW-4.2.679</t>
  </si>
  <si>
    <t>Limnology; Marine &amp; Freshwater Biology</t>
  </si>
  <si>
    <t>AH2CA</t>
  </si>
  <si>
    <t>WOS:000335927100001</t>
  </si>
  <si>
    <t>Stanley, GJ; Saenko, OA</t>
  </si>
  <si>
    <t>Stanley, Geoff J.; Saenko, Oleg A.</t>
  </si>
  <si>
    <t>Bottom-Enhanced Diapycnal Mixing Driven by Mesoscale Eddies: Sensitivity to Wind Energy Supply</t>
  </si>
  <si>
    <t>Circulation; Dynamics; Abyssal circulation; Diapycnal mixing; Eddies; Meridional overturning circulation; Models and modeling; Ocean models</t>
  </si>
  <si>
    <t>OCEAN CIRCULATION; OVERTURNING CIRCULATION; SOUTHERN-OCEAN; SPATIAL VARIABILITY; NORTH-ATLANTIC; EDDY ENERGY; DEEP-OCEAN; PARAMETERIZATION; MODEL; TRANSPORT</t>
  </si>
  <si>
    <t>It has been estimated that much of the wind energy input to the ocean general circulation is removed by mesoscale eddies via baroclinic instability. While the fate of this energy remains a subject of research, arguments have been presented suggesting that a fraction of it may get transferred to lee waves that, upon breaking, result in bottom-enhanced diapycnal mixing. Here the authors propose several parameterizations of this process and explore their impact in a low-resolution ocean-climate model, focusing on their impact on the abyssal meridional overturning circulation (MOC) of Antarctic Bottom Water. This study shows that, when the eddy energy is allowed to maintain diapycnal mixing, the abyssal MOC generally intensifies with increasing wind energy input to the ocean. In such a case, the whole system is driven by the wind: wind steepens isopycnals and generates eddies, and the (parameterized) eddies generate small-scale mixing, driving the MOC. It is also demonstrated that if the model diapycnal diffusivity, eddy transfer coefficient, and surface climate are decoupled from the winds, then stronger wind stress in the Southern Ocean may lead to a weaker MOC in the abyssin line with previous results. A simple scaling theory, describing the response of the abyssal MOC strength to wind energy input, is developed, providing a better insight on the numerical results.</t>
  </si>
  <si>
    <t>[Stanley, Geoff J.] Univ Victoria, Sch Earth &amp; Ocean Sci, Victoria, BC V8P 5C2, Canada; [Saenko, Oleg A.] Environm Canada, Canadian Ctr Climate Modelling &amp; Anal, Victoria, BC, Canada</t>
  </si>
  <si>
    <t>University of Victoria; Environment &amp; Climate Change Canada; Canadian Centre for Climate Modelling &amp; Analysis (CCCma)</t>
  </si>
  <si>
    <t>Stanley, GJ (corresponding author), Univ Victoria, 3800 Finnerty Rd, Victoria, BC V8P 5C2, Canada.</t>
  </si>
  <si>
    <t>gstanley@uvic.ca</t>
  </si>
  <si>
    <t>Stanley, Geoffrey/HCI-9874-2022</t>
  </si>
  <si>
    <t>Stanley, Geoffrey/0000-0003-4536-8602</t>
  </si>
  <si>
    <t>Natural Sciences and Engineering Research Council (NSERC) of Canada; NSERC CREATE Training Program in Interdisciplinary Climate Science at the University of Victoria</t>
  </si>
  <si>
    <t>Natural Sciences and Engineering Research Council (NSERC) of Canada(Natural Sciences and Engineering Research Council of Canada (NSERC)); NSERC CREATE Training Program in Interdisciplinary Climate Science at the University of Victoria(Natural Sciences and Engineering Research Council of Canada (NSERC))</t>
  </si>
  <si>
    <t>We thank Jody Klymak and Andrew Weaver for beneficial discussions, Bill Merryfield for constructive comments on the manuscript, and Mike Eby and Ed Wiebe for technical help with the University of Victoria Earth System Climate Model. We also thank reviewers for very helpful comments. GJS was supported by the Natural Sciences and Engineering Research Council (NSERC) of Canada and the NSERC CREATE Training Program in Interdisciplinary Climate Science at the University of Victoria.</t>
  </si>
  <si>
    <t>10.1175/JPO-D-13-0116.1</t>
  </si>
  <si>
    <t>AH0IH</t>
  </si>
  <si>
    <t>WOS:000335802100012</t>
  </si>
  <si>
    <t>Ollitrault, M; de Verdière, AC</t>
  </si>
  <si>
    <t>Ollitrault, Michel; de Verdiere, Alain Colin</t>
  </si>
  <si>
    <t>The Ocean General Circulation near 1000-m Depth</t>
  </si>
  <si>
    <t>Circulation; Dynamics; Currents; Dynamics; Large-scale motions; Ocean circulation</t>
  </si>
  <si>
    <t>TOTAL GEOSTROPHIC CIRCULATION; NORTH-ATLANTIC CIRCULATION; FLOW PATTERNS; PACIFIC-OCEAN; SEA-LEVEL; SOUTH; TRACERS; VENTILATION; MODEL; FIELD</t>
  </si>
  <si>
    <t>The mean ocean circulation near 1000-m depth is estimated with 100-km resolution from the Argo float displacements collected before 1 January 2010. After a thorough validation, the 400 000 or so displacements found in the 950-1150 dbar layer and with parking times between 4 and 17 days allow the currents to be mapped at intermediate depths with unprecedented details. The Antarctic Circumpolar Current (ACC) is the most prominent feature, but western boundary currents (and their recirculations) and alternating zonal jets in the tropical Atlantic and Pacific are also well defined. Eddy kinetic energy (EKE) gives the mesoscale variability (on the order of 10 cm(2) s(-2) in the interior), which is compared to the surface geostrophic altimetric EKE showing e-folding depths greater than 700 m in the ACC and northern subpolar regions. Assuming planetary geostrophy, the geopotential height of the 1000-dbar isobar is estimated to obtain an absolute and deep reference level worldwide. This is done by solving numerically the Poisson equation that results from taking the divergence of the geostrophic equations on the sphere, assuming Neumann boundary conditions.</t>
  </si>
  <si>
    <t>[Ollitrault, Michel] IFREMER, Lab Phys Oceans, Ctr Brest, F-29280 Plouzane, France; [de Verdiere, Alain Colin] Univ Bretagne Occidentale, Lab Phys Oceans, Brest, France</t>
  </si>
  <si>
    <t>Universite de Bretagne Occidentale; Centre National de la Recherche Scientifique (CNRS); Ifremer; Institut de Recherche pour le Developpement (IRD); Centre National de la Recherche Scientifique (CNRS); Ifremer; Institut de Recherche pour le Developpement (IRD); Universite de Bretagne Occidentale</t>
  </si>
  <si>
    <t>Ollitrault, M (corresponding author), IFREMER, Lab Phys Oceans, Ctr Brest, BP 70, F-29280 Plouzane, France.</t>
  </si>
  <si>
    <t>michel.ollitrault@ifremer.fr</t>
  </si>
  <si>
    <t>10.1175/JPO-D-13-030.1</t>
  </si>
  <si>
    <t>WOS:000335802100029</t>
  </si>
  <si>
    <t>Brasso, RL; Lang, J; Jones, CD; Polito, MJ</t>
  </si>
  <si>
    <t>Brasso, Rebecka L.; Lang, Jennifer; Jones, Christopher D.; Polito, Michael J.</t>
  </si>
  <si>
    <t>Ontogenetic niche expansion influences mercury exposure in the Antarctic silverfish Pleuragramma antarcticum</t>
  </si>
  <si>
    <t>Mercury; Ontogenetic shift; Trophic position; Stable isotope analysis; Foraging niche; Antarctic silverfish</t>
  </si>
  <si>
    <t>STABLE-ISOTOPE RATIOS; MARINE FOOD-WEB; BODY-SIZE; TROPHIC STRUCTURE; ROSS SEA; FISH; PREY; DIET; BIOACCUMULATION; GROWTH</t>
  </si>
  <si>
    <t>The effects of body size and age class on mercury concentrations were examined in the Antarctic silverfish Pleuragramma antarcticum, an ecologically important prey species in the Antarctic marine food web. Stable isotope analysis was used to investigate variation in mercury concentrations related to ontogenetic changes in diet and/or foraging habitat. Specimens of P. antarcticum were collected along the Ross Sea shelf in February 2008 and mercury concentrations in homogenized whole fish and muscle tissue were analyzed relative to standard length, age class (juvenile vs. adult) and isotopic measures of diet (delta N-15) and foraging habitat (delta C-13). While mercury concentration in muscle tended to be higher than whole-fish values, concentrations in these 2 matrices were highly correlated. A positive relationship was found between standard length and mercury concentration; further, adult P. antarcticum had significantly higher mercury concentrations than juveniles. Adult mercury concentrations were also more variable: the coefficient of variation in adult muscle (58.3%) was more than twice that found in juveniles (25.0%). Though no linear relationships were detected between standard length and delta N-15 or delta C-13 values when all individuals were combined, juvenile and adult size classes of fish differed in their isotopic niche position and width. In addition, delta C-13 values explained the greatest amount of variation in whole-fish mercury across all age classes and for adult fish alone. By expanding both the horizontal and vertical components of their foraging habitat, adult P. antarcticum may have a wider range of exposure to mercury compared with juvenile fish.</t>
  </si>
  <si>
    <t>[Brasso, Rebecka L.; Lang, Jennifer] Univ N Carolina, Dept Biol &amp; Marine Biol, Wilmington, NC 28403 USA; [Jones, Christopher D.] NOAA, SW Fisheries Sci Ctr, Antarctic Ecosyst Res Div, La Jolla, CA 92037 USA; [Polito, Michael J.] Woods Hole Oceanog Inst, Woods Hole, MA 02543 USA</t>
  </si>
  <si>
    <t>University of North Carolina; University of North Carolina Wilmington; National Oceanic Atmospheric Admin (NOAA) - USA; Woods Hole Oceanographic Institution</t>
  </si>
  <si>
    <t>Brasso, RL (corresponding author), Univ N Carolina, Dept Biol &amp; Marine Biol, 601 South Coll Rd, Wilmington, NC 28403 USA.</t>
  </si>
  <si>
    <t>rlb1196@uncw.edu</t>
  </si>
  <si>
    <t>Brasso, Rebecka L/I-7014-2013; Polito, Michael/G-9118-2012</t>
  </si>
  <si>
    <t>Polito, Michael/0000-0001-8639-4431</t>
  </si>
  <si>
    <t>United States National Science Foundation Office of Polar Programs grant [ANT 0739575]; Directorate For Geosciences; Office of Polar Programs (OPP) [0739575] Funding Source: National Science Foundation</t>
  </si>
  <si>
    <t>United States National Science Foundation Office of Polar Programs grant; Directorate For Geosciences; Office of Polar Programs (OPP)(National Science Foundation (NSF)NSF - Directorate for Geosciences (GEO))</t>
  </si>
  <si>
    <t>Funding for this research was provided by a United States National Science Foundation Office of Polar Programs grant (ANT 0739575) to S. Emslie, M.J.P., and W. Patterson. For logistical support, we thank the New Zealand National Institute of Water and Atmospheric Re search, US Antarctic Marine Living Resources Program, Raytheon Polar Services and the crew and scientific staff of the R/V 'Tangaroa'. K. Durenberger and C. Lane provided helpful assistance with sample preparation and stable isotope analysis. We also thank members of J.L.'s honors committee, S. Emslie, S. Skrabal, and M. Van Tuinen for providing helpful suggestions and support throughout.</t>
  </si>
  <si>
    <t>10.3354/meps10738</t>
  </si>
  <si>
    <t>AH2PJ</t>
  </si>
  <si>
    <t>WOS:000335963100019</t>
  </si>
  <si>
    <t>Peci, LM; Berrocoso, M; Fernández-Ros, A; García, A; Marrero, JM; Ortiz, R</t>
  </si>
  <si>
    <t>Miguel Peci, Luis; Berrocoso, Manuel; Fernandez-Ros, Alberto; Garcia, Alicia; Manuel Marrero, Jose; Ortiz, Ramon</t>
  </si>
  <si>
    <t>Embedded ARM System for Volcano Monitoring in Remote Areas: Application to the Active Volcano on Deception Island (Antarctica)</t>
  </si>
  <si>
    <t>SENSORS</t>
  </si>
  <si>
    <t>ARM; multi-parameter system; volcanic activity; Linux Debian; environmental surveillance</t>
  </si>
  <si>
    <t>TREMOR; OBSPY</t>
  </si>
  <si>
    <t>This paper describes the development of a multi-parameter system for monitoring volcanic activity. The system permits the remote access and the connection of several modules in a network. An embedded ARM (TM) processor has been used, allowing a great flexibility in hardware configuration. The use of a complete Linux solution (Debian (TM)) as Operating System permits a quick, easy application development to control sensors and communications. This provides all the capabilities required and great stability with relatively low energy consumption. The cost of the components and applications development is low since they are widely used in different fields. Sensors and commercial modules have been combined with other self-developed modules. The Modular Volcano Monitoring System (MVMS) described has been deployed on the active Deception Island (Antarctica) volcano, within the Spanish Antarctic Program, and has proved successful for monitoring the volcano, with proven reliability and efficient operation under extreme conditions. In another context, i.e., the recent volcanic activity on El Hierro Island (Canary Islands) in 2011, this technology has been used for the seismic equipment and GPS systems deployed, thus showing its efficiency in the monitoring of a volcanic crisis.</t>
  </si>
  <si>
    <t>[Miguel Peci, Luis; Berrocoso, Manuel; Fernandez-Ros, Alberto] Univ Cadiz, Dept Math, Lab Astron Geodesy &amp; Cartog, Fac Sci, Puerto Real 11510, Spain; [Garcia, Alicia; Ortiz, Ramon] CSIC UCM J Gutierrez Abascal, Inst IGEO, Madrid 28006, Spain; [Manuel Marrero, Jose] Volcan Hazard &amp; Risk Consultant, Los Realejos 38410, Spain</t>
  </si>
  <si>
    <t>Universidad de Cadiz; Consejo Superior de Investigaciones Cientificas (CSIC)</t>
  </si>
  <si>
    <t>Peci, LM (corresponding author), Univ Cadiz, Dept Math, Lab Astron Geodesy &amp; Cartog, Fac Sci, Campus Puerto Real, Puerto Real 11510, Spain.</t>
  </si>
  <si>
    <t>luismiguel.peci@uca.es; manuel.berrocoso@uca.es; alberto.fernandez@uca.es; alicia.g@igeo.ucm-csic.es; josemarllin@gmail.com; ramon.ortiz@csic.es</t>
  </si>
  <si>
    <t>Peci Sanchez, Luis M./K-5141-2014; BERROCOSO, MANUEL/O-3818-2014; Marrero, Jose Manuel/J-3126-2013</t>
  </si>
  <si>
    <t>Peci Sanchez, Luis M./0000-0003-3855-4773; BERROCOSO, MANUEL/0000-0002-1878-9658; Marrero, Jose Manuel/0000-0003-0332-891X</t>
  </si>
  <si>
    <t>Spanish Ministry of Education and Science as part of the National Antarctic Program; Spanish Ministry of Economy and Competitiveness (MINECO) [CGL2011-28682- C02-01]; CSIC [2011-30E070]</t>
  </si>
  <si>
    <t>Spanish Ministry of Education and Science as part of the National Antarctic Program; Spanish Ministry of Economy and Competitiveness (MINECO); CSIC</t>
  </si>
  <si>
    <t>This geodetic research has been carried out with the support of the Spanish Ministry of Education and Science as part of the National Antarctic Program. The following research projects directly contributed to this work: Geodetic and Geothermal Researches, Time Serial Analysis and Volcanic Innovation in Antarctica (South Shetland Islands and Antarctic Peninsula (GEOTINANT) (CTM2009-07251/ANT); Surveillance of the volcanic activity on Deception Island (Antarctica): ground deformation and thermal anomalies parameters (CTM2011-14936-E); and Spanish Ministry of Economy and Competitiveness (MINECO, CGL2011-28682- C02-01) and CSIC (2011-30E070) Active Volcanism research projects developed in Tenerife and El Hierro Island (Canary Islands).</t>
  </si>
  <si>
    <t>1424-8220</t>
  </si>
  <si>
    <t>SENSORS-BASEL</t>
  </si>
  <si>
    <t>Sensors</t>
  </si>
  <si>
    <t>10.3390/s140100672</t>
  </si>
  <si>
    <t>Chemistry, Analytical; Engineering, Electrical &amp; Electronic; Instruments &amp; Instrumentation</t>
  </si>
  <si>
    <t>Chemistry; Engineering; Instruments &amp; Instrumentation</t>
  </si>
  <si>
    <t>AH3QG</t>
  </si>
  <si>
    <t>WOS:000336039100038</t>
  </si>
  <si>
    <t>Schellnhuber, HJ</t>
  </si>
  <si>
    <t>Glikson, AY</t>
  </si>
  <si>
    <t>Schellnhuber, Hans Joachim</t>
  </si>
  <si>
    <t>Cenozoic Atmospheres and Early Hominins</t>
  </si>
  <si>
    <t>EVOLUTION OF THE ATMOSPHERE, FIRE AND THE ANTHROPOCENE CLIMATE EVENT HORIZON</t>
  </si>
  <si>
    <t>SpringerBriefs in Earth Sciences</t>
  </si>
  <si>
    <t>ABRUPT CLIMATE-CHANGE; GLOBAL CLIMATE; AFRICAN CLIMATE; ICE CORE; EVOLUTION; VARIABILITY; CARBON; BASIN</t>
  </si>
  <si>
    <t>The Cenozoic era includes four components (A) post K-T impact warming culminating with the Paleocene-Eocene hyperthermal at similar to 55 Ma; (B) long term cooling ending with a sharp temperature plunge toward formation of the Antarctic ice sheet from 32 Ma; (C) a post-32 Ma era dominated by the Antarctic ice sheet, including limited thermal rises in the end-Oligocene, mid-Miocene and end-Pliocene, and (D) Pleistocene glacial-interglacial cycles. Hominin evolution in Africa occurred during a transition from tropical to dry climates punctuated by alternating periods of extreme orbital forcing-induced glacial-interglacial cycles, suggesting variability selection of Hominids.</t>
  </si>
  <si>
    <t>Potsdam Inst Climate Impact Res PIK, Potsdam, Germany</t>
  </si>
  <si>
    <t>Potsdam Institut fur Klimafolgenforschung</t>
  </si>
  <si>
    <t>Schellnhuber, HJ (corresponding author), Potsdam Inst Climate Impact Res PIK, Potsdam, Germany.</t>
  </si>
  <si>
    <t>Schellnhuber, Hans Joachim/O-3873-2019</t>
  </si>
  <si>
    <t>Schellnhuber, Hans Joachim/0000-0001-7453-4935</t>
  </si>
  <si>
    <t>2191-5369</t>
  </si>
  <si>
    <t>978-94-007-7331-8</t>
  </si>
  <si>
    <t>SPRINGERBR EARTH SCI</t>
  </si>
  <si>
    <t>10.1007/978-94-007-7332-5_3</t>
  </si>
  <si>
    <t>10.1007/978-94-007-7332-5</t>
  </si>
  <si>
    <t>Archaeology; Meteorology &amp; Atmospheric Sciences</t>
  </si>
  <si>
    <t>Book Citation Index – Social Sciences &amp; Humanities (BKCI-SSH); Book Citation Index – Science (BKCI-S)</t>
  </si>
  <si>
    <t>BA1NJ</t>
  </si>
  <si>
    <t>WOS:000332728800005</t>
  </si>
  <si>
    <t>Hovinen, JEH; Welcker, J; Rabindranath, A; Brown, ZW; Hop, H; Berge, J; Steen, H</t>
  </si>
  <si>
    <t>Hovinen, Johanna E. H.; Welcker, Jorg; Rabindranath, Ananda; Brown, Zachary W.; Hop, Haakon; Berge, Jorgen; Steen, Harald</t>
  </si>
  <si>
    <t>At-sea distribution of foraging little auks relative to physical factors and food supply</t>
  </si>
  <si>
    <t>Alle alle; Spatial distribution; Zooplankton; Bathymetry; Sea surface temperature; Foraging</t>
  </si>
  <si>
    <t>POST-PROCESSING TECHNIQUE; ARCTIC FJORD SYSTEM; ALLE-ALLE; FRAM STRAIT; BRUNNICHS GUILLEMOTS; VERTICAL MIGRATION; PRIBILOF ISLANDS; ANTARCTIC KRILL; DIVING BEHAVIOR; DOVEKIES ALLE</t>
  </si>
  <si>
    <t>Oceanographic processes and bathymetric features that consistently aggregate prey are often thought to be the main cues used by planktivorous birds to detect suitable foraging habitat. In this study we aimed to establish the main factors determining the at-sea distribution of the little auk Alle alle, a very abundant seabird in the Arctic during the chick-rearing period. Multi-year data from vessel-based bird counts along the west coast of Spitsbergen were compared with hydro-acoustic prey estimates (top 30 m water layer), bathymetry, and sea surface temperature (SST) at 2 spatial scales: fine-(3 km) and meso-scale (12 km). Acoustic data for the top 10 m water layer was omitted due to excess noise. However, the amount of prey in the upper layer was assumed to be reflected by the prey in the deeper (20 to 30 m) layer because of the unsynchronized diel vertical migration performed by zooplankton under midnight sun conditions. We found that the foraging distribution of little auks was mainly restricted to the continental shelf, presumably due to high availability of Arctic zooplankton there. Also, little auks preferred habitat characterized by low SST and flat sea-bottom. Such areas are likely to contain the preferred prey species of little auks, given that Arctic zooplankton distribution is linked to cold ocean temperatures. The number of little auks at sea increased with increasing abundance of macrozooplankton, but was not correlated with their preferred mesozooplankton prey. We conclude that physical features play an important role for the foraging habitat selection of little auks. Aggregations of macrozooplankton may be easier for the birds to detect than smaller-sized mesozooplankton and may be more important for adult little auks than previously thought.</t>
  </si>
  <si>
    <t>[Hovinen, Johanna E. H.; Welcker, Jorg; Hop, Haakon; Steen, Harald] Norwegian Polar Res Inst, Fram Ctr, N-9296 Tromso, Norway; [Hovinen, Johanna E. H.] Univ Ctr Svalbard, N-9171 Longyearbyen, Norway; [Hovinen, Johanna E. H.; Berge, Jorgen] UiT Arctic Univ Norway, Fac Biosci Fisheries &amp; Econ, N-9037 Tromso, Norway; [Rabindranath, Ananda] Univ St Andrews, Scottish Ocean Inst, St Andrews KY16 8LB, Fife, Scotland; [Brown, Zachary W.] Pomona Coll, Dept Biol, Claremont, CA 91711 USA; [Brown, Zachary W.] Stanford Univ, Dept Environm Earth Syst Sci, Stanford, CA 94305 USA</t>
  </si>
  <si>
    <t>Norwegian Polar Institute; University Centre Svalbard (UNIS); UiT The Arctic University of Tromso; University of St Andrews; Claremont Colleges; Pomona College; Stanford University</t>
  </si>
  <si>
    <t>Hovinen, JEH (corresponding author), Norwegian Polar Res Inst, Fram Ctr, N-9296 Tromso, Norway.</t>
  </si>
  <si>
    <t>johanna.hovinen@npolar.no</t>
  </si>
  <si>
    <t>Berge, Jorgen/E-7544-2015</t>
  </si>
  <si>
    <t>Berge, Jorgen/0000-0003-0900-5679</t>
  </si>
  <si>
    <t>Norwegian Research Council [PNRF-234-AI1/07, 165112/S30]</t>
  </si>
  <si>
    <t>Norwegian Research Council(Research Council of Norway)</t>
  </si>
  <si>
    <t>The study was funded by the Norwegian Research Council through project no. PNRF-234-AI1/07 (ALKEKONGE) and 165112/S30 (MariClim), and the Norwegian Polar Institute. All fieldwork was conducted under permits of the Governor of Svalbard. We thank all hard-working field assistants, ArcGIS manoeuvres and proof-readers: Anika Beiersdorf, Bernt Bye, Fredrik Broms, Anders Maeland, Thomas Nielsen, Nina Seifert, Mikko Vihtakari and Daniel Vogedes.</t>
  </si>
  <si>
    <t>10.3354/meps10740</t>
  </si>
  <si>
    <t>AG7EU</t>
  </si>
  <si>
    <t>WOS:000335581700018</t>
  </si>
  <si>
    <t>Mulyukin, AL; Demkina, EV; Manucharova, NA; Akimov, VN; Andersen, D; McKay, C; Gal'chenko, VF</t>
  </si>
  <si>
    <t>Mulyukin, A. L.; Demkina, E. V.; Manucharova, N. A.; Akimov, V. N.; Andersen, D.; McKay, C.; Gal'chenko, V. F.</t>
  </si>
  <si>
    <t>The prokaryotic community of subglacial bottom sediments of Antarctic Lake Untersee: Detection by cultural and direct microscopic techniques</t>
  </si>
  <si>
    <t>MICROBIOLOGY</t>
  </si>
  <si>
    <t>subglacial sediments; Antarctics; prokaryotes; cell numbers; cell resuscitation; FISH</t>
  </si>
  <si>
    <t>BACTERIAL COMMUNITY; DIVERSITY; BENEATH; CELLS; SOIL</t>
  </si>
  <si>
    <t>The heterotrophic mesophilic microbial component was studied in microbial communities of the samples of frozen regolith collected from the glacier near Lake Untersee collected in 2011 during the joint Russian-American expedition to central Dronning Maud Land (Eastern Antarctica). Cultural techniques revealed high bacterial numbers in the samples. For enumeration of viable cells, the most probable numbers (MPN) method proved more efficient than plating on agar media. Fluorescent in situ hybridization with the relevant oligonucleotide probes revealed members of the groups Eubacteria (Actinobacteria, Firmicutes) and Archaea. The application of the methods of cell resuscitation, such as the use of diluted media and prevention of oxidative stress, did not result in a significant increase in the numbers of viable cells retrieved from subglacial sediment samples. Our previous investigations demonstrated the necessity for special procedures for efficient reactivation of the cells from microbial communities of replace with buried soil and permafrost samples collected in the Arctic zone. The differing responses to the special resuscitation procedures may reflect the differences in the physiological and morphological state of bacterial cells in microbial communities subject to continuous or periodic low temperatures and dehydration.</t>
  </si>
  <si>
    <t>[Mulyukin, A. L.; Demkina, E. V.; Gal'chenko, V. F.] Russian Acad Sci, Winogradsky Inst Microbiol, Moscow 117312, Russia; [Manucharova, N. A.] Moscow MV Lomonosov State Univ, Fac Soil Sci, Dept Soil Biol, Moscow, Russia; [Akimov, V. N.] Russian Acad Sci, Skryabin Inst Biochem &amp; Physiol Microorganisms, Pushchino 142290, Moscow Oblast, Russia; [Andersen, D.] SETI Inst, Carl Sagan Ctr Study Life Universe, Mountain View, CA USA; [McKay, C.] NASA, Ames Res Ctr, Moffett Field, CA 94035 USA</t>
  </si>
  <si>
    <t>Russian Academy of Sciences; Research Center of Biotechnology RAS; Lomonosov Moscow State University; Russian Academy of Sciences; Pushchino Scientific Center for Biological Research (PSCBI) of the Russian Academy of Sciences; National Aeronautics &amp; Space Administration (NASA); NASA Ames Research Center</t>
  </si>
  <si>
    <t>Mulyukin, AL (corresponding author), Russian Acad Sci, Winogradsky Inst Microbiol, Pr 60 Letiya Oktyabrya 7,K 2, Moscow 117312, Russia.</t>
  </si>
  <si>
    <t>andlm@mail.ru</t>
  </si>
  <si>
    <t>Akimov, Vladimir/KFS-1096-2024; Mulyukin, A./AAU-1036-2021; Manucharova, Natalia A./R-9951-2016; Andersen, Dale T/B-4816-2013</t>
  </si>
  <si>
    <t>Andersen, Dale T/0000-0001-8827-1259; Manucharova, Natalia/0000-0002-7304-7753; McKay, Christopher/0000-0002-6243-1362</t>
  </si>
  <si>
    <t>Russian Foundation for Basic Research [11-05-00961]</t>
  </si>
  <si>
    <t>This work was supported by the Russian Foundation for Basic Research, project no. 11-05-00961.</t>
  </si>
  <si>
    <t>0026-2617</t>
  </si>
  <si>
    <t>1608-3237</t>
  </si>
  <si>
    <t>MICROBIOLOGY+</t>
  </si>
  <si>
    <t>10.1134/S0026261714020143</t>
  </si>
  <si>
    <t>AG8OR</t>
  </si>
  <si>
    <t>WOS:000335678500009</t>
  </si>
  <si>
    <t>Vincent, RA; Hertzog, A</t>
  </si>
  <si>
    <t>Vincent, R. A.; Hertzog, A.</t>
  </si>
  <si>
    <t>The response of superpressure balloons to gravity wave motions</t>
  </si>
  <si>
    <t>DEEP TROPICAL CONVECTION; MOMENTUM FLUX; PHASE SPEEDS; SIMULATIONS; ANTARCTICA; FLIGHTS; MODELS</t>
  </si>
  <si>
    <t>Superpressure balloons (SPB), which float on constant density (isopycnic) surfaces, provide a unique way of measuring the properties of atmospheric gravity waves (GW) as a function of wave intrinsic frequency. Here we devise a quasi-analytic method of investigating the SPB response to GW motions. It is shown that the results agree well with more rigorous numerical simulations of balloon motions and provide a better understanding of the response of SPB to GW, especially at high frequencies. The methodology is applied to ascertain the accuracy of GW studies using 12 m diameter SPB deployed in the 2010 Concordiasi campaign in the Antarctic. In comparison with the situation in earlier campaigns, the vertical displacements of the SPB were measured directly using GPS. It is shown using a large number of Monte Carlo-type simulations with realistic instrumental noise that important wave parameters, such as momentum flux, phase speed and wavelengths, can be retrieved with good accuracy from SPB observations for intrinsic wave periods greater than ca. 10 min. The noise floor for momentum flux is estimated to be ca. 10(-4) mPa.</t>
  </si>
  <si>
    <t>[Vincent, R. A.] Univ Adelaide, Dept Phys, Adelaide, SA 5005, Australia; [Hertzog, A.] Ecole Polytech, Meteorol Dynam Lab, Palaiseau, France</t>
  </si>
  <si>
    <t>University of Adelaide; Institut Polytechnique de Paris; Sorbonne Universite</t>
  </si>
  <si>
    <t>Vincent, RA (corresponding author), Univ Adelaide, Dept Phys, Adelaide, SA 5005, Australia.</t>
  </si>
  <si>
    <t>robert.vincent@adelaide.edu.au</t>
  </si>
  <si>
    <t>Vincent, Robert A/E-5450-2013</t>
  </si>
  <si>
    <t>Vincent, Robert A/0000-0001-6559-6544</t>
  </si>
  <si>
    <t>10.5194/amt-7-1043-2014</t>
  </si>
  <si>
    <t>AG4FB</t>
  </si>
  <si>
    <t>WOS:000335373600012</t>
  </si>
  <si>
    <t>Minyuk, PS; Borkhodoev, VY; Wennrich, V</t>
  </si>
  <si>
    <t>Minyuk, P. S.; Borkhodoev, V. Y.; Wennrich, V.</t>
  </si>
  <si>
    <t>Inorganic geochemistry data from Lake El'gygytgyn sediments: marine isotope stages 6-11</t>
  </si>
  <si>
    <t>CHEMICAL-WEATHERING INDEXES; LATE PLEISTOCENE; CLIMATE-CHANGE; MAGNETIC-SUSCEPTIBILITY; CORE PG1351; GRAIN-SIZE; RECORD; BAIKAL; VARIABILITY; ROCKS</t>
  </si>
  <si>
    <t>Geochemical analyses were performed on sediments recovered by deep drilling at Lake El'gygytgyn in central Chukotka, northeastern Russia (67 degrees 30' N; 172 degrees 05' E). Major and rare element concentrations were determined using X-ray fluorescence spectroscopy (XRF) on the &lt;250 mu m fraction from 617 samples dated to ca. 440 and 125 ka, which approximates marine isotope stages (MIS) 11 to 6. The inorganic geochemistry indicates significant variations in elemental composition between glaciations and interglaciations. Interglacial sediments are characterized by high contents of SiO2, Na2O, CaO, K2O, and Sr and are depleted in Al2O3, Fe2O3, TiO2, and MgO. An extreme SiO2 enrichment during MIS 11.3 and 9.3 was caused by an enhanced flux of biogenic silica (BSi). The geochemical structure of MIS 11 shows similar characteristics as seen in MIS 11 records from Lake Baikal (southeastern Siberia) and Antarctic ice cores, thereby arguing for the influence of global forcings on these records. High sediment content of TiO2, Fe2O3, MgO, Al2O3, LOI, Ni, Cr, and Zr typifies glacial stages, with the most marked increases during MIS 7.4 and 6.6. Reducing conditions during glacial times are indicated by peaks in the Fe2O3 content and coinciding low Fe2O3/MnO ratios. This conclusion also is supported by P2O5 and MnO enrichment, indicating an increased abundance of authigenic, fine-grained vivianite. Elemental ratios (CIA, CIW, PIA, and Rb/Sr) indicate that glacial sediments are depleted in mobile elements, like Na, Ca, K and Sr. This depletion was caused by changes in the sedimentation regime and thus reflects environmental changes.</t>
  </si>
  <si>
    <t>[Minyuk, P. S.; Borkhodoev, V. Y.] Russian Acad Sci, Far East Branch, North East Interdisciplinary Sci Res Inst, Magadan, Russia; [Wennrich, V.] Univ Cologne, Inst Geol &amp; Mineral, D-50931 Cologne, Germany</t>
  </si>
  <si>
    <t>Russian Academy of Sciences; University of Cologne</t>
  </si>
  <si>
    <t>Minyuk, PS (corresponding author), Russian Acad Sci, Far East Branch, North East Interdisciplinary Sci Res Inst, Magadan, Russia.</t>
  </si>
  <si>
    <t>minyuk@neisri.ru</t>
  </si>
  <si>
    <t>Wennrich, Volker/I-3435-2012</t>
  </si>
  <si>
    <t>Wennrich, Volker/0000-0003-3617-1963</t>
  </si>
  <si>
    <t>ICDP; NSF; German Federal Ministry of Education and Research (BMBF); Alfred Wegener Institute; Helmholtz Centre Potsdam (GFZ); Far East Branch of the Russian Academy of Sciences (FEB RAS); Russian Foundation for Basic Research (RFBR); Austrian Federal Ministry of Science and Research; Civilian Research and Development Foundation [RUG1-2987-MA-10]; RFBR [12-05-00286, 14-05-00573]; FEB RAS [12-II-SB-08-024, 12-III-A-08-191]</t>
  </si>
  <si>
    <t>ICDP; NSF(National Science Foundation (NSF)); German Federal Ministry of Education and Research (BMBF)(Federal Ministry of Education &amp; Research (BMBF)); Alfred Wegener Institute; Helmholtz Centre Potsdam (GFZ); Far East Branch of the Russian Academy of Sciences (FEB RAS)(Russian Academy of Sciences); Russian Foundation for Basic Research (RFBR)(Russian Foundation for Basic Research (RFBR)); Austrian Federal Ministry of Science and Research; Civilian Research and Development Foundation; RFBR(Russian Foundation for Basic Research (RFBR)); FEB RAS(Russian Academy of Sciences)</t>
  </si>
  <si>
    <t>Drilling operations were funded by the ICDP, the NSF, the German Federal Ministry of Education and Research (BMBF), the Alfred Wegener Institute and the Helmholtz Centre Potsdam (GFZ), the Far East Branch of the Russian Academy of Sciences (FEB RAS), the Russian Foundation for Basic Research (RFBR), and the Austrian Federal Ministry of Science and Research. The Russian Global Lake Drilling 800 drilling system was developed and operated by DOSECC. Funding of sample analyses was provided by the Civilian Research and Development Foundation (grant RUG1-2987-MA-10), RFBR (12-05-00286, 14-05-00573), and FEB RAS (12-II-SB-08-024, 12-III-A-08-191). We gratefully acknowledge Patricia Anderson for the correction of our English that substantially improved this paper.</t>
  </si>
  <si>
    <t>10.5194/cp-10-467-2014</t>
  </si>
  <si>
    <t>AG4FL</t>
  </si>
  <si>
    <t>WOS:000335374600004</t>
  </si>
  <si>
    <t>Naik, DK; Saraswat, R; Khare, N; Pandey, AC; Nigam, R</t>
  </si>
  <si>
    <t>Naik, D. K.; Saraswat, R.; Khare, N.; Pandey, A. C.; Nigam, R.</t>
  </si>
  <si>
    <t>Hydrographic changes in the Agulhas Recirculation Region during the late Quaternary</t>
  </si>
  <si>
    <t>GLACIAL-INTERGLACIAL CHANGES; SEA-SURFACE TEMPERATURE; SOUTHERN-HEMISPHERE WESTERLIES; LIVING PLANKTONIC-FORAMINIFERA; INTER-OCEAN EXCHANGE; INDIAN-OCEAN; GLOBIGERINA-BULLOIDES; VERTICAL-DISTRIBUTION; SEASONAL SUCCESSION; COILING DIRECTION</t>
  </si>
  <si>
    <t>The strength of Southern Hemisphere westerlies, as well as the positions of the subtropical front (STF), Agulhas Current (AC) and Agulhas Return Current (ARC) control the hydrography of the southwestern Indian Ocean. Although equatorward migration of the STF and reduction in Agulhas leakage were reported during the last glacial period, the fate of ARC during the last glacial-interglacial cycle is not clear. Therefore, in order to understand changes in the position and strength of ARC during the last glacial-interglacial cycle, here we reconstruct hydrographic changes in the southwestern Indian Ocean from temporal variation in planktic foraminiferal abundance, stable isotopic ratio (delta O-18) and trace elemental ratio (Mg/Ca) of planktic foraminifera Globigerina bulloides in a core collected from the Agulhas Recirculation Region (ARR) in the southwestern Indian Ocean. Increased abundance of G. bulloides suggests that the productivity in the southwestern Indian Ocean increased during the last glacial period which confirms previous reports of high glacial productivity in the Southern Ocean. The increased productivity was likely driven by the intensified Southern Hemisphere westerlies supported by an equatorward migration of the subtropical front. Increase in relative abundance of Neogloboquadrina incompta suggests seasonally strong thermocline and enhanced advection of southern source water in the southwestern Indian Ocean as a result of strengthened ARC, right through MIS 4 to MIS 2, during the last glacial period. Therefore, it is inferred that over the last glacial-interglacial cycle, the hydrography of the southwestern Indian Ocean was driven by strengthened westerlies, ARC as well as a migrating subtropical front.</t>
  </si>
  <si>
    <t>[Naik, D. K.; Saraswat, R.; Nigam, R.] Natl Inst Oceanog, Micropaleontol Lab, Panaji, Goa, India; [Khare, N.] Minist Earth Sci, New Delhi, India; [Pandey, A. C.] Univ Allahabad, Allahabad 211002, Uttar Pradesh, India</t>
  </si>
  <si>
    <t>Council of Scientific &amp; Industrial Research (CSIR) - India; CSIR - National Institute of Oceanography (NIO); Ministry of Earth Sciences (MoES) - India; University of Allahabad</t>
  </si>
  <si>
    <t>Saraswat, R (corresponding author), Natl Inst Oceanog, Micropaleontol Lab, Panaji, Goa, India.</t>
  </si>
  <si>
    <t>rsaraswat@nio.org</t>
  </si>
  <si>
    <t>IPO, PAGES/JXY-7546-2024; Pandey, Ashok/AAC-6340-2019; Pandey, Ashok/JBR-8714-2023; Saraswat, Rajeev/AAG-5459-2020; PANDEY, AVINASH CHANDRA/B-4600-2014</t>
  </si>
  <si>
    <t>Pandey, Ashok/0000-0003-1626-3529; Pandey, Ashok/0000-0003-1626-3529; PANDEY, AVINASH CHANDRA/0000-0003-0700-3856; Saraswat, Rajeev/0000-0003-2110-2578</t>
  </si>
  <si>
    <t>NCAOR Goa, India</t>
  </si>
  <si>
    <t>Authors are thankful to the Director of the National Institute of Oceanography and National Center for Antarctic and Ocean Research for providing the facility to carry out the work. We express our sincere thanks to Rahul Mohan, Program Director, Antarctic Science, of NCAOR, Goa for providing all the support for this work. V. K. Banakar and Anita Garg of NIO, Goa are thankfully acknowledged for the stable oxygen isotopic measurements. The help of David Lea and Georges Paradis of the University of California, Santa Barbara in analyzing the trace element ratio is sincerely acknowledged. We are thankful to the two anonymous reviewers and M. H. Simon for the suggestions which helped to improve the manuscript. This work is a part of the project funded by NCAOR Goa, India. The help of Sujata Kurtarkar in picking foraminiferal specimens is thankfully acknowledged.</t>
  </si>
  <si>
    <t>10.5194/cp-10-745-2014</t>
  </si>
  <si>
    <t>WOS:000335374600022</t>
  </si>
  <si>
    <t>Govin, A; Chiessi, CM; Zabel, M; Sawakuchi, AO; Heslop, D; Hörner, T; Zhang, Y; Mulitza, S</t>
  </si>
  <si>
    <t>Govin, A.; Chiessi, C. M.; Zabel, M.; Sawakuchi, A. O.; Heslop, D.; Hoerner, T.; Zhang, Y.; Mulitza, S.</t>
  </si>
  <si>
    <t>Terrigenous input off northern South America driven by changes in Amazonian climate and the North Brazil Current retroflection during the last 250 ka</t>
  </si>
  <si>
    <t>ATLANTIC-OCEAN; TROPICAL ATLANTIC; CHRONOLOGY AICC2012; SURFACE SEDIMENTS; ATMOSPHERIC CH4; GLACIAL MAXIMUM; POLLEN RECORDS; ANTARCTIC ICE; CARIBBEAN SEA; ORINOCO DELTA</t>
  </si>
  <si>
    <t>We investigate changes in the delivery and oceanic transport of Amazon sediments related to terrestrial climate variations over the last 250 ka. We present high-resolution geochemical records from four marine sediment cores located between 5 and 12 degrees N along the northern South American margin. The Amazon River is the sole source of terrigenous material for sites at 5 and 9 degrees N, while the core at 12 degrees N receives a mixture of Amazon and Orinoco detrital particles. Using an endmember unmixing model, we estimated the relative proportions of Amazon Andean material (%-Andes, at 5 and 9 degrees N) and of Amazon material (%-Amazon, at 12 degrees N) within the terrigenous fraction. The %-Andes and %-Amazon records exhibit significant precessional variations over the last 250 ka that are more pronounced during inter-glacials in comparison to glacial periods. High %-Andes values observed during periods of high austral summer insolation reflect the increased delivery of suspended sediments by Andean tributaries and enhanced Amazonian precipitation, in agreement with western Amazonian speleothem records. Increased Amazonian rainfall reflects the intensification of the South American monsoon in response to enhanced land-ocean thermal gradient and moisture convergence. However, low %-Amazon values obtained at 12 degrees N during the same periods seem to contradict the increased delivery of Amazon sediments. We propose that reorganizations in surface ocean currents modulate the northwestward transport of Amazon material. In agreement with published records, the seasonal in duration) during cold substages of the last 250 ka (which correspond to intervals of high DJF or low JJA insolation) and deflects eastward the Amazon sediment and freshwater plume.</t>
  </si>
  <si>
    <t>[Govin, A.; Zabel, M.; Hoerner, T.; Zhang, Y.; Mulitza, S.] Univ Bremen, MARUM Ctr Marine Environm Sci, D-28359 Bremen, Germany; [Chiessi, C. M.] Univ Sao Paulo, Sch Arts Sci &amp; Humanities, Sao Paulo, Brazil; [Sawakuchi, A. O.] Univ Sao Paulo, Inst Geosci, Dept Sedimentary &amp; Environm Geol, Sao Paulo, Brazil; [Heslop, D.] Australian Natl Univ, Res Sch Earth Sci, Canberra, ACT, Australia</t>
  </si>
  <si>
    <t>University of Bremen; Universidade de Sao Paulo; Universidade de Sao Paulo; Australian National University</t>
  </si>
  <si>
    <t>Govin, A (corresponding author), Univ Bremen, MARUM Ctr Marine Environm Sci, D-28359 Bremen, Germany.</t>
  </si>
  <si>
    <t>aline.govin@uni-bremen.de</t>
  </si>
  <si>
    <t>Sawakuchi, Andre/AAE-8328-2019; Sawakuchi, André O/D-1445-2013; Chiessi, Cristiano Mazur/E-1916-2012; Chiessi, Cristiano Mazur/JAZ-0806-2023; Heslop, David/G-6412-2011; Heslop, David/AGE-1592-2022; Zabel, Matthias/E-5044-2011; Govin, Aline/E-6354-2013; Mulitza, Stefan/G-5357-2011</t>
  </si>
  <si>
    <t>Sawakuchi, Andre/0000-0001-5016-2428; Chiessi, Cristiano Mazur/0000-0003-3318-8022; Chiessi, Cristiano Mazur/0000-0003-3318-8022; Heslop, David/0000-0001-8245-0555; Heslop, David/0000-0001-8245-0555; Zabel, Matthias/0000-0003-4681-1821; Govin, Aline/0000-0001-8512-5571; Horner, Tanja/0000-0003-3280-6941; Zhang, Yancheng/0000-0002-4001-2634; Mulitza, Stefan/0000-0002-3842-1447</t>
  </si>
  <si>
    <t>Deutsche Forschungsgemeinschaft (DFG) under the Special Priority Programme INTERDYNAMIC (EndLIG project); Australian Research Council [DP110105419]; FAPESP [2012/17517-3, 2011/06609-1]; Fundacao de Amparo a Pesquisa do Estado de Sao Paulo (FAPESP) [11/06609-1] Funding Source: FAPESP</t>
  </si>
  <si>
    <t>Deutsche Forschungsgemeinschaft (DFG) under the Special Priority Programme INTERDYNAMIC (EndLIG project)(German Research Foundation (DFG)); Australian Research Council(Australian Research Council); FAPESP(Fundacao de Amparo a Pesquisa do Estado de Sao Paulo (FAPESP)); Fundacao de Amparo a Pesquisa do Estado de Sao Paulo (FAPESP)(Fundacao de Amparo a Pesquisa do Estado de Sao Paulo (FAPESP))</t>
  </si>
  <si>
    <t>We thank M. Segl, B. Meyer-Schack, V. Lukies, M. Klann and S. Pape for technical support. We also thank Jennifer Kuhr and Janis Ahrens for the data acquired during their Master and Bachelor thesis, respectively. We acknowledge the Geoscience Department and the GeoB Core Repository at MARUM - University of Bremen for supplying sediment samples. This research used data acquired at the XRF Core Scanner Lab from MARUM - University of Bremen. The data reported in this paper are archived in Pangaea (http://doi.pangaea.de/10.1594/PANGAEA.831553). This work was funded by the Deutsche Forschungsgemeinschaft (DFG) under the Special Priority Programme INTERDYNAMIC (EndLIG project). D. Heslop was funded by the Australian Research Council (grant DP110105419). C. M. Chiessi acknowledges financial support from FAPESP (grant 2012/17517-3). A. O. Sawakuchi thanks FAPESP for funding the project Transport and Storage of Sediments in the Amazon rivers (grant 2011/06609-1). Finally, we thank the reviewers (P. Baker and M. Maslin) and the editor (H. Fischer) for their constructive comments on the manuscript.</t>
  </si>
  <si>
    <t>10.5194/cp-10-843-2014</t>
  </si>
  <si>
    <t>WOS:000335374600029</t>
  </si>
  <si>
    <t>Huntemann, M; Heygster, G; Kaleschke, L; Krumpen, T; Mäkynen, M; Drusch, M</t>
  </si>
  <si>
    <t>Huntemann, M.; Heygster, G.; Kaleschke, L.; Krumpen, T.; Makynen, M.; Drusch, M.</t>
  </si>
  <si>
    <t>Empirical sea ice thickness retrieval during the freeze-up period from SMOS high incident angle observations</t>
  </si>
  <si>
    <t>SOIL-MOISTURE; OCEAN; MODIS; MODEL</t>
  </si>
  <si>
    <t>Sea ice thickness information is important for sea ice modelling and ship operations. Here a method to detect the thickness of sea ice up to 50 cm during the freeze-up season based on high incidence angle observations of the Soil Moisture and Ocean Salinity (SMOS) satellite working at 1.4 GHz is suggested. By comparison of thermodynamic ice growth data with SMOS brightness temperatures, a high correlation to intensity and an anticorrelation to the difference between vertically and horizontally polarised brightness temperatures at incidence angles between 40 and 50 degrees are found and used to develop an empirical retrieval algorithm sensitive to thin sea ice up to 50 cm thickness. The algorithm shows high correlation with ice thickness data from airborne measurements and reasonable ice thickness patterns for the Arctic freeze-up period.</t>
  </si>
  <si>
    <t>[Huntemann, M.; Heygster, G.] Univ Bremen, Inst Environm Phys, D-28359 Bremen, Germany; [Kaleschke, L.] Univ Hamburg, Inst Oceanog, Hamburg, Germany; [Krumpen, T.] Alfred Wegener Inst, Bremerhaven, Germany; [Makynen, M.] Finnish Meteorol Inst, FIN-00101 Helsinki, Finland; [Drusch, M.] ESA, Estec, Noordwijk, Netherlands</t>
  </si>
  <si>
    <t>University of Bremen; University of Hamburg; Helmholtz Association; Alfred Wegener Institute, Helmholtz Centre for Polar &amp; Marine Research; Finnish Meteorological Institute; European Space Agency</t>
  </si>
  <si>
    <t>Huntemann, M (corresponding author), Univ Bremen, Inst Environm Phys, D-28359 Bremen, Germany.</t>
  </si>
  <si>
    <t>marcus.huntemann@uni-bremen.de</t>
  </si>
  <si>
    <t>Makynen, Marko/AAP-4772-2020; Krumpen, Thomas/D-5163-2011; Heygster, Georg C./B-4928-2014</t>
  </si>
  <si>
    <t>Makynen, Marko/0000-0003-1250-6300; Krumpen, Thomas/0000-0001-6234-8756; Kaleschke, Lars/0000-0001-7086-3299; Heygster, Georg/0000-0003-2232-7429</t>
  </si>
  <si>
    <t>European Space Agency (ESA) project SMOSIce [4000101476]; EU project Sea Ice Downstream services for Arctic and Antarctic Users and Stakeholders (SIDARUS) [262922]; Federal Ministry of Education and Research/Bundesministerium fur Bildung und Forschung (BMBF) MiKliP project Climate Model Validation by confronting globally Essential Climate Variables from models with observations (ClimVal)</t>
  </si>
  <si>
    <t>European Space Agency (ESA) project SMOSIce; EU project Sea Ice Downstream services for Arctic and Antarctic Users and Stakeholders (SIDARUS); Federal Ministry of Education and Research/Bundesministerium fur Bildung und Forschung (BMBF) MiKliP project Climate Model Validation by confronting globally Essential Climate Variables from models with observations (ClimVal)</t>
  </si>
  <si>
    <t>Financial support of the European Space Agency (ESA) project SMOSIce, contract no. 4000101476, the EU project Sea Ice Downstream services for Arctic and Antarctic Users and Stakeholders (SIDARUS), grant agreement 262922 and Federal Ministry of Education and Research/Bundesministerium fur Bildung und Forschung (BMBF) MiKliP project Climate Model Validation by confronting globally Essential Climate Variables from models with observations (ClimVal) is gratefully acknowledged. The authors thank the National Centers for Environmental Prediction (NCEP) for data provision and the editor and reviewers for their helpful comments which greatly improved the quality.</t>
  </si>
  <si>
    <t>10.5194/tc-8-439-2014</t>
  </si>
  <si>
    <t>AG4GK</t>
  </si>
  <si>
    <t>gold, Green Submitted, Green Accepted</t>
  </si>
  <si>
    <t>WOS:000335377200008</t>
  </si>
  <si>
    <t>Goosse, H; Zunz, V</t>
  </si>
  <si>
    <t>Goosse, H.; Zunz, V.</t>
  </si>
  <si>
    <t>Decadal trends in the Antarctic sea ice extent ultimately controlled by ice-ocean feedback</t>
  </si>
  <si>
    <t>MIXED BOUNDARY-CONDITIONS; EARTH SYSTEM MODEL; SOUTHERN-OCEAN; WATER VARIABILITY; ALBEDO FEEDBACK; CLIMATE; CIRCULATION; DEEP; SENSITIVITY; SIMULATION</t>
  </si>
  <si>
    <t>The large natural variability of the Antarctic sea ice is a key characteristic of the system that might be responsible for the small positive trend in sea ice extent observed since 1979. In order to gain insight of the processes responsible for this variability, we have analysed in a control simulation performed with a coupled climate model a positive ice-ocean feedback that amplifies sea ice variations. When sea ice concentration increases in a region, in particular close to the ice edge, the mixed layer depth tends to decrease. This can be caused by a net inflow of ice, and thus of freshwater, that stabilizes the water column. A second stabilizing mechanism at interannual timescales is associated with the downward salt transport due to the seasonal cycle of ice formation: brine is released in winter and mixed over a deep layer while the freshwater flux caused by ice melting is included in a shallow layer, resulting in a net vertical transport of salt. Because of this stronger stratification due to the presence of sea ice, more heat is stored at depth in the ocean and the vertical oceanic heat flux is reduced, which contributes to maintaining a higher ice extent. This positive feedback is not associated with a particular spatial pattern. Consequently, the spatial distribution of the trend in ice concentration is largely imposed by the wind changes that can provide the initial perturbation. A positive freshwater flux could alternatively be the initial trigger but the amplitude of the final response of the sea ice extent is finally set up by the amplification related to the ice-ocean feedback. Initial conditions also have an influence as the chance to have a large increase in ice extent is higher if starting from a state characterized by a low value.</t>
  </si>
  <si>
    <t>[Goosse, H.; Zunz, V.] Catholic Univ Louvain, Earth &amp; Life Inst, Georges Lemaitre Ctr Earth &amp; Climate Res, B-1348 Louvain, Belgium</t>
  </si>
  <si>
    <t>Universite Catholique Louvain</t>
  </si>
  <si>
    <t>Goosse, H (corresponding author), Catholic Univ Louvain, Earth &amp; Life Inst, Georges Lemaitre Ctr Earth &amp; Climate Res, Pl Pasteur 3, B-1348 Louvain, Belgium.</t>
  </si>
  <si>
    <t>hugues.goosse@uclouvain.be</t>
  </si>
  <si>
    <t>F.R.S.-FNRS; Belgian Federal Science Policy Office (Research Program on Science for a Sustainable Development); Fond de la Recherche Scientifique de Belgique (FRS-FNRS)</t>
  </si>
  <si>
    <t>F.R.S.-FNRS(Fonds de la Recherche Scientifique - FNRS); Belgian Federal Science Policy Office (Research Program on Science for a Sustainable Development)(Belgian Federal Science Policy Office); Fond de la Recherche Scientifique de Belgique (FRS-FNRS)(Fonds de la Recherche Scientifique - FNRS)</t>
  </si>
  <si>
    <t>We would like to thank Antoine Barthelemy, Sally Close and Svetlana Dubinkina for their helpful comments on the manuscript. We acknowledge the World Climate Research Programme's Working Group on Coupled Modelling, which is responsible for CMIP. For CMIP the US Department of Energy's Program for Climate Model Diagnosis and Intercomparison provides coordinating support and led development of software infrastructure in partnership with the Global Organization for Earth System Science Portals. H. Goosse is a senior research associate with the Fonds National de la Recherche Scientifique (F.R.S.-FNRS-Belgium). V. Zunz is a research fellow with the Fonds pour la formation a la Recherche dans l'Industrie et dans l'Agronomie (FRIA-Belgium). This work has been performed in the framework of the ESF HOLOCLIP project (a joint research project of the European Science Foundation PolarCLIMATE program, which is funded by national contributions from Italy, France, Germany, Spain, Netherlands, Belgium and the United Kingdom) and is supported by the F.R.S.-FNRS and by the Belgian Federal Science Policy Office (Research Program on Science for a Sustainable Development). Computational resources have been provided by the supercomputing facilities of the Universite catholique de Louvain (CISM/UCL) and the Consortium des Equipements de Calcul Intensif en Federation Wallonie Bruxelles (CECI) funded by the Fond de la Recherche Scientifique de Belgique (FRS-FNRS). This is HOLOCLIP contribution 21.</t>
  </si>
  <si>
    <t>10.5194/tc-8-453-2014</t>
  </si>
  <si>
    <t>WOS:000335377200009</t>
  </si>
  <si>
    <t>Albrecht, T; Levermann, A</t>
  </si>
  <si>
    <t>Albrecht, T.; Levermann, A.</t>
  </si>
  <si>
    <t>Fracture-induced softening for large-scale ice dynamics</t>
  </si>
  <si>
    <t>SEA-LEVEL RISE; SHELF RIFT PROPAGATION; SHEET MASS-BALANCE; ANTARCTIC PENINSULA; MECHANICS APPROACH; EAST ANTARCTICA; BREAK-UP; SURFACE; GLACIERS; MODEL</t>
  </si>
  <si>
    <t>Floating ice shelves can exert a retentive and hence stabilizing force onto the inland ice sheet of Antarctica. However, this effect has been observed to diminish by the dynamic effects of fracture processes within the protective ice shelves, leading to accelerated ice flow and hence to a sea-level contribution. In order to account for the macroscopic effect of fracture processes on large-scale viscous ice dynamics (i.e., ice-shelf scale) we apply a continuum representation of fractures and related fracture growth into the prognostic Parallel Ice Sheet Model (PISM) and compare the results to observations. To this end we introduce a higher order accuracy advection scheme for the transport of the two-dimensional fracture density across the regular computational grid. Dynamic coupling of fractures and ice flow is attained by a reduction of effective ice viscosity proportional to the inferred fracture density. This formulation implies the possibility of non-linear threshold behavior due to self-amplified fracturing in shear regions triggered by small variations in the fracture-initiation threshold. As a result of prognostic flow simulations, sharp across-flow velocity gradients appear in fracture-weakened regions. These modeled gradients compare well in magnitude and location with those in observed flow patterns. This model framework is in principle expandable to grounded ice streams and provides simple means of investigating climate-induced effects on fracturing (e. g., hydro fracturing) and hence on the ice flow. It further constitutes a physically sound basis for an enhanced fracture-based calving parameterization.</t>
  </si>
  <si>
    <t>[Albrecht, T.; Levermann, A.] Potsdam Inst Climate Impact Res, Potsdam, Germany; [Albrecht, T.; Levermann, A.] Univ Potsdam, Inst Phys &amp; Astron, Potsdam, Germany</t>
  </si>
  <si>
    <t>Potsdam Institut fur Klimafolgenforschung; University of Potsdam</t>
  </si>
  <si>
    <t>Albrecht, T (corresponding author), Potsdam Inst Climate Impact Res, Potsdam, Germany.</t>
  </si>
  <si>
    <t>torsten.albrecht@pik-potsdam.de</t>
  </si>
  <si>
    <t>albrecht, torsten/J-8259-2019; Levermann, Anders/G-4666-2011</t>
  </si>
  <si>
    <t>albrecht, torsten/0000-0001-7459-2860; Levermann, Anders/0000-0003-4432-4704</t>
  </si>
  <si>
    <t>NASA [NNX09AJ38C, NNX13AM16G, NNX13AK27G]; German National Merit Foundation (Studienstiftung des deutschen Volkes); NASA [471916, NNX13AK27G] Funding Source: Federal RePORTER</t>
  </si>
  <si>
    <t>NASA(National Aeronautics &amp; Space Administration (NASA)); German National Merit Foundation (Studienstiftung des deutschen Volkes); NASA(National Aeronautics &amp; Space Administration (NASA))</t>
  </si>
  <si>
    <t>We thank E. Bueler, C. Khroulev and D. Maxwell (University of Alaska, USA) for a great collaboration and technical assistance with the Parallel Ice Sheet Model (PISM), development of which is supported by NASA grants NNX09AJ38C, NNX13AM16G, and NNX13AK27G. We are grateful for stimulating discussions with G. Jouvet. We also thank M. Mengel for preprocessing various data sets. R. Timmermann kindly provided FESOM sub-shelf melting data and N. Glasser detailed observational surface feature maps of the Larsen ice shelves. Ultimately, we appreciate the very constructive review comments by J. Bassis, C. Borstad and an anonymous referee, which essentially improved the manuscript. T. Albrecht was funded by the German National Merit Foundation (Studienstiftung des deutschen Volkes).</t>
  </si>
  <si>
    <t>10.5194/tc-8-587-2014</t>
  </si>
  <si>
    <t>WOS:000335377200018</t>
  </si>
  <si>
    <t>Flament, T; Berthier, E; Rémy, F</t>
  </si>
  <si>
    <t>Flament, T.; Berthier, E.; Remy, F.</t>
  </si>
  <si>
    <t>Cascading water underneath Wilkes Land, East Antarctic ice sheet, observed using altimetry and digital elevation models</t>
  </si>
  <si>
    <t>SUBGLACIAL LAKES; WEST ANTARCTICA; SATELLITE RADAR; DATA SETS; GLACIERS; FLOW; BENEATH; VARIABILITY; INVENTORY; PRECISION</t>
  </si>
  <si>
    <t>We describe a major subglacial lake drainage close to the ice divide in Wilkes Land, East Antarctica, and the subsequent cascading of water underneath the ice sheet toward the coast. To analyse the event, we combined a data from several sources and subglacial topography. We estimated the total volume of water that drained from Lake Cook(E2) by differencing digital elevation models (DEM) derived from ASTER and SPOT5 stereo imagery acquired in January 2006 and February 2012. At 5.2 +/- 1.5 km(3), this is the largest single subglacial drainage event reported so far in Antarctica. Elevation differences between ICESat laser altimetry spanning 2003-2009 and the SPOT5 DEM indicate that the discharge started in November 2006 and lasted approximately 2 years. A 13m uplift of the surface, corresponding to a refilling of about 0.6 +/- 0.3 km(3), was observed between the end of the discharge in October 2008 and February 2012. Using the 35-day temporal resolution of Envisat radar altimetry, we monitored the subsequent filling and drainage of connected subglacial lakes located downstream of Cook(E2). The total volume of water traveling within the theoretical 500-km-long flow paths computed with the BEDMAP2 data set is similar to the volume that drained from Lake Cook(E2), and our observations suggest that most of the water released from Lake Cook(E2) did not reach the coast but remained trapped underneath the ice sheet. Our study illustrates how combining multiple remote sensing techniques allows monitoring of the timing and magnitude of subglacial water flow beneath the East Antarctic ice sheet.</t>
  </si>
  <si>
    <t>[Flament, T.; Berthier, E.; Remy, F.] Univ Toulouse 3, CNRS, LEGOS, UMR5566,CNES,IRD, F-31400 Toulouse, France</t>
  </si>
  <si>
    <t>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t>
  </si>
  <si>
    <t>Flament, T (corresponding author), Univ Toulouse 3, CNRS, LEGOS, UMR5566,CNES,IRD, 14 Ave Edouard Belin, F-31400 Toulouse, France.</t>
  </si>
  <si>
    <t>thomas.flament@legos.obs-mip.fr</t>
  </si>
  <si>
    <t>Berthier, Etienne/B-8900-2009</t>
  </si>
  <si>
    <t>Berthier, Etienne/0000-0001-5978-9155; Flament, Thomas/0000-0001-9702-302X</t>
  </si>
  <si>
    <t>French Space Agency (CNES); Centre National de la Recherche Scientifique (CNRS); CNES through the TOSCA; Programme National de Teledetection Spatiale; CNES through ISIS [639]; Agence Nationale pour la Recherche (ANR) through the SUMER [ANR-12-BS06-0018]; Agence Nationale pour la Recherche (ANR) through the ADAGe [ANR-09-SYSC-001]; Agence Nationale de la Recherche (ANR) [ANR-12-BS06-0018] Funding Source: Agence Nationale de la Recherche (ANR)</t>
  </si>
  <si>
    <t>French Space Agency (CNES)(Centre National D'etudes Spatiales); Centre National de la Recherche Scientifique (CNRS)(Centre National de la Recherche Scientifique (CNRS)); CNES through the TOSCA; Programme National de Teledetection Spatiale; CNES through ISIS; Agence Nationale pour la Recherche (ANR) through the SUMER(Agence Nationale de la Recherche (ANR)); Agence Nationale pour la Recherche (ANR) through the ADAGe(Agence Nationale de la Recherche (ANR)); Agence Nationale de la Recherche (ANR)(Agence Nationale de la Recherche (ANR))</t>
  </si>
  <si>
    <t>Comments by reviewers S. Carter and N. Ross led to great improvement the manuscript. We are also thankful to R. Rosenau, T. Scambos and S. Ligtenberg for sharing data and/or discussion. T. Flament's PhD grant is funded by the French Space Agency (CNES) and the Centre National de la Recherche Scientifique (CNRS). E. Berthier acknowledges support from the CNES through the TOSCA and from the Programme National de Teledetection Spatiale. SPOT5 images and DEMs were available at reduced cost thanks to support from CNES through ISIS project 639. This study was partially funded by the Agence Nationale pour la Recherche (ANR) through the SUMER project no. ANR-12-BS06-0018 and the ADAGe project no. ANR-09-SYSC-001.</t>
  </si>
  <si>
    <t>10.5194/tc-8-673-2014</t>
  </si>
  <si>
    <t>WOS:000335377200024</t>
  </si>
  <si>
    <t>Quéroué, F; Townsend, A; van der Merwe, P; Lannuzel, D; Sarthou, G; Bucciarelli, E; Bowie, A</t>
  </si>
  <si>
    <t>Queroue, Fabien; Townsend, Ashley; van der Merwe, Pier; Lannuzel, Delphine; Sarthou, Geraldine; Bucciarelli, Eva; Bowie, Andrew</t>
  </si>
  <si>
    <t>Advances in the offline trace metal extraction of Mn, Co, Ni, Cu, Cd, and Pb from open ocean seawater samples with determination by sector field ICP-MS analysis</t>
  </si>
  <si>
    <t>ANALYTICAL METHODS</t>
  </si>
  <si>
    <t>FLOW-INJECTION; MASS-SPECTROMETRY; ORGANIC COMPLEXATION; SUPEROXIDE DISMUTASES; PHYTOPLANKTON GROWTH; BIOGEOCHEMICAL CYCLE; DISSOLVED ALUMINUM; IRON ACQUISITION; CHELATING RESIN; COBALT</t>
  </si>
  <si>
    <t>Trace metals are fundamental components of various biochemical reactions for phytoplankton. They serve as micronutrients and therefore play a key role in marine biogeochemical cycles. International programs such as GEOTRACES require fast, sensitive and reliable methods for the simultaneous analysis of multiple trace elements in seawater. This paper reports the development of a simplified, automated, low cost, portable, off-line extraction method with high sample throughput. The extraction uses the chelating resin Nobias-chelate PA1 offering an extraction factor of 18 from 27 mL of seawater. This solid phase extraction has been coupled with Sector Field-Inductively Coupled Plasma-Mass Spectrometry (SF-ICP-MS) for analysing dissolved manganese (dMn), cobalt (dCo), nickel (dNi), copper (dCu), cadmium (dCd) and lead (dPb). An optimum pH of 6.2 was selected allowing quantitative recovery of most elements of interest, offering stable Cu and minimum molybdenum (Mo) recoveries, limiting interferences of Cd determination. Picomolar or subpicomolar trace metal blank concentrations and detection limits were obtained suitable for open ocean sample measurements. Regular analysis of reference seawater samples (SAFe, GEOTRACES and in-house seawater) showed excellent short-term and medium-term precision (1-8% RSD) and accuracy of the method. Twenty four samples, 3 blanks, 6 standard addition calibration samples, 3 replicates of in-house seawater and 2 reference seawater samples were extracted daily. The method has been successfully applied to the analysis of seawater samples from the Southern and Pacific Oceans.</t>
  </si>
  <si>
    <t>[Queroue, Fabien; Lannuzel, Delphine; Bowie, Andrew] Univ Tasmania, Inst Marine &amp; Antarctic Studies, Hobart, Tas 7001, Australia; [Queroue, Fabien; van der Merwe, Pier; Lannuzel, Delphine; Bowie, Andrew] Univ Tasmania, Antarctic Climate &amp; Ecosyst Cooperat Res Ctr, Hobart, Tas 7001, Australia; [Queroue, Fabien] Univ Bretagne Occidentale, F-29200 Brest, France; [Queroue, Fabien; Sarthou, Geraldine; Bucciarelli, Eva] LEMAR UMR 6539, F-29280 Plouzane, France; [Townsend, Ashley] Univ Tasmania, Cent Sci Lab, Hobart, Tas 7001, Australia</t>
  </si>
  <si>
    <t>University of Tasmania; Antarctic Climate &amp; Ecosystems Cooperative Research Centre (ACE CRC); University of Tasmania; Universite de Bretagne Occidentale; Centre National de la Recherche Scientifique (CNRS); CNRS - Institute of Ecology &amp; Environment (INEE); Ifremer; Institut de Recherche pour le Developpement (IRD); Universite de Bretagne Occidentale; Institut Universitaire Europeen de la Mer (IUEM); University of Tasmania</t>
  </si>
  <si>
    <t>Quéroué, F (corresponding author), Univ Tasmania, Inst Marine &amp; Antarctic Studies, Hobart, Tas 7001, Australia.</t>
  </si>
  <si>
    <t>fabien.queroue@univ-brest.fr</t>
  </si>
  <si>
    <t>Townsend, Ashley/J-7445-2014; Bowie, Andrew/C-8677-2013; lannuzel, delphine/J-7937-2014; van der Merwe, Pier/C-9210-2015</t>
  </si>
  <si>
    <t>Townsend, Ashley/0000-0002-2972-2678; Bowie, Andrew/0000-0002-5144-7799; lannuzel, delphine/0000-0001-6154-1837; Sarthou, Geraldine/0000-0001-6560-6669; van der Merwe, Pier/0000-0002-7428-8030</t>
  </si>
  <si>
    <t>University of Tasmania Cross Theme [B0018994]; Rising Stars grants [B0019024]; Antarctic Climate and Ecosystems Cooperative Research Centres (ACE CRC); ARC LIEF [LE0989539]; Agence Nationale de la Recherche, SIMI-6 program [ANR-2010-BLAN-614]; University of Tasmania; Universite de Bretagne Occidentale</t>
  </si>
  <si>
    <t>University of Tasmania Cross Theme; Rising Stars grants; Antarctic Climate and Ecosystems Cooperative Research Centres (ACE CRC)(Australian GovernmentDepartment of Industry, Innovation and ScienceCooperative Research Centres (CRC) Programme); ARC LIEF(Australian Research Council); Agence Nationale de la Recherche, SIMI-6 program(Agence Nationale de la Recherche (ANR)); University of Tasmania; Universite de Bretagne Occidentale</t>
  </si>
  <si>
    <t>This research was supported by University of Tasmania Cross Theme (B0018994) and Rising Stars (B0019024) grants. Thanks to the Antarctic Climate and Ecosystems Cooperative Research Centres (ACE CRC) for funding through the Carbon program. The access to ICP-MS instrumentation was funded through ARC LIEF LE0989539. The GIS EUROPOLE MER, the Institut Nationale des sciences de l'Univers (INSU), the French Polar Institute (Institut Polaire Emile Victor, IPEV), the research program of INSU-CNRS LEFE-CYBER (Les enveloppes. uides et l'environnement Cycles biogeochimiques, environnement et ressources) and the ANR KEOPS 2 (Agence Nationale de la Recherche, SIMI-6 program, ANR-2010-BLAN-614) also contributed. The PhD fellowship of FQ was co-funded by the University of Tasmania and the Universite de Bretagne Occidentale. We would like to thank Dr Tony Press, CEO of the ACE CRC; the captains and the crews of the R. V. Southern Surveyor for assistance on board; Stephane Blain and Bernard Queguiner as project coordinator and chief scientist of KEOPS 2 cruise; Yoshiki Sohrin for providing us with the Nobias resin; Jeroen de Jong for providing us mono-isotopic solutions and Helene Planquette for her helpful comments on a previous version of the manuscript. We are also thankful to the two reviewers for their comments, which helped to improve our manuscript.</t>
  </si>
  <si>
    <t>1759-9660</t>
  </si>
  <si>
    <t>1759-9679</t>
  </si>
  <si>
    <t>ANAL METHODS-UK</t>
  </si>
  <si>
    <t>Anal. Methods</t>
  </si>
  <si>
    <t>10.1039/c3ay41312h</t>
  </si>
  <si>
    <t>Chemistry, Analytical; Food Science &amp; Technology; Spectroscopy</t>
  </si>
  <si>
    <t>Chemistry; Food Science &amp; Technology; Spectroscopy</t>
  </si>
  <si>
    <t>AF5EJ</t>
  </si>
  <si>
    <t>WOS:000334736500003</t>
  </si>
  <si>
    <t>Velders, GJM; Daniel, JS</t>
  </si>
  <si>
    <t>Velders, G. J. M.; Daniel, J. S.</t>
  </si>
  <si>
    <t>Uncertainty analysis of projections of ozone-depleting substances: mixing ratios, EESC, ODPs, and GWPs</t>
  </si>
  <si>
    <t>ATMOSPHERIC LIFETIMES; MONTREAL PROTOCOL; TRENDS; GASES; POTENTIALS; CFC-12; CFCS</t>
  </si>
  <si>
    <t>The rates at which ozone-depleting substances (ODSs) are removed from the atmosphere, which determine the lifetimes of these ODSs, are key factors for determining the rate of ozone layer recovery in the coming decades. We present here a comprehensive uncertainty analysis of future mixing ratios of ODSs, levels of equivalent effective stratospheric chlorine (EESC), ozone depletion potentials, and global warming potentials (GWPs), using, among other information, the 2013 WCRP/SPARC (World Climate Research Programme/Stratospheric Processes and their Role in Climate) assessment of lifetimes of ODSs and their uncertainties. The year EESC returns to pre-1980 levels, a metric commonly used to indicate a level of recovery from ODS-induced ozone depletion, is 2048 for midlatitudes and 2075 for Antarctic conditions based on the lifetimes from the SPARC assessment, which is about 2 and 4 yr, respectively, later than based on the lifetimes from the WMO (World Meteorological Organization) assessment of 2011. However, the uncertainty in this return to 1980 levels is much larger than the shift due to this change in lifetimes. The year EESC returns to pre-1980 levels ranges from 2039 to 2064 (95% confidence interval) for midlatitudes and from 2061 to 2105 for the Antarctic spring. The primary contribution to these ranges comes from the uncertainty in the lifetimes, with smaller contributions from uncertainties in other modeled parameters. The earlier years of the return estimates derived by the uncertainty analysis, i.e., 2039 for midlatitudes and 2061 for Antarctic spring, are comparable to a hypothetical scenario in which emissions of ODSs cease in 2014. The later end of the range, i.e., 2064 for midlatitudes and 2105 for Antarctic spring, can also be obtained by a scenario with an additional emission of about 7 Mt CFC-11 eq. (eq. - equivalent) in 2015, which is the same as about 2 times the projected cumulative anthropogenic emissions of all ODSs from 2014 to 2050, or about 12 times the projected cumulative HCFC emissions from 2014 to 2050.</t>
  </si>
  <si>
    <t>[Velders, G. J. M.] Natl Inst Publ Hlth &amp; Environm RIVM, NL-3720 BA Bilthoven, Netherlands; [Daniel, J. S.] NOAA, Earth Syst Res Lab, Div Chem Sci, Boulder, CO 80305 USA</t>
  </si>
  <si>
    <t>Netherlands National Institute for Public Health &amp; the Environment; National Oceanic Atmospheric Admin (NOAA) - USA</t>
  </si>
  <si>
    <t>Velders, GJM (corresponding author), Natl Inst Publ Hlth &amp; Environm RIVM, POB 1, NL-3720 BA Bilthoven, Netherlands.</t>
  </si>
  <si>
    <t>guus.velders@rivm.nl</t>
  </si>
  <si>
    <t>Daniel, John S/D-9324-2011; Velders, Guus/H-1204-2013</t>
  </si>
  <si>
    <t>Velders, Guus/0000-0002-6597-7088</t>
  </si>
  <si>
    <t>10.5194/acp-14-2757-2014</t>
  </si>
  <si>
    <t>AE6LP</t>
  </si>
  <si>
    <t>WOS:000334104700002</t>
  </si>
  <si>
    <t>Hommel, R; Eichmann, KU; Aschmann, J; Bramstedt, K; Weber, M; von Savigny, C; Richter, A; Rozanov, A; Wittrock, F; Khosrawi, F; Bauer, R; Burrows, JP</t>
  </si>
  <si>
    <t>Hommel, R.; Eichmann, K. -U.; Aschmann, J.; Bramstedt, K.; Weber, M.; von Savigny, C.; Richter, A.; Rozanov, A.; Wittrock, F.; Khosrawi, F.; Bauer, R.; Burrows, J. P.</t>
  </si>
  <si>
    <t>Chemical ozone loss and ozone mini-hole event during the Arctic winter 2010/2011 as observed by SCIAMACHY and GOME-2</t>
  </si>
  <si>
    <t>STRATOSPHERIC OZONE; SOLAR OCCULTATION; UPPER TROPOSPHERE; LIMB MEASUREMENTS; SATELLITE DATA; VERTICAL DISTRIBUTIONS; ALGORITHM DESCRIPTION; PROFILE RETRIEVAL; ANTARCTIC WINTER; ZENITH-SKY</t>
  </si>
  <si>
    <t>Record breaking loss of ozone (O-3) in the Arctic stratosphere has been reported in winter-spring 2010/2011. We examine in detail the composition and transformations occurring in the Arctic polar vortex using total column and vertical profile data products for O-3, bromine oxide (BrO), nitrogen dioxide (NO2), chlorine dioxide (OClO), and polar stratospheric clouds (PSC) retrieved from measurements made by SCIAMACHY (Scanning Imaging Absorption SpectroMeter for Atmospheric CHartography) onboard Envisat (Environmental Satellite), as well as total column ozone amount, retrieved from the measurements of GOME-2 (Global Ozone Monitoring Experiment) on MetOp-A (Meteorological Experimental Satellite). Similarly we use the retrieved data from DOAS (Differential Optical Absorption Spectroscopy) measurements made in Ny-Alesund (78.55 degrees N, 11.55 degrees E). A chemical transport model (CTM) has been used to relate and compare Arctic winter-spring conditions in 2011 with those in the previous year. In late winter-spring 2010/2011 the chemical ozone loss in the polar vortex derived from SCIAMACHY observations confirms findings reported elsewhere. More than 70% of O-3 was depleted by halogen catalytic cycles between the 425 and 525K isentropic surfaces, i.e. in the altitude range similar to 16-20 km. In contrast, during the same period in the previous winter 2009/2010, a typical warm Arctic winter, only slightly more than 20% depletion occurred below 20 km, while 40% of O-3 was removed above the 575K isentrope (similar to 23 km). This loss above 575K is explained by the catalytic destruction by NOx descending from the mesosphere. In both Arctic winters 2009/2010 and 2010/2011, calculated O-3 losses from the CTM are in good agreement to our observations and other model studies. The mid-winter 2011 conditions, prior to the catalytic cycles being fully effective, are also investigated. Surprisingly, a significant loss of O-3 around 60 %, previously not discussed in detail, is observed in mid-January 2011 below 500K (similar to 19 km) and sustained for approximately 1 week. The low O-3 region had an exceptionally large spatial extent. The situation was caused by two independently evolving tropopause elevations over the Asian continent. Induced adiabatic cooling of the stratosphere favoured the formation of PSC, increased the amount of active chlorine for a short time, and potentially contributed to higher polar ozone loss later in spring.</t>
  </si>
  <si>
    <t>[Hommel, R.; Eichmann, K. -U.; Aschmann, J.; Bramstedt, K.; Weber, M.; von Savigny, C.; Richter, A.; Rozanov, A.; Wittrock, F.; Bauer, R.; Burrows, J. P.] Univ Bremen, Inst Environm Phys IUP, D-28359 Bremen, Germany; [Khosrawi, F.] Stockholm Univ, Dept Meteorol, S-10691 Stockholm, Sweden</t>
  </si>
  <si>
    <t>University of Bremen; Stockholm University</t>
  </si>
  <si>
    <t>Hommel, R (corresponding author), Univ Bremen, Inst Environm Phys IUP, D-28359 Bremen, Germany.</t>
  </si>
  <si>
    <t>rene.hommel@iup.physik.uni-bremen.de</t>
  </si>
  <si>
    <t>von Savigny, Christian/B-3910-2014; Burrows, John Philip/AAF-8468-2019; Wittrock, Folkard/B-6959-2008; Weber, Mark/F-1409-2011; Richter, Andreas/C-4971-2008</t>
  </si>
  <si>
    <t>Burrows, John Philip/0000-0002-6821-5580; Rozanov, Alexei/0000-0003-4525-3223; Khosrawi, Farahnaz/0000-0002-0261-7253; von Savigny, Christian/0000-0001-7926-3986; Bramstedt, Klaus/0000-0003-0941-6937; Weber, Mark/0000-0001-8217-5450; Richter, Andreas/0000-0003-3339-212X</t>
  </si>
  <si>
    <t>European commission [FP7-ENV-2007-1-226224]; DFG Research Unit 1095 Stratospheric Change and its Role for Climate Prediction (SHARP); German Federal Ministry of Education and Research (BMBF) [01LG1212A]; State and University of Bremen; University of Greifswald; DFG</t>
  </si>
  <si>
    <t>European commission(European Union (EU)European Commission Joint Research Centre); DFG Research Unit 1095 Stratospheric Change and its Role for Climate Prediction (SHARP); German Federal Ministry of Education and Research (BMBF)(Federal Ministry of Education &amp; Research (BMBF)); State and University of Bremen; University of Greifswald; DFG(German Research Foundation (DFG))</t>
  </si>
  <si>
    <t>This work was funded in part by the European commission under the project Stratospheric ozone: Halogen Impacts in a Varying Atmosphere (SHIVA; FP7-ENV-2007-1-226224), the DFG Research Unit 1095 Stratospheric Change and its Role for Climate Prediction (SHARP), the German Federal Ministry of Education and Research (BMBF) under the project ROSA (funding reference code 01LG1212A), and by the State and University of Bremen. C. von Savigny was partly supported by the University of Greifswald. Part of this work was supported by the project DACCS as part of the DFG priority program CAWSES. The authors thank the anonymous reviewers for their helpful comments in improving the manuscript. We also thank several colleagues for suggestions and comments, in particular Hans F. Graf and Bjorn-Martin Sinnhuber, as well as Felix Ebojie, Katja Weigel, Stefan Noel, Claus Gebhardt and Emmanouil Proestakis. We also like to thank Gregor Kiesewetter, Peter Voelger, and Michael C. Pitts for providing access to additional data.</t>
  </si>
  <si>
    <t>10.5194/acp-14-3247-2014</t>
  </si>
  <si>
    <t>AF3JO</t>
  </si>
  <si>
    <t>WOS:000334608400006</t>
  </si>
  <si>
    <t>Wang, SQ; Ishizaka, J; Yamaguchi, H; Tripathy, SC; Hayashi, M; Xu, YJ; Mino, Y; Matsuno, T; Watanabe, Y; Yoo, SJ</t>
  </si>
  <si>
    <t>Wang, S. Q.; Ishizaka, J.; Yamaguchi, H.; Tripathy, S. C.; Hayashi, M.; Xu, Y. J.; Mino, Y.; Matsuno, T.; Watanabe, Y.; Yoo, S. J.</t>
  </si>
  <si>
    <t>Influence of the Changjiang River on the light absorption properties of phytoplankton from the East China Sea</t>
  </si>
  <si>
    <t>OCEAN-COLOR; NATURAL PHYTOPLANKTON; CHLOROPHYLL-A; YANGTZE-RIVER; SPECTRAL ABSORPTION; COASTAL WATERS; SIZE CLASSES; YELLOW SEA; CELL-SIZE; COMMUNITY</t>
  </si>
  <si>
    <t>Phytoplankton light absorption properties were investigated at the surface and subsurface chlorophyll a maximum (SCM) layer in the East China Sea (ECS), a marginal sea which is strongly influenced by the Changjiang discharge in summer. Results from ECS were compared with those from the Tsushima Strait (TS) where the influence of Changjiang discharge is less. The probable controlling factors, packaging effect (cell size) and pigment composition of total chlorophyll a (Tchl a)-specific absorption coefficient (a(ph)*(lambda)) were examined by the corresponding measurements of pigments identified by high-performance liquid chromatography. We observed distinct phytoplankton size structure and thereby absorption properties between ECS and TS. At the surface, mixed populations of micro-, nanoand pico-phytoplankton were recorded in ECS while picophytoplankton dominated in TS, generating a lower average a(ph)*(lambda) in ECS than in TS. Within SCM, average a(ph)*(lambda) was higher in ECS than in TS because of the dominance of nano-and micro-phytoplankton in ECS and TS, respectively. By pooling surface and SCM samples, we found regular trends in phytoplankton size-fraction versus Tchl a; and correlations between a(ph)*(lambda) and Tchl a consistent with previous observations for the global ocean in TS but not in ECS. In ECS phytoplankton size-fraction was not correlated with Tchl a, which consequently caused poor relationships between a(ph)*(lambda) and Tchl a. The abnormal values mainly originated from the surface low-salinity waters and SCM waters beneath them. At high Tchl a, a(ph)*(lambda) of these samples was substantially higher compared to the values in TS and from the global regressions, which was attributable to the lower micro-phytoplankton fraction, and higher nano-and/or pico-phytoplankton fractions in ECS. These observations indicated that the distinct light absorption properties of phytoplankton in ECS were possibly influenced by the Changjiang discharge. Our findings imply that general bio-optical algorithms proposed based on the correlations between a(ph)*(lambda) and Tchl a or the patterns in size-fraction versus Tchl a are not applicable in ECS, and need to be carefully considered when using these general algorithms in river-influenced regions.</t>
  </si>
  <si>
    <t>[Wang, S. Q.; Hayashi, M.] Nagoya Univ, Grad Sch Environm Studies, Nagoya, Aichi 4648601, Japan; [Ishizaka, J.; Xu, Y. J.; Mino, Y.] Nagoya Univ, Hydrospher Atmospher Res Ctr, Nagoya, Aichi 4648601, Japan; [Yamaguchi, H.] Japan Aerosp Explorat Agcy, Earth Observat Res Ctr, Tsukuba, Ibaraki, Japan; [Tripathy, S. C.] Natl Ctr Antarctic &amp; Ocean Res, Vasco, Goa, India; [Matsuno, T.] Kyushu Univ, Appl Mech Res Inst, Kasuga, Fukuoka 816, Japan; [Watanabe, Y.] Gen Environm Technos Co LTD, Osaka, Japan; [Yoo, S. J.] Korea Inst Ocean Sci &amp; Technol, Ansan, South Korea</t>
  </si>
  <si>
    <t>Nagoya University; Nagoya University; Japan Aerospace Exploration Agency (JAXA); Ministry of Earth Sciences (MoES) - India; National Centre for Polar and Ocean Research (NCPOR); Kyushu University; Korea Institute of Ocean Science &amp; Technology (KIOST)</t>
  </si>
  <si>
    <t>Ishizaka, J (corresponding author), Nagoya Univ, Hydrospher Atmospher Res Ctr, Nagoya, Aichi 4648601, Japan.</t>
  </si>
  <si>
    <t>jishizak@hyarc.nagoya-u.ac.jp</t>
  </si>
  <si>
    <t>Ishizaka, Joji/B-3587-2009</t>
  </si>
  <si>
    <t>Matsuno, Takeshi/0000-0001-8526-909X; Tripathy, Dr. Sarat Chandra/0000-0002-2437-8660; Ishizaka, Joji/0000-0003-0398-1572</t>
  </si>
  <si>
    <t>Second-generation Global Imager project of the Japan Aerospace Exploration Agency</t>
  </si>
  <si>
    <t>We would like to thank the captains, officers and crews of T/V Nagasaki maru and R/V Tansei maru for excellent assistance during field sampling and measurements. We also appreciate four anonymous reviewers for the constructive comments towards improving this manuscript. This research was partly supported by the Second-generation Global Imager project of the Japan Aerospace Exploration Agency.</t>
  </si>
  <si>
    <t>10.5194/bg-11-1759-2014</t>
  </si>
  <si>
    <t>AF3JT</t>
  </si>
  <si>
    <t>WOS:000334609000007</t>
  </si>
  <si>
    <t>Borrione, I; Aumont, O; Nielsdóttir, MC; Schlitzer, R</t>
  </si>
  <si>
    <t>Borrione, I.; Aumont, O.; Nielsdottir, M. C.; Schlitzer, R.</t>
  </si>
  <si>
    <t>Sedimentary and atmospheric sources of iron around South Georgia, Southern Ocean: a modelling perspective</t>
  </si>
  <si>
    <t>ANTARCTIC CIRCUMPOLAR CURRENT; DISSOLVED IRON; PHYTOPLANKTON BLOOMS; SCOTIA SEA; ATLANTIC SECTOR; HIGH-NUTRIENT; POLAR FRONT; WORLD OCEAN; VARIABILITY; SATELLITE</t>
  </si>
  <si>
    <t>In high-nutrient low-chlorophyll waters of the western Atlantic sector of the Southern Ocean, an intense phytoplankton bloom is observed annually north of South Georgia. Multiple sources, including shallow sediments and atmospheric dust deposition, are thought to introduce iron to the region. However, the relative importance of each source is still unclear, owing in part to the scarcity of dissolved iron (dFe) measurements in the South Georgia region. In this study, we combine results from a recently published dFe data set around South Georgia with a coupled regional hydrodynamic and biogeochemical model to further investigate iron supply around the island. The biogeochemical component of the model includes an iron cycle, where sediments and dust deposition are the sources of iron to the ocean. The model captures the characteristic flow patterns around South Georgia, hence simulating a large phytoplankton bloom to the north (i.e. downstream) of the island. Modelled dFe concentrations agree well with observations (mean difference and root mean square errors of similar to 0.02nM and similar to 0.81 nM) and form a large plume to the north of the island that extends eastwards for more than 800 km. In agreement with observations, highest dFe concentrations are located along the coast and decrease with distance from the island. Sensitivity tests indicate that most of the iron measured in the main bloom area originates from the coast and very shallow shelf-sediments (depths &lt;20 m). Dust deposition exerts almost no effect on surface chlorophyll a concentrations. Other sources of iron such as run-off and glacial melt are not represented explicitly in the model, however we discuss their role in the local iron budget.</t>
  </si>
  <si>
    <t>[Borrione, I.; Schlitzer, R.] Helmholtz Ctr Polar &amp; Marine Res, Alfred Wegener Inst, D-27568 Bremerhaven, Germany; [Aumont, O.] Inst Europeen Mer, Lab Phys Oceans, F-29280 Plouzane, France; [Nielsdottir, M. C.] Univ Southampton, Natl Oceanog Ctr, Southampton SO14 3ZH, Hants, England</t>
  </si>
  <si>
    <t>Helmholtz Association; Alfred Wegener Institute, Helmholtz Centre for Polar &amp; Marine Research; Centre National de la Recherche Scientifique (CNRS); Ifremer; Institut de Recherche pour le Developpement (IRD); Universite de Bretagne Occidentale; Institut Universitaire Europeen de la Mer (IUEM); NERC National Oceanography Centre; University of Southampton</t>
  </si>
  <si>
    <t>Borrione, I (corresponding author), Helmholtz Ctr Polar &amp; Marine Res, Alfred Wegener Inst, Columbusstr, D-27568 Bremerhaven, Germany.</t>
  </si>
  <si>
    <t>ines.borrione@gmail.com</t>
  </si>
  <si>
    <t>Aumont, Olivier/G-5207-2016</t>
  </si>
  <si>
    <t>Aumont, Olivier/0000-0003-3954-506X; borrione, Ines/0000-0002-7694-3780</t>
  </si>
  <si>
    <t>Earth System Science Research School at the Alfred Wegener Institute Helmholtz-Centre for Polar and Marine Research; EU FP7 project CARBOCHANGE [264879]; Antarctic Funding Initiative under the Collaborative Gearing Scheme [CGS8/27, CGS9/34]; University of Southampton, the National Oceanography Centre, Southampton</t>
  </si>
  <si>
    <t>Earth System Science Research School at the Alfred Wegener Institute Helmholtz-Centre for Polar and Marine Research; EU FP7 project CARBOCHANGE(European Union (EU)); Antarctic Funding Initiative under the Collaborative Gearing Scheme; University of Southampton, the National Oceanography Centre, Southampton</t>
  </si>
  <si>
    <t>J. Deshayes, T. Gorgues, Y. Jose, C. Klaas, E. Machu, M. Menzel, P. Penven, R. Timmermann, V. Smetacek and C. Volker are acknowledged for valuable discussions and help during the implementation of the models in a new study region. The Deutsches Klimarechenzentrum (DKRZ) hosting the model code is also thanked for its technical support. This work is part of Ph.D. research by I. Borrione, supported by the Earth System Science Research School at the Alfred Wegener Institute Helmholtz-Centre for Polar and Marine Research and the EU FP7 project CARBOCHANGE under grant agreement no. 264879. The PhD studentship grant to M. C. Nielsdottir by the University of Southampton, the National Oceanography Centre, Southampton and by the Antarctic Funding Initiative under the Collaborative Gearing Scheme (CGS8/27 and CGS9/34) is also acknowledged. In particular, we acknowledge the late Gokay Karakas, to whom this scientific contribution is dedicated.</t>
  </si>
  <si>
    <t>10.5194/bg-11-1981-2014</t>
  </si>
  <si>
    <t>WOS:000334609000020</t>
  </si>
  <si>
    <t>Taylor, JC; Cocquyt, C; Karthick, B; Van de Vijver, B</t>
  </si>
  <si>
    <t>Taylor, Jonathan C.; Cocquyt, Christine; Karthick, Balasubramanian; Van de Vijver, Bart</t>
  </si>
  <si>
    <t>Analysis of the type of Achnanthes exigua GRUNOW (Bacillariophyta) with the description of a new Antarctic diatom species</t>
  </si>
  <si>
    <t>Achnanthidium australexiguum; A. exiguum; Maritime Antarctic Region; morphology; type material</t>
  </si>
  <si>
    <t>FRESH-WATER; LIVINGSTON ISLAND; MORPHOLOGY; REVISION; ECOLOGY; LAKES</t>
  </si>
  <si>
    <t>A study was made of the type material of Achnanthidium exiguum (GRUNOW) CZARNECKI. This often encountered and apparently ubiquitous species was originally described as Stauroneis exilis by KUTZING from the island of Trinidad and later re-named as Achnanthes exigua by GRUNOW. The type material for this taxon (KUTZING sample 397), housed in the VAN HEURCK collection at the National Botanic Garden of Belgium, Meise was investigated and the ultrastructure of this taxon was documented using both LM and SEM observations. A new Antarctic taxon, formerly identified as A. exigua, was described as a new species, Achnanthidium australexiguum sp. nov. The position of both taxa within the genus Achnanthidium is briefly discussed.</t>
  </si>
  <si>
    <t>[Taylor, Jonathan C.; Karthick, Balasubramanian] North West Univ, Sch Biol Sci, Potchefstroom, South Africa; [Taylor, Jonathan C.] South African Inst Aquat Biodivers, Grahamstown, South Africa; [Taylor, Jonathan C.; Cocquyt, Christine; Van de Vijver, Bart] Bot Garden Meise, Dept Bryophyta &amp; Thallophyta, B-1860 Meise, Belgium; [Karthick, Balasubramanian] Gubbi Labs, Gubbi 572216, Karnataka, India; [Van de Vijver, Bart] Univ Antwerp, Dept Biol, ECOBE, B-2610 Antwerp, Belgium</t>
  </si>
  <si>
    <t>North West University - South Africa; National Research Foundation - South Africa; South African Institute for Aquatic Biodiversity; University of Antwerp</t>
  </si>
  <si>
    <t>Van de Vijver, B (corresponding author), Bot Garden Meise, Dept Bryophyta &amp; Thallophyta, Domein Bouchout, B-1860 Meise, Belgium.</t>
  </si>
  <si>
    <t>Balasubramanian, Karthick/P-5763-2014</t>
  </si>
  <si>
    <t>Balasubramanian, Karthick/0000-0003-4066-2458; Taylor, Jonathan Charles/0000-0003-2717-3246; Cocquyt, Christine/0000-0002-0047-4180</t>
  </si>
  <si>
    <t>Ministerio de Ciencia y Tecnologia, Spain [POL2006-06635]; BELSPO project CCAMBIO; EU Synthesys grant; South African National Research Foundation (NRF); Marie Curie Actions of the European commission; Belgian Federal Science Policy</t>
  </si>
  <si>
    <t>Ministerio de Ciencia y Tecnologia, Spain(Spanish Government); BELSPO project CCAMBIO; EU Synthesys grant; South African National Research Foundation (NRF)(National Research Foundation - South Africa); Marie Curie Actions of the European commission(European Union (EU)Marie Curie ActionsEuropean Commission Joint Research Centre); Belgian Federal Science Policy(Belgian Federal Science Policy Office)</t>
  </si>
  <si>
    <t>Samples on Byers Peninsula were taken in the framework of the IPY-Limnopolar Project POL2006-06635 (Ministerio de Ciencia y Tecnologia, Spain). The authors would also like to thank the members of expeditions to the Czech J.G. Mendel Antarctic Station for their support and help in the field. Part of the research was funded within the BELSPO project CCAMBIO and an EU Synthesys grant to BVDV to visit the National History Museum in London, UK. ALEX BALL, the staff of the EMMA laboratory and EILEEN J. COX at the Natural History Museum are thanked for their help with the scanning electron microscopy. J. C. TAYLOR is the recipient of South African National Research Foundation (NRF) incentive funding. Any opinions, findings and conclusions or recommendations expressed in this material are those of the author(s) and therefore the NRF does not accept any liability in regard thereto. J. C. TAYLOR is a beneficiary of a mobility grant from the Marie Curie Actions of the European commission co-financed by the Belgian Federal Science Policy.</t>
  </si>
  <si>
    <t>10.5507/fot.2014.003</t>
  </si>
  <si>
    <t>AF3BV</t>
  </si>
  <si>
    <t>WOS:000334587400003</t>
  </si>
  <si>
    <t>Chattová, B; Lebouvier, M; Van de Vijver, B</t>
  </si>
  <si>
    <t>Chattova, Barbora; Lebouvier, Marc; Van de Vijver, Bart</t>
  </si>
  <si>
    <t>Freshwater diatom communities from Ile Amsterdam (TAAF, southern Indian Ocean)</t>
  </si>
  <si>
    <t>Bacillariophyta; biogeography; ecology; Ile Amsterdam; southern Indian Ocean; sub-Antarctic region</t>
  </si>
  <si>
    <t>LIVINGSTON ISLAND; GENUS; BACILLARIOPHYCEAE; DIVERSITY; ECOLOGY; FLORA; EVOLUTION; SPHAGNUM; NUMBER</t>
  </si>
  <si>
    <t>Diatom and water chemistry samples were collected during the austral summer of 2007 from lakes, streams and bogponds on Ile Amsterdam (TAAF), a small island located in the southern Indian Ocean. A diverse diatom flora of 104 taxa was found, dominated by several Pinnularia taxa, Frustulia lebouvieri, Kobayasiella subantarctica, Eunotia paludosa, E. muscicola and Planothidium subantarcticum. Biogeographically, the Ile Amsterdam freshwater diatom flora is composed of cosmopolitan, sub-Antarctic and endemic elements. The biogeographical analysis showed that almost 17% of all observed taxa can be considered endemic to Ile Amsterdam with an additional 14% showing an exclusive sub-Antarctic distribution. The flora can be considered as typical for oceanic islands based on its disharmonic composition with several genera lacking and other being overrepresented. Canonical Component Analysis was used to classify the samples based on their chemical characteristics, revealing that, specific conductance, sulphate and pH were the main factors dividing the samples into four different groups. The geological history of the island in combination with the climate and the specific environmental features of the main habitat in the Caldera most likely shaped the composition of the actual diatom communities.</t>
  </si>
  <si>
    <t>[Chattova, Barbora] Masaryk Univ, Fac Sci, Dept Bot &amp; Zool, CS-61137 Brno, Czech Republic; [Lebouvier, Marc] Univ Rennes 1, Ecobio CNRS, UMR 6553, F-35380 Paimpont, France; [Van de Vijver, Bart] Bot Garden Meise, Dept Bryophyta &amp; Thallophyta, B-1860 Meise, Belgium; [Van de Vijver, Bart] Univ Antwerp, ECOBE, Dept Biol, B-2610 Antwerp, Belgium</t>
  </si>
  <si>
    <t>Masaryk University Brno; Centre National de la Recherche Scientifique (CNRS); CNRS - Institute of Ecology &amp; Environment (INEE); Universite de Rennes; University of Antwerp</t>
  </si>
  <si>
    <t>French Polar Institute Paul-Emile Victor [136]; FWO project [G.0533.07]; Belspo project CCAMBIO; ERASMUS scholarship</t>
  </si>
  <si>
    <t>French Polar Institute Paul-Emile Victor; FWO project(FWO); Belspo project CCAMBIO; ERASMUS scholarship</t>
  </si>
  <si>
    <t>The authors wish to thank Dr. J. Whinam for her help during the sampling campaign. Sampling was made possible thanks to the logistic and financial support of the French Polar Institute Paul-Emile Victor in the framework of the terrestrial program 136 (Ir. M. Lebouvier &amp; Dr. Y. Frenot). Part of this research was funded within the FWO project G.0533.07 and Belspo project CCAMBIO. Mrs. M. de Haan is thanked for preparing the samples. Mrs. B. Chattova benefited from an ERASMUS scholarship when studying at the National Botanic Garden of Belgium and the University of Antwerp.</t>
  </si>
  <si>
    <t>10.5507/fot.2014.008</t>
  </si>
  <si>
    <t>WOS:000334587400008</t>
  </si>
  <si>
    <t>Parodi, B; Londonio, A; Polla, G; Savio, M; Smichowski, P</t>
  </si>
  <si>
    <t>Parodi, Belen; Londonio, Agustin; Polla, Griselda; Savio, Marianela; Smichowski, Patricia</t>
  </si>
  <si>
    <t>On-line flow injection solid phase extraction using oxidised carbon nanotubes as the substrate for cold vapour-atomic absorption determination of Hg(II) in different kinds of water</t>
  </si>
  <si>
    <t>JOURNAL OF ANALYTICAL ATOMIC SPECTROMETRY</t>
  </si>
  <si>
    <t>TRACE-METAL IONS; EMISSION-SPECTROMETRY; MERCURY; PRECONCENTRATION; SAMPLES; CHROMATOGRAPHY; OXIDATION</t>
  </si>
  <si>
    <t>A study was carried out to investigate the concentrations of Hg(II) in different categories of water samples at ng L-1 levels. The capabilities of oxidised carbon nanotubes (ox-CNTs) were studied to assess if this substrate serves as an efficient material for Hg(II) preconcentration using an on-line flow injection cold vapour-atomic absorption spectrometry (FI-CV-AAS) system. Carbon nanotubes are characterized by a marked tendency to aggregate, which negatively affects the retention of Hg whenever integrated in flow systems as a packed column. For this reason, the preconcentration was carried out in a microcolumn filled with a mixture of ox-CNTs and a low molecular weight polyethylene. The preparation of the microcolumn was studied in detail. Concerning column design, the best performance was achieved when packing the substrate in a microcolumn of 2.25 mm (i.d.) x 20 mm length. The effect of chemical and physical parameters including the pH of the solutions, the eluent type and the concentration was systematically examined. Mercury was retained at pH 5.0 and 15% (v/v) HCl was the best alternative for Hg(II) elution. Under optimal conditions, the adsorption capacity of the substrate was found to be 3.2 mg g(-1) reaching a preconcentration factor (PF) of 150. The high adsorption capacity of this substrate allowed reaching a detection limit (3 sigma) of 1.9 ng L-1, when using a sorbent column containing only 1.0 mg of ox-CNTs. The limit of quantification (10 sigma) resulted to be 6.3 ng L-1. Precision, expressed as relative standard deviation (RSD), turned out to be 1.6% at the 0.1 mu g L-1 level (n = 8). The system was evaluated for quantitative determination of Hg in river water, sea water and effluents.</t>
  </si>
  <si>
    <t>[Parodi, Belen] Ctr Invest &amp; Desarrollo Mecan, Inst Nacl Tecnol Ind, Buenos Aires, DF, Argentina; [Parodi, Belen; Londonio, Agustin] Univ San Martin, 3iA, Buenos Aires, DF, Argentina; [Londonio, Agustin; Polla, Griselda; Smichowski, Patricia] Comis Nacl Energia Atom, RA-1429 Buenos Aires, DF, Argentina; [Savio, Marianela] Univ Nacl San Luis, Inst Quim San Luis UNSL CONICET, Area Quim Analit, Fac Quim Bioquim &amp; Farm, Buenos Aires, DF, Argentina; [Smichowski, Patricia] Consejo Nacl Invest Cient &amp; Tecn, Buenos Aires, DF, Argentina</t>
  </si>
  <si>
    <t>Instituto Nacional de Tecnologia Industrial (INTI); Comision Nacional de Energia Atomica (CNEA); Universidad Nacional de San Luis; Consejo Nacional de Investigaciones Cientificas y Tecnicas (CONICET)</t>
  </si>
  <si>
    <t>Smichowski, P (corresponding author), Comis Nacl Energia Atom, Av Gral Paz 1499,B1650KNA San Martin, RA-1429 Buenos Aires, DF, Argentina.</t>
  </si>
  <si>
    <t>smichows@cnea.gov.ar</t>
  </si>
  <si>
    <t>Savio, Marianela/J-1747-2014</t>
  </si>
  <si>
    <t>Savio, Marianela/0000-0002-7054-3153</t>
  </si>
  <si>
    <t>CONICET [PIP 486]; ANPCyT [PICT 1195]</t>
  </si>
  <si>
    <t>CONICET(Consejo Nacional de Investigaciones Cientificas y Tecnicas (CONICET)); ANPCyT(ANPCyT)</t>
  </si>
  <si>
    <t>The authors thank Agustin Negri (Physics Department, CNEA) for providing the Antarctic water sample. PS thanks CONICET (Project PIP 486) and ANPCyT (Project PICT 1195) for funds. BP acknowledges Gustavo Lafogiannis for his kind cooperation.</t>
  </si>
  <si>
    <t>0267-9477</t>
  </si>
  <si>
    <t>1364-5544</t>
  </si>
  <si>
    <t>J ANAL ATOM SPECTROM</t>
  </si>
  <si>
    <t>J. Anal. At. Spectrom.</t>
  </si>
  <si>
    <t>10.1039/c3ja50396h</t>
  </si>
  <si>
    <t>Chemistry, Analytical; Spectroscopy</t>
  </si>
  <si>
    <t>Chemistry; Spectroscopy</t>
  </si>
  <si>
    <t>AF5ER</t>
  </si>
  <si>
    <t>WOS:000334737300011</t>
  </si>
  <si>
    <t>Baird, HP; Stark, JS</t>
  </si>
  <si>
    <t>Baird, Helena P.; Stark, Jonathan S.</t>
  </si>
  <si>
    <t>Spatial and temporal heterogeneity in the distribution of an Antarctic amphipod and relationship with the sediment</t>
  </si>
  <si>
    <t>Benthic sediment; Peracarid crustacean; Population density; Metals; Grain size; Anthropogenic impact; Environmental change</t>
  </si>
  <si>
    <t>BENTHIC MARINE POLLUTION; TERRA-NOVA BAY; CASEY STATION; ROSS SEA; POPULATION-DYNAMICS; METAL CONTAMINATION; MONOPOREIA-AFFINIS; EAST ANTARCTICA; MCMURDO-STATION; VESTFOLD HILLS</t>
  </si>
  <si>
    <t>The nearshore Antarctic environment is subject to increasing anthropogenic impact, yet the ecological processes influencing some of its most dominant species remain poorly understood. We examined patterns of the distribution and abundance of the Antarctic amphipod Orchomenella franklini in relation to the local environment. Samples of benthic sediment were collected in East Antarctica across several spatial and temporal scales and were analysed for the abundance of O. franklini and various sediment properties. O. franklini was found to reach extremely high densities (&gt; 41000 m(-2)), yet abundance was strongly heterogeneous on all spatial scales tested. Temporal variation in abundance was also significant and was location-specific, potentially reflecting fluctuations in food supply and variable conditions resulting from ice disturbance. Principal component analysis and generalised additive modelling revealed evidence of a relationship between the distribution of O. franklini and the sediment, which was consistent with its deposit-feeding trophic niche. Generally, the abundance of O. franklini increased with de creasing sediment grain size and increasing trace element concentration. Abundance also peaked at high (though not maximum) total organic carbon content. This is one of the first empirical demonstrations of a correlation between discrete physical sediment traits and the abundance of an infaunal benthic species in the Antarctic, with evidence consolidated from 2 geographic regions. The influence of local conditions on the abundance of O. franklini provides insight on the heterogeneity of Antarctic benthic ecosystems.</t>
  </si>
  <si>
    <t>[Baird, Helena P.; Stark, Jonathan S.] Australian Antarctic Div, Terrestrial &amp; Nearshore Ecosyst Theme, Kingston, Tas 7050, Australia; [Baird, Helena P.] Univ Tasmania, Inst Marine &amp; Antarctic Studies, Hobart, Tas 7001, Australia</t>
  </si>
  <si>
    <t>Australian Antarctic Division; University of Tasmania</t>
  </si>
  <si>
    <t>Baird, HP (corresponding author), Australian Antarctic Div, Terrestrial &amp; Nearshore Ecosyst Theme, Channel Highway, Kingston, Tas 7050, Australia.</t>
  </si>
  <si>
    <t>hpbaird@utas.edu.au</t>
  </si>
  <si>
    <t>Stark, Jonathan/ABF-4025-2020</t>
  </si>
  <si>
    <t>Stark, Jonathan/0000-0002-4268-8072; Baird, Helena/0000-0002-7560-8331</t>
  </si>
  <si>
    <t>Australian Antarctic Division; ANZ Charitable Trust Holsworth Wildlife Research Endowment</t>
  </si>
  <si>
    <t>We are grateful to the Australian Antarctic Division for providing all financial and logistical support associated with field sampling. The ANZ Charitable Trust Holsworth Wildlife Research Endowment also provided funding towards this project. We are indebted to all personnel at Casey and Davis stations who aided marine sampling during the summer field seasons of 1997 to 2010. We thank S. Wotherspoon for assistance with statistical analyses. K. Miller and P. Virtue provided valuable feedback on the manuscript.</t>
  </si>
  <si>
    <t>10.3354/meps10715</t>
  </si>
  <si>
    <t>AF4GU</t>
  </si>
  <si>
    <t>WOS:000334670700013</t>
  </si>
  <si>
    <t>O'Toole, M; Hindell, MA; Charrassin, JB; Guinet, C</t>
  </si>
  <si>
    <t>O'Toole, Malcolm; Hindell, Mark A.; Charrassin, Jean-Benoir; Guinet, Christophe</t>
  </si>
  <si>
    <t>Foraging behaviour of southern elephant seals over the Kerguelen Plateau</t>
  </si>
  <si>
    <t>Diving behaviour; 3-dimensional utilisation; Shelf break; Temperature; Sea-surface height; Fisheries management</t>
  </si>
  <si>
    <t>MIROUNGA-LEONINA; SATELLITE TELEMETRY; ANIMAL MOVEMENT; NORTH PACIFIC; TOP PREDATOR; HOT-SPOTS; MACQUARIE; ISLANDS; AREAS; INFORMATION</t>
  </si>
  <si>
    <t>A total of 79 (37 juvenile male, 42 adult female) southern elephant seals Mirounga leonina from the Kerguelen Islands were tracked between 2004 and 2009. Area-restricted search patterns and dive behaviour were established from location data gathered by CTD satellite-relayed data loggers. At-sea movements of the seals demonstrated that &gt; 40% of the juvenile elephant seal population tagged use the Kerguelen Plateau during the austral winter. Search activity increased where temperature at 200 m depth was lower, when closer to the shelf break, and, to a lesser extent, where sea-surface height anomalies were higher. However, while this model explained the observed data (F-1,F-242 = 88.23, p &lt; 0.0001), bootstrap analysis revealed poor predictive capacity (r(2) = 0.264). There appears to be potential overlap between the seals and commercial fishing operations in the region. This study may therefore support ecosystem-based fisheries management of the region, with the aim of maintaining ecological integrity of the shelf.</t>
  </si>
  <si>
    <t>[O'Toole, Malcolm; Hindell, Mark A.] Univ Tasmania, Inst Marine &amp; Antarctic Studies, Hobart, Tas 7001, Australia; [Charrassin, Jean-Benoir] Museum Natl Hist Nat, F-75231 Paris, France; [Guinet, Christophe] Ctr Biolog Chize, Marine Predator Dept, F-79360 Villiers En Bois, France</t>
  </si>
  <si>
    <t>University of Tasmania; Museum National d'Histoire Naturelle (MNHN)</t>
  </si>
  <si>
    <t>O'Toole, M (corresponding author), Univ Tasmania, Inst Marine &amp; Antarctic Studies, Hobart, Tas 7001, Australia.</t>
  </si>
  <si>
    <t>otoolem@utas.edu.au</t>
  </si>
  <si>
    <t>Hindell, Mark A/K-1131-2013; Guinet, Christophe/AAR-8457-2020</t>
  </si>
  <si>
    <t>Hindell, Mark/0000-0002-7823-7185</t>
  </si>
  <si>
    <t>Myriax; Australian Antarctic Division Animal Ethics Committee (AEC) [2794]; University of Tasmania's AEC [A8523, A10361]</t>
  </si>
  <si>
    <t>Myriax; Australian Antarctic Division Animal Ethics Committee (AEC); University of Tasmania's AEC</t>
  </si>
  <si>
    <t>Thanks to Myriax for providing an Eonfusion scholarship to Malcolm O'Toole, particularly to Hugh Pederson and Francis Chui. Ben Raymond at the Australian Antarctic Division provided all remotely sensed satellite and bathymetric datasets. The study was conducted under Australian Antarctic Division Animal Ethics Committee (AEC) Project Number 2794 and University of Tasmania's AEC A8523 and A10361.</t>
  </si>
  <si>
    <t>10.3354/meps10709</t>
  </si>
  <si>
    <t>WOS:000334670700022</t>
  </si>
  <si>
    <t>Kramarova, NA; Nash, ER; Newman, PA; Bhartia, PK; McPeters, RD; Rault, DF; Seftor, CJ; Xu, PQ; Labow, GJ</t>
  </si>
  <si>
    <t>Kramarova, N. A.; Nash, E. R.; Newman, P. A.; Bhartia, P. K.; McPeters, R. D.; Rault, D. F.; Seftor, C. J.; Xu, P. Q.; Labow, G. J.</t>
  </si>
  <si>
    <t>Measuring the Antarctic ozone hole with the new Ozone Mapping and Profiler Suite (OMPS)</t>
  </si>
  <si>
    <t>LIMB SCATTER MEASUREMENTS; O-3 PROFILES; STRATOSPHERE; TEMPERATURE; RETRIEVAL</t>
  </si>
  <si>
    <t>The new Ozone Mapping and Profiler Suite (OMPS), which launched on the Suomi National Polarorbiting Partnership satellite in October 2011, gives a detailed view of the development of the Antarctic ozone hole and extends the long series of satellite ozone measurements that go back to the early 1970s. OMPS includes two modules - nadir and limb - to measure profile and total ozone concentrations. The new limb module is designed to measure the vertical profile of ozone between the lowermost stratosphere and the mesosphere. The OMPS observations over Antarctica show excellent agreement with the measurements obtained from independent satellite and ground-based instruments. This validation demonstrates that OMPS data can ably extend the ozone time series over Antarctica in the future. The OMPS observations are used to monitor and characterize the evolution of the 2012 Antarctic ozone hole. While large ozone losses were observed in September 2012, a strong ozone rebound occurred in October and November 2012. This ozone rebound is characterized by rapid increases of ozone at mid-stratospheric levels and a splitting of the ozone hole in early November. The 2012 Antarctic ozone hole was the second smallest on record since 1988.</t>
  </si>
  <si>
    <t>[Kramarova, N. A.; Nash, E. R.; Seftor, C. J.; Labow, G. J.] Sci Syst &amp; Applicat Inc, Lanham, MD 20706 USA; [Newman, P. A.; Bhartia, P. K.; McPeters, R. D.] NASA, Goddard Space Flight Ctr, Greenbelt, MD 20771 USA; [Rault, D. F.] Morgan State Univ, Baltimore, MD 21239 USA; [Xu, P. Q.] Sci Applicat Int Corp, Beltsville, MD USA</t>
  </si>
  <si>
    <t>Science Systems and Applications Inc; National Aeronautics &amp; Space Administration (NASA); NASA Goddard Space Flight Center; Morgan State University; Science Applications International Corporation (SAIC)</t>
  </si>
  <si>
    <t>Kramarova, NA (corresponding author), Sci Syst &amp; Applicat Inc, Lanham, MD 20706 USA.</t>
  </si>
  <si>
    <t>natalya.a.kramarova@nasa.gov</t>
  </si>
  <si>
    <t>McPeters, Richard/G-4955-2013; Bhartia, Pawan/A-4209-2016; Newman, Paul A./D-6208-2012; Kramarova, Natalya/D-2270-2014</t>
  </si>
  <si>
    <t>Bhartia, Pawan/0000-0001-8307-9137; Seftor, Colin/0000-0003-4047-0181; Newman, Paul A./0000-0003-1139-2508; Kramarova, Natalya/0000-0002-6083-8548</t>
  </si>
  <si>
    <t>NASA Atmospheric Chemistry Modeling and Analysis Program; Modeling, Analysis, and Prediction Program</t>
  </si>
  <si>
    <t>NASA Atmospheric Chemistry Modeling and Analysis Program(National Aeronautics &amp; Space Administration (NASA)); Modeling, Analysis, and Prediction Program</t>
  </si>
  <si>
    <t>This work was supported under the NASA Atmospheric Chemistry Modeling and Analysis Program and the Modeling, Analysis, and Prediction Program. The Aura MLS science teams provided the high quality satellite ozone data set. The World Ozone and Ultraviolet Radiation Data Center (WOUDC) provided ozonesonde data. OMPS data are available at http://ozoneaq.gsfc.nasa.gov/omps. The MERRA data have been provided by the Global Modeling and Assimilation Office (GMAO) at NASA Goddard Space Flight Center through the NASA GES DISC online archive (http://disc.sci.gsfc.nasa.gov/daac-bin/DataHoldings.pl). Ozone maps, as well as statistical and climatological plots and data related to ozone, can be found at http://ozonewatch.gsfc.nasa.gov/. The authors wish to thank M. Weber and two anonymous referees for their constructive comments that helped to improve the paper.</t>
  </si>
  <si>
    <t>10.5194/acp-14-2353-2014</t>
  </si>
  <si>
    <t>AE6LK</t>
  </si>
  <si>
    <t>WOS:000334104200010</t>
  </si>
  <si>
    <t>van Peet, JCA; van der A, RJ; Tuinder, ONE; Wolfram, E; Salvador, J; Levelt, PF; Kelder, HM</t>
  </si>
  <si>
    <t>van Peet, J. C. A.; van der A, R. J.; Tuinder, O. N. E.; Wolfram, E.; Salvador, J.; Levelt, P. F.; Kelder, H. M.</t>
  </si>
  <si>
    <t>Ozone ProfilE Retrieval Algorithm (OPERA) for nadir-looking satellite instruments in the UV-VIS</t>
  </si>
  <si>
    <t>ABSORPTION CROSS-SECTIONS; MONITORING EXPERIMENT; VERTICAL-DISTRIBUTION; GOME; TEMPERATURE; SPECTROSCOPY; ASSIMILATION; SCIAMACHY; SPACE</t>
  </si>
  <si>
    <t>For the retrieval of the vertical distribution of ozone in the atmosphere the Ozone ProfilE Retrieval Algorithm (OPERA) has been further developed. The new version (1.26) of OPERA is capable of retrieving ozone profiles from UV-VIS observations of most nadir-looking satellite instruments like GOME, SCIAMACHY, OMI and GOME-2. The setup of OPERA is described and results are presented for GOME and GOME-2 observations. The retrieved ozone profiles are globally compared to ozone sondes for the years 1997 and 2008. Relative differences between GOME/GOME-2 and ozone sondes are within the limits as specified by the user requirements from the Climate Change Initiative (CCI) programme of ESA (20% in the troposphere, 15% in the stratosphere). To demonstrate the performance of the algorithm under extreme circumstances, the 2009 Antarctic ozone hole season was investigated in more detail using GOME-2 ozone profiles and lidar data, which showed an unusual persistence of the vortex over the Rio Gallegos observing station (51A degrees S, 69.3A degrees W). By applying OPERA to multiple instruments, a time series of ozone profiles from 1996 to 2013 from a single robust algorithm can be created.</t>
  </si>
  <si>
    <t>[van Peet, J. C. A.; van der A, R. J.; Tuinder, O. N. E.; Levelt, P. F.; Kelder, H. M.] KNMI, De Bilt, Netherlands; [Wolfram, E.; Salvador, J.] CEILAP UNIDEF MINDEF CONICET, UMI IFAECI CNRS 3351, Villa Martelli, Argentina; [Levelt, P. F.] Delft Univ Technol, Delft, Netherlands; [Kelder, H. M.] Eindhoven Univ Technol, NL-5600 MB Eindhoven, Netherlands</t>
  </si>
  <si>
    <t>Royal Netherlands Meteorological Institute; Delft University of Technology; Eindhoven University of Technology</t>
  </si>
  <si>
    <t>van Peet, JCA (corresponding author), KNMI, De Bilt, Netherlands.</t>
  </si>
  <si>
    <t>peet@knmi.nl</t>
  </si>
  <si>
    <t>Levelt, Pieternel/AAE-3835-2022; Salvador, Jacobo/ISV-5414-2023</t>
  </si>
  <si>
    <t>Wolfram, Elian/0000-0001-6297-4327; van Peet, J.C.A./0000-0002-8979-5000</t>
  </si>
  <si>
    <t>10.5194/amt-7-859-2014</t>
  </si>
  <si>
    <t>AE6LX</t>
  </si>
  <si>
    <t>WOS:000334105700012</t>
  </si>
  <si>
    <t>Klunder, MB; Laan, P; De Baar, HJW; Middag, R; Neven, I; Van Ooijen, J</t>
  </si>
  <si>
    <t>Klunder, M. B.; Laan, P.; De Baar, H. J. W.; Middag, R.; Neven, I.; Van Ooijen, J.</t>
  </si>
  <si>
    <t>Dissolved Fe across the Weddell Sea and Drake Passage: impact of DFe on nutrient uptake</t>
  </si>
  <si>
    <t>SOUTHERN-OCEAN PHYTOPLANKTON; ANTARCTIC BOTTOM WATER; ATLANTIC SECTOR; DEEP-WATER; IRON LIMITATION; ENRICHMENT EXPERIMENTS; KERGUELEN-ISLANDS; EXPORT PRODUCTION; CARBON EXPORT; BLOOMS</t>
  </si>
  <si>
    <t>This manuscript reports the first full depth distributions of dissolved iron (DFe) over a high-resolution Weddell Sea and Drake Passage transect. Very low dissolved DFe concentrations (0.01-0.1 nM range) were observed in the surface waters of the Weddell Sea, and within the Drake Passage polar regime. Locally, enrichment in surface DFe was observed, likely due to recent ice melt (Weddell Sea) or dust deposition (Drake Passage). As expected, in low DFe regions, usually a small silicate drawdown compared to the nitrate drawdown was observed. However, the difference in drawdown between these nutrients appeared not related to DFe availability in the western Weddell Sea. In this region with relatively small diatoms, no relationship between N: P and N: Si removal ratios and DFe was observed. In comparison, along the Greenwich Meridian (Klunder et al., 2011a), where diatoms are significantly larger, the N: P and N: Si removal ratios did increase with increasing DFe. These findings confirm the important role of DFe in biologically mediated nutrient cycles in the Southern Ocean and imply DFe availability might play a role in shaping phytoplankton communities and constraining cell sizes. Over the shelf around the Antarctic Peninsula, higher DFe concentrations (&gt; 1.5 nM) were observed. These elevated concentrations of Fe were transported into Drake Passage along isopycnal surfaces. Near the South American continent, high (&gt; 2 nM) DFe concentrations were caused by fluvial/ glacial input of DFe. On the Weddell Sea side of the Peninsula region, formation of deep water (by downslope convection) caused relatively high Fe (0.6-0.8 nM) concentrations in the bottom waters relative to the water masses at mid-depth (0.2-0.4 nM). During transit of Weddell Sea Bottom Water to the Drake Passage, through the Scotia Sea, additional DFe is taken up from seafloor sources, resulting in highest bottom water concentrations in the southernmost part of the Drake Passage in excess of 1 nM. TheWeddell Sea Deep Water concentrations (similar to 0.32 nM) were consistent with the lowest DFe concentrations observed in Antarctic bottom water in the Atlantic Ocean.</t>
  </si>
  <si>
    <t>[Klunder, M. B.; Laan, P.; De Baar, H. J. W.; Middag, R.] Royal Dutch Inst Sea Res, Dept Biol Oceanog, NL-1797 SZ Texel, Netherlands; [De Baar, H. J. W.] Univ Groningen, Dept Ocean Ecosyst, NL-9751 NN Haren, Netherlands; [Middag, R.] Univ Otago, Dept Chem, NIWA UO Res Ctr Oceanog, Dunedin 9054, New Zealand; [Neven, I.] Univ Groningen, Dept Plant Physiol, NL-9751 NN Haren, Netherlands; [Van Ooijen, J.] Royal Dutch Inst Sea Res, Dept Chem Oceanog, NL-1797 SZ Texel, Netherlands</t>
  </si>
  <si>
    <t>Utrecht University; Royal Netherlands Institute for Sea Research (NIOZ); University of Groningen; University of Otago; University of Groningen; Utrecht University; Royal Netherlands Institute for Sea Research (NIOZ)</t>
  </si>
  <si>
    <t>Klunder, MB (corresponding author), Dutch Board Authorisat Biocides &amp; Plant Protect P, Wageningen, Netherlands.</t>
  </si>
  <si>
    <t>maartenklunder@hotmail.com</t>
  </si>
  <si>
    <t>Middag, Rob/D-6423-2013</t>
  </si>
  <si>
    <t>Middag, Rob/0000-0002-3326-530X</t>
  </si>
  <si>
    <t>10.5194/bg-11-651-2014</t>
  </si>
  <si>
    <t>AE6KB</t>
  </si>
  <si>
    <t>WOS:000334099700009</t>
  </si>
  <si>
    <t>Kenderova, R; Pimpirev, C; Baltakova, A</t>
  </si>
  <si>
    <t>Kenderova, Rossitza; Pimpirev, Christo; Baltakova, Ahinora</t>
  </si>
  <si>
    <t>FROST ACTION PROCESSES AND PRODUCTS IN BULGARIAN ANTARCTIC BASE AREA (LIVINGSTON ISLAND, SOUTH-SHETLANDS ARCHIPELAGO)</t>
  </si>
  <si>
    <t>frost action; grain size analysis; Antarctica</t>
  </si>
  <si>
    <t>The paper presents results from a geomorphological research of frost action processes, forms and products, taken in the Bulgarian Antarctic Base St. Kliment Ohridski area in the South Bay of Livingston Island, South-Shetlands Archipelago. Studies have been carried out during the austral summer in five field seasons. They include establishing of key sites on rock outcrops of different petrographic type, elevation, slope declination and aspect. On these differences we have classified five sites with different situations, which are forming stair levels above the Bay. In this study we describe frost wedging, frost heaving and thrusting, mass displacement and sorting, which produce in situ shattered bedrock, block fields and patterned ground. They have all been characterized by field descriptions and sedimentological grain size analysis. Based on them we have established inner variety in frost action development at different levels. We discuss our results which brought us to conclusions about the periods of maximal activity of frost action process and the beginning of soil formation in the Base area.</t>
  </si>
  <si>
    <t>[Kenderova, Rossitza; Baltakova, Ahinora] Sofia Univ St Kliment Ohridski, Fac Geol &amp; Geog, Dept Climatol Hydrol &amp; Geomorphol, Sofia 1504, Bulgaria; [Pimpirev, Christo] Sofia Univ St Kliment Ohridski, Fac Geol &amp; Geog, Dept Geol Palaeontol &amp; Fossil Fuels, Sofia 1504, Bulgaria</t>
  </si>
  <si>
    <t>University of Sofia; University of Sofia</t>
  </si>
  <si>
    <t>Kenderova, R (corresponding author), Sofia Univ St Kliment Ohridski, Fac Geol &amp; Geog, Dept Climatol Hydrol &amp; Geomorphol, 15 Tsar Osvoboditel Blvd, Sofia 1504, Bulgaria.</t>
  </si>
  <si>
    <t>rosica@gea.uni-sofia.bg; polar@gea.uni-sofia.bg; abaltakova@gea.uni-sofia.bg</t>
  </si>
  <si>
    <t>Baltakova, Ahinora/AAK-4323-2021</t>
  </si>
  <si>
    <t>Ministry of Environment and Water Supply of Bulgaria</t>
  </si>
  <si>
    <t>This study was financially supported by a scientific project of the Ministry of Environment and Water Supply of Bulgaria with title: Complex geological, geochemical, geophysics and ecosystem researches in the area of Bulgarian Antarctic Base in the period 2005-2010.</t>
  </si>
  <si>
    <t>AF0GE</t>
  </si>
  <si>
    <t>WOS:000334391300015</t>
  </si>
  <si>
    <t>Núñez-Pons, L; Avila, C</t>
  </si>
  <si>
    <t>Nunez-Pons, Laura; Avila, Conxita</t>
  </si>
  <si>
    <t>Deterrent activities in the crude lipophilic fractions of Antarctic benthic organisms: chemical defences against keystone predators</t>
  </si>
  <si>
    <t>Antarctic invertebrates; Antarctic algae; chemical ecology; sea star Odontaster; validus; amphipod Cheirimedon femoratus; chemical defence.</t>
  </si>
  <si>
    <t>PREY NUTRITIONAL QUALITY; BIOCHEMICAL-COMPOSITION; SECONDARY METABOLITES; SUBTIDAL MACROALGAE; ENERGY CONTENT; MARINE; ECOLOGY; SEA; AMPHIPODS; SPONGES</t>
  </si>
  <si>
    <t>Generalist predation constitutes a driving force for the evolution of chemical defences. In the Antarctic benthos, asteroids and omnivore amphipods are keystone opportunistic predators. Sessile organisms are therefore expected to develop defensive mechanisms mainly against such consumers. However, the different habits characterizing each predator may promote variable responses in prey. Feeding-deterrence experiments were performed with the circumpolar asteroid macropredator Odontaster validus to evaluate the presence of defences within the apolar lipophilic fraction of Antarctic invertebrates and macroalgae. A total of 51% of the extracts were repellent, yielding a proportion of 17 defended species out of the 31 assessed. These results are compared with a previous study in which the same fractions were offered to the abundant circum-Antarctic amphipod Cheirimedon femoratus. Overall, less deterrence was reported towards asteroids (51%) than against amphipods (80.8%), principally in sponge and algal extracts. Generalist amphipods, which establish casual host prey sedentary associations with biosubstrata (preferentially sponges and macroalgae), may exert more localized predation pressure than sea stars on certain sessile prey, which would partly explain these results. The nutritional quality of prey may interact with feeding deterrents, whose production is presumed to be metabolically expensive. Although optimal defence theory posits that chemical defences are managed and distributed as to guarantee protection at the lowest cost, we found that only a few organisms localized feeding deterrents towards most exposed and/or valuable body regions. Lipophilic defensive metabolites are broadly produced in Antarctic communities to deter opportunistic predators, although several species combine different defensive traits.</t>
  </si>
  <si>
    <t>[Nunez-Pons, Laura; Avila, Conxita] Univ Barcelona, Fac Biol, Dept Anim Biol, Invertebrates &amp; Biodivers Res Inst, ES-08028 Barcelona, Catalonia, Spain</t>
  </si>
  <si>
    <t>University of Barcelona</t>
  </si>
  <si>
    <t>Núñez-Pons, L (corresponding author), Univ Barcelona, Fac Biol, Dept Anim Biol, Invertebrates &amp; Biodivers Res Inst, Av Diagonal 643, ES-08028 Barcelona, Catalonia, Spain.</t>
  </si>
  <si>
    <t>lauguau@gmail.com</t>
  </si>
  <si>
    <t>Avila, Conxita/B-9466-2008</t>
  </si>
  <si>
    <t>Avila, Conxita/0000-0002-5489-8376</t>
  </si>
  <si>
    <t>Ministry of Science and Innovation of Spain [CGL2004-03356/ANT, CGL2007-65453/ANT, CGL2010-17415/ANT]</t>
  </si>
  <si>
    <t>Ministry of Science and Innovation of Spain(Spanish Government)</t>
  </si>
  <si>
    <t>We thank M. Rodriguez-Arias, J. Vazquez, B. Figuerola, F. J. Cristobo and S. Taboada for their invaluable help during the Antarctic cruises. Comments from the reviewers were very helpful, as well as the English refinements of M. Keinath. Thanks are due to the crew of the RV Polarstern. The Marine Technology Unit (UTM; under the Spanish National Research Council [CSIC]), the crew of the RV Las Palmas and the staff of Gabriel de Castilla Station gave logistic support. We are thankful to A. Gomez-Garreta, A. Ribera-Siguan, P. Rios, M. Varela and A. Bosch for taxonomical assistance. Funding was provided by the Ministry of Science and Innovation of Spain (projects CGL2004-03356/ANT, CGL2007-65453/ANT and CGL2010-17415/ANT).</t>
  </si>
  <si>
    <t>10.3402/polar.v33.21624</t>
  </si>
  <si>
    <t>AE8TK</t>
  </si>
  <si>
    <t>WOS:000334274700001</t>
  </si>
  <si>
    <t>Rios, P; Cristobo, J</t>
  </si>
  <si>
    <t>Rios, Pilar; Cristobo, Javier</t>
  </si>
  <si>
    <t>Antarctic Porifera database from the Spanish benthic expeditions</t>
  </si>
  <si>
    <t>Porifera; Antarctic; Deep-Sea; Biodiversity; BENTART; Antarctic Peninsula; Bellingshausen Sea; Sponges; Benthic fauna</t>
  </si>
  <si>
    <t>POECILOSCLERIDA</t>
  </si>
  <si>
    <t>The information about the sponges in this dataset is derived from the samples collected during five Spanish Antarctic expeditions: Bentart 94, Bentart 95, Gebrap 96, Ciemar 99/00 and Bentart 2003. Samples were collected in the Antarctic Peninsula and Bellingshausen Sea at depths ranging from 4 to 2044 m using various sampling gears. The Antarctic Porifera database from the Spanish benthic expeditions is unique as it provides information for an under-explored region of the Southern Ocean (Bellingshausen Sea). It fills an information gap on Antarctic deep-sea sponges, for which there were previously very few data. This phylum is an important part of the Antarctic biota and plays a key role in the structure of the Antarctic marine benthic community due to its considerable diversity and predominance in different areas. It is often a dominant component of Southern Ocean benthic communities. The quality of the data was controlled very thoroughly with GPS systems onboard the R/V Hesperides and by checking the data against the World Porifera Database (which is part of the World Register of Marine Species, WoRMS). The data are therefore fit for completing checklists, inclusion in biodiversity pattern analysis and niche modelling. The authors can be contacted if any additional information is needed before carrying out detailed biodiversity or biogeographic studies. The dataset currently contains 767 occurrence data items that have been checked for systematic reliability. This database is not yet complete and the collection is growing. Specimens are stored in the author's collection at the Spanish Institute of Oceanography (IEO) in the city of Gijon (Spain). The data are available in GBIF.</t>
  </si>
  <si>
    <t>[Rios, Pilar; Cristobo, Javier] Ctr Oceanog Gijon, Inst Espanol Oceanog, Gijon 33212, Spain</t>
  </si>
  <si>
    <t>Spanish Institute of Oceanography</t>
  </si>
  <si>
    <t>Rios, P (corresponding author), Ctr Oceanog Gijon, Inst Espanol Oceanog, Avda Principe Asturias 70bis, Gijon 33212, Spain.</t>
  </si>
  <si>
    <t>pilar.rios@gi.ieo.es</t>
  </si>
  <si>
    <t>Cristobo, Javier/M-1949-2014; Rios, Pilar/L-1293-2014</t>
  </si>
  <si>
    <t>Rios, Pilar/0000-0001-9710-9114</t>
  </si>
  <si>
    <t>10.3897/zookeys.401.5522</t>
  </si>
  <si>
    <t>AE9PY</t>
  </si>
  <si>
    <t>WOS:000334341400001</t>
  </si>
  <si>
    <t>Dulaquais, G; Boye, M; Rijkenberg, MJA; Carton, X</t>
  </si>
  <si>
    <t>Dulaquais, G.; Boye, M.; Rijkenberg, M. J. A.; Carton, X.</t>
  </si>
  <si>
    <t>Physical and remineralization processes govern the cobalt distribution in the deep western Atlantic Ocean</t>
  </si>
  <si>
    <t>ANTARCTIC CIRCUMPOLAR CURRENT; TOTAL GEOSTROPHIC CIRCULATION; NATURAL IRON FERTILIZATION; TRACE-METAL COMPOSITION; DISSOLVED COBALT; SOUTH-ATLANTIC; BIOGEOCHEMICAL CYCLE; FLOW-INJECTION; VOLCANIC ASH; ROSS SEA</t>
  </si>
  <si>
    <t>The distributions of the bio-essential trace element dissolved cobalt (DCo) and the apparent particulate Co (PCo) are presented along the GEOTRACES-A02 deep section from 64(o) N to 50(o) S in the western Atlantic Ocean (longest section of international GEOTRACES marine environment program). PCo was determined as the difference between total cobalt (TCo, unfiltered samples) and DCo. DCo concentrations ranged from 14.7 pM to 94.3 pM, and PCo concentrations from undetectable values to 18.8 pM. The lowest DCo concentrations were observed in the subtropical domains, and the highest in the low-oxygenated Atlantic Central Waters (ACW), which appears to be the major reservoir of DCo in the western Atlantic. In the Antarctic Bottom Waters, the enrichment in DCo with aging of the water mass can be related to suspension and redissolution of bottom sediments a well as diffusion of DCo from abyssal sediments. Mixing and dilution of deep water masses, rather than scavenging of DCo onto settling particles, generated the meridional decrease of DCo along the southward large-scale circulation in the deep western Atlantic. Furthermore, the apparent scavenged profile of DCo observed in the deep waters likely resulted from the persistence of relatively high concentrations in intermediate waters and low DCo concentrations in underlaying bottom waters. We suggest that the 2010 Icelandic volcanic eruption could have been a source of DCo that could have been transported into the core of the Northeast Atlantic Deep Waters. At intermediate depths, the high concentrations of DCo recorded in the ACW linearly correlated with the apparent utilization of oxygen (AOU), indicating that remineralization of DCo could be significant (representing up to 37% of the DCo present). Furthermore, the preferential remineralization of phosphate (P) compared to Co in these low-oxygenated waters suggests a decoupling between the deep cycles of P and Co. The vertical diffusion of DCo from the ACW appears to be a significant source of DCo into the surface waters of the equatorial domain. Summarizing, the dilution due to mixing processes rather than scavenging of DCo and the above-mentioned remineralization could be the two major pathways controlling the cycling of DCo into the intermediate and deep western Atlantic.</t>
  </si>
  <si>
    <t>[Dulaquais, G.; Boye, M.] Inst Univ Europeen Mer UMS3113, Lab Sci Environm Marin UMR6539, F-29280 Plouzane, France; [Rijkenberg, M. J. A.] Univ Groningen, Dept Marine Biol, NL-9750 AA Haren, Netherlands; [Rijkenberg, M. J. A.] Royal Netherlands Inst Sea Res, Dept Marine Chem &amp; Geol, NL-1790 AB Den Burg, Netherlands; [Carton, X.] Univ Bretagne Occidentale UFR Sci, Lab Phys Oceans, F-29238 Brest 3, France</t>
  </si>
  <si>
    <t>Centre National de la Recherche Scientifique (CNRS); CNRS - National Institute for Earth Sciences &amp; Astronomy (INSU); Universite de Bretagne Occidentale; Institut Universitaire Europeen de la Mer (IUEM); CNRS - Institute of Ecology &amp; Environment (INEE); University of Groningen; Utrecht University; Royal Netherlands Institute for Sea Research (NIOZ); Universite de Bretagne Occidentale; Institut Universitaire Europeen de la Mer (IUEM); Centre National de la Recherche Scientifique (CNRS); Ifremer; Institut de Recherche pour le Developpement (IRD)</t>
  </si>
  <si>
    <t>Dulaquais, G (corresponding author), Inst Univ Europeen Mer UMS3113, Lab Sci Environm Marin UMR6539, Technopole Brest Iroise,Pl Nicolas Copernic, F-29280 Plouzane, France.</t>
  </si>
  <si>
    <t>gabriel.dulaquais@univ-brest.fr</t>
  </si>
  <si>
    <t>carton, xavier j/A-1895-2016; Rijkenberg, Micha JA/C-3245-2012</t>
  </si>
  <si>
    <t>dulaquais, gabriel/0000-0001-9110-0469</t>
  </si>
  <si>
    <t>GEOTRACES-GEOSECS; French LEFE-CYBER National Program of the Institut National des Sciences de l'Univers (INSU); European COST-Action [ES801]; Universite de Bretagne Occidentale (UBO); Region Bretagne</t>
  </si>
  <si>
    <t>GEOTRACES-GEOSECS; French LEFE-CYBER National Program of the Institut National des Sciences de l'Univers (INSU); European COST-Action; Universite de Bretagne Occidentale (UBO); Region Bretagne(Region Bretagne)</t>
  </si>
  <si>
    <t>We are indebted to the captains, officers and crew members of the R/V Pelagia and RRS James Cook: without their exceptional support, this large ocean section would not have been possible. We are most grateful to H. J. W. de Baar, the Coordinator of the Dutch Project, and to Loes Gerringa and Micha Rijkenberg, the Chief Scientists of the cruises. We warmly thank Jan van Ooijen, K. Bakker, E. van Weerlee, S. Ossebaar for the analyses of nutrients, as well as S. Ober, Martin Laan, Steven van Heuven, S. Asjes and L. Wuis for providing high quality CTD data. This investigation was supported by the GEOTRACES-GEOSECS revisited in the western Atlantic project coordinated by Marie Boye and funded by the French LEFE-CYBER National Program of the Institut National des Sciences de l'Univers (INSU). We also acknowledge the European COST-Action ES801 for funding a Short Term Scientific Mission to Gabriel Dulaquais to join the last cruise. The Universite de Bretagne Occidentale (UBO) and the Region Bretagne are supporting the PhD fellowship of G. Dulaquais. This investigation is a contribution to the international GEOTRACES program. The two referees, Johann Bown and Abigail Noble, are warmly acknowledged for their constructive remarks, which improved the manuscript.</t>
  </si>
  <si>
    <t>10.5194/bg-11-1561-2014</t>
  </si>
  <si>
    <t>AE6KK</t>
  </si>
  <si>
    <t>WOS:000334100900006</t>
  </si>
  <si>
    <t>Espinoza, PS; Meseguer-Ruiz, O; Martin-Vide, J</t>
  </si>
  <si>
    <t>Sarricolea Espinoza, Pablo; Meseguer-Ruiz, Oliver; Martin-Vide, Javier</t>
  </si>
  <si>
    <t>CLIMATIC VARIABILITY AND TENDENCIES IN CENTRAL CHILE IN THE 1950-2010 PERIOD BY DETERMINATION OF THE JENKINSON Y COLLISON SYNOPTIC TYPES</t>
  </si>
  <si>
    <t>BOLETIN DE LA ASOCIACION DE GEOGRAFOS ESPANOLES</t>
  </si>
  <si>
    <t>Chile; atmospheric circulation; Jenkinson &amp; Collison; trends; teleconnections</t>
  </si>
  <si>
    <t>CIRCULATION WEATHER TYPES; OBJECTIVE CLASSIFICATION; PRECIPITATION; REGIME</t>
  </si>
  <si>
    <t>The goal is to know the most characteristic weather types and their trends, and how they associate with teleconnection patterns. The presence of the Southeastern Pacific High is essential: anticiclonic days (ANT) days catch up a frequency of 54%, advective types (ADV) types a 31% and ciclonic days (CYC) days a 15%. South and SE circulations are frequent between November and March, and SW, W and NW emphasize from May to September. High pressure types decrease, being actually the directional types the most frequent ones. The best associated pattern to the Jenkinson y Collison (J&amp;C) types is the Antarctic Oscillation, especially with the A and S ones.</t>
  </si>
  <si>
    <t>[Sarricolea Espinoza, Pablo; Meseguer-Ruiz, Oliver; Martin-Vide, Javier] Univ Barcelona, Grp Climatol, E-08007 Barcelona, Spain; [Sarricolea Espinoza, Pablo] Univ Chile, Dept Geog, Santiago, Chile</t>
  </si>
  <si>
    <t>University of Barcelona; Universidad de Chile</t>
  </si>
  <si>
    <t>Espinoza, PS (corresponding author), Univ Barcelona, Grp Climatol, E-08007 Barcelona, Spain.</t>
  </si>
  <si>
    <t>psarricolea@uchilefau.cl; oliver.meseguer@gmail.com; jmartinvide@ub.edu</t>
  </si>
  <si>
    <t>Sarricolea, Pablo/I-3246-2013</t>
  </si>
  <si>
    <t>Sarricolea, Pablo/0000-0002-6679-2798</t>
  </si>
  <si>
    <t>ASOCIACION ESPANOLES DE GEOGRAFIA</t>
  </si>
  <si>
    <t>MADRID</t>
  </si>
  <si>
    <t>PINAR 25, MADRID, 28006, SPAIN</t>
  </si>
  <si>
    <t>0212-9426</t>
  </si>
  <si>
    <t>2605-3322</t>
  </si>
  <si>
    <t>B ASOC GEOGR ESP</t>
  </si>
  <si>
    <t>Bol. Asoc. Geogr. Esp.</t>
  </si>
  <si>
    <t>10.21138/bage.1688</t>
  </si>
  <si>
    <t>Geography</t>
  </si>
  <si>
    <t>AD9FV</t>
  </si>
  <si>
    <t>WOS:000333571100010</t>
  </si>
  <si>
    <t>Belt, ST; Brown, TA; Ampel, L; Cabedo-Sanz, P; Fahl, K; Kocis, JJ; Massé, G; Navarro-Rodriguez, A; Ruan, J; Xu, Y</t>
  </si>
  <si>
    <t>Belt, S. T.; Brown, T. A.; Ampel, L.; Cabedo-Sanz, P.; Fahl, K.; Kocis, J. J.; Masse, G.; Navarro-Rodriguez, A.; Ruan, J.; Xu, Y.</t>
  </si>
  <si>
    <t>An inter-laboratory investigation of the Arctic sea ice biomarker proxy IP25 in marine sediments: key outcomes and recommendations</t>
  </si>
  <si>
    <t>HIGHLY BRANCHED ISOPRENOIDS; HOLOCENE CLIMATE; BARENTS SEA; RECONSTRUCTION; IDENTIFICATION; VARIABILITY; HISTORY; DIATOMS; C-25</t>
  </si>
  <si>
    <t>We describe the results of an inter-laboratory investigation into the identification and quantification of the Arctic sea ice biomarker proxy IP25 in marine sediments. Seven laboratories took part in the study, which consisted of the analysis of IP25 in a series of sediment samples from different regions of the Arctic, sub-Arctic and Antarctic, additional sediment extracts and purified standards. The results obtained allowed 4 key outcomes to be determined. First, IP25 was identified by all laboratories in sediments from the Canadian Arctic with inter-laboratory variation in IP25 concentration being substantially larger than within individual laboratories. This greater variation between laboratories was attributed to the difficulty in accurately determining instrumental response factors for IP25, even though laboratories were supplied with appropriate standards. Second, the identification of IP25 by 3 laboratories in sediment from SW Iceland that was believed to represent a blank, was interpreted as representing a better limit of detection or quantification for such laboratories, contamination or mis-identification. These alternatives could not be distinguished conclusively with the data available, although it is noted that the precision of these data was significantly poorer compared with the other IP25 concentration measurements. Third, 3 laboratories reported the occurrence of IP25 in a sediment sample from the Antarctic Peninsula even though this biomarker is believed to be absent from the Southern Ocean. This anomaly is attributed to a combined chromatographic and mass spectrometric interference that results from the presence of a di-unsaturated highly branched isoprenoid (HBI) pseudo-homologue of IP25 that occurs in Antarctic sediments. Finally, data are presented that suggest that extraction of IP25 is consistent between Accelerated Solvent Extraction (ASE) and sonication methods and that IP25 concentrations based on 7-hexylnonadecane as an internal standard are comparable using these methods. Recoveries of some more unsaturated HBIs and the internal standard 9-octylheptadecene, however, were lower with the ASE procedure, possibly due to partial degradation of these more reactive chemicals as a result of higher temperatures employed with this method. For future measurements, we recommend the use of reference sediment material with known concentration(s) of IP25 for determining and routinely monitoring instrumental response factors. Given the significance placed on the presence (or otherwise) of IP25 in marine sediments, some further recommendations pertaining to quality control are made that should also enable the two main anomalies identified here to be addressed.</t>
  </si>
  <si>
    <t>[Belt, S. T.; Brown, T. A.; Cabedo-Sanz, P.; Navarro-Rodriguez, A.] Univ Plymouth, Sch Geog Earth &amp; Environm Sci, Biogeochem Res Ctr, Plymouth PL4 8AA, Devon, England; [Ampel, L.] Stockholm Univ, Dept Geol Sci, S-10691 Stockholm, Sweden; [Fahl, K.] Alfred Wegener Inst Polar &amp; Marine Res, D-27568 Bremerhaven, Germany; [Kocis, J. J.] Univ Massachusetts Amherst, Dept Geosci, Amherst, MA 01075 USA; [Masse, G.] CNRS, UMI 3376, TAKUVIK, Quebec City, PQ G1V 0A6, Canada; [Masse, G.] Univ Laval, Quebec City, PQ G1V 0A6, Canada; [Ruan, J.; Xu, Y.] Peking Univ, Coll Urban &amp; Environm Sci, MOE Key Lab Earth Surface Proc, Beijing 100871, Peoples R China</t>
  </si>
  <si>
    <t>University of Plymouth; Stockholm University; Helmholtz Association; Alfred Wegener Institute, Helmholtz Centre for Polar &amp; Marine Research; University of Massachusetts System; University of Massachusetts Amherst; Laval University; Peking University</t>
  </si>
  <si>
    <t>Belt, ST (corresponding author), Univ Plymouth, Sch Geog Earth &amp; Environm Sci, Biogeochem Res Ctr, Plymouth PL4 8AA, Devon, England.</t>
  </si>
  <si>
    <t>sbelt@plymouth.ac.uk</t>
  </si>
  <si>
    <t>Xu, Yunping/F-8042-2011; IPO, PAGES/JXY-7546-2024; , 许云平/AAI-2618-2020</t>
  </si>
  <si>
    <t>Navarro-Rodriguez, Alba/0000-0002-6131-9731; Fahl, Dr., Kirsten/0000-0001-9317-4656; Cabedo Sanz, Patricia/0000-0002-3626-0221; Brown, Thomas/0000-0003-0322-474X; Xu, Yunping/0000-0001-5693-7239</t>
  </si>
  <si>
    <t>National Science Foundation [NSF 1023537]; National Science Foundation of China [NSFC 41176164]; Knut and Alice Wallenberg Foundation; Swedish Research Council; European Community [238111]; Directorate For Geosciences; Division Of Earth Sciences [1440015] Funding Source: National Science Foundation</t>
  </si>
  <si>
    <t>National Science Foundation(National Science Foundation (NSF)); National Science Foundation of China(National Natural Science Foundation of China (NSFC)); Knut and Alice Wallenberg Foundation(Knut &amp; Alice Wallenberg Foundation); Swedish Research Council(Swedish Research Council); European Community; Directorate For Geosciences; Division Of Earth Sciences(National Science Foundation (NSF)NSF - Directorate for Geosciences (GEO))</t>
  </si>
  <si>
    <t>The motivation for carrying out this study was provided, in part, by discussions that took place at the 1st PAGES Sea Ice Proxy (SIP) working group meeting in Montreal in March, 2012. We acknowledge financial support from the National Science Foundation (NSF 1023537; J. Brigham-Grette, S. T. Petsch) and the National Science Foundation of China (NSFC 41176164; Y. Xu). The contribution from Stockholm University is a part of the SWERUS-C3 Programme (Swedish - Russian - US Arctic Ocean Investigation of Climate-Cryosphere-Carbon Interactions) financed by the Knut and Alice Wallenberg Foundation and the Swedish Research Council (VR). This work is also a contribution to the CASE Initial Training Network funded by the European Community's 7th Framework Programme FP7 2007/2013, Marie-Curie Actions, under Grant Agreement No. 238111. We also thank W. Luttmer (AWI) for technical assistance and to John Andrews (INSTAAR) and Lt. Cdr. Martin Densham (British Services Antarctic Expedition 2012) for providing some of the sediment material used in this study. We are particularly grateful to John Volkman and Ioanna Bouloubassi for providing supportive reviews. Supplementary data are available at http://dx.doi.org/10.1594/PANGAEA.823363.</t>
  </si>
  <si>
    <t>10.5194/cp-10-155-2014</t>
  </si>
  <si>
    <t>AE2XV</t>
  </si>
  <si>
    <t>WOS:000333837600011</t>
  </si>
  <si>
    <t>Enzor, LA; Place, SP</t>
  </si>
  <si>
    <t>Enzor, L. A.; Place, S. P.</t>
  </si>
  <si>
    <t>Energy trade-offs and cellular damage: The physiological response of the Antarctic fish Trematomus bernacchii to global climate change</t>
  </si>
  <si>
    <t>INTEGRATIVE AND COMPARATIVE BIOLOGY</t>
  </si>
  <si>
    <t>Annual Meeting of the Society-for-Integrative-and-Comparative-Biology</t>
  </si>
  <si>
    <t>JAN 03-07, 2014</t>
  </si>
  <si>
    <t>Austin, TX</t>
  </si>
  <si>
    <t>[Enzor, L. A.; Place, S. P.] Univ S Carolina, Columbia, SC 29208 USA</t>
  </si>
  <si>
    <t>University of South Carolina System; University of South Carolina Columbia</t>
  </si>
  <si>
    <t>enzorl@email.sc.edu</t>
  </si>
  <si>
    <t>OXFORD UNIV PRESS INC</t>
  </si>
  <si>
    <t>CARY</t>
  </si>
  <si>
    <t>JOURNALS DEPT, 2001 EVANS RD, CARY, NC 27513 USA</t>
  </si>
  <si>
    <t>1540-7063</t>
  </si>
  <si>
    <t>1557-7023</t>
  </si>
  <si>
    <t>INTEGR COMP BIOL</t>
  </si>
  <si>
    <t>Integr. Comp. Biol.</t>
  </si>
  <si>
    <t>E59</t>
  </si>
  <si>
    <t>AD2FP</t>
  </si>
  <si>
    <t>WOS:000333049500236</t>
  </si>
  <si>
    <t>Schram, JB; Schoenrock, KM; Amsler, MO; Amsler, CD; Mcclintock, JB; Angus, RA</t>
  </si>
  <si>
    <t>Schram, J. B.; Schoenrock, K. M.; Amsler, M. O.; Amsler, C. D.; Mcclintock, J. B.; Angus, R. A.</t>
  </si>
  <si>
    <t>Testing the waters: Seasonal seawater carbonate chemistry baseline to inform biological ocean acidification experiments on the western Antarctic Peninsula</t>
  </si>
  <si>
    <t>[Schram, J. B.; Schoenrock, K. M.; Amsler, M. O.; Amsler, C. D.; Mcclintock, J. B.; Angus, R. A.] Univ Alabama Birmingham, Birmingham, AL USA</t>
  </si>
  <si>
    <t>University of Alabama System; University of Alabama Birmingham</t>
  </si>
  <si>
    <t>jbschram@uab.edu</t>
  </si>
  <si>
    <t>Schoenrock, Kathryn/B-9082-2018</t>
  </si>
  <si>
    <t>E345</t>
  </si>
  <si>
    <t>WOS:000333049502441</t>
  </si>
  <si>
    <t>Sunday, JM; Bates, AE; Kearney, MR; Colwell, RK; Dulvy, NK; Longino, JT; Huey, RB</t>
  </si>
  <si>
    <t>Sunday, J. M.; Bates, A. E.; Kearney, M. R.; Colwell, R. K.; Dulvy, N. K.; Longino, J. T.; Huey, R. B.</t>
  </si>
  <si>
    <t>Climate sensitivity, thermal safety, and the importance of behavior across latitude and elevation</t>
  </si>
  <si>
    <t>Simon Fraser Univ, Burnaby, BC V5A 1S6, Canada; Inst Marine &amp; Antarctic Studies, Hobart, Tas, Australia; Univ Melbourne, Melbourne, Vic 3010, Australia; Univ Connecticut, Storrs, CT USA; Univ Utah, Salt Lake City, UT 84112 USA; Univ Washington, Seattle, WA 98195 USA</t>
  </si>
  <si>
    <t>Simon Fraser University; University of Tasmania; University of Melbourne; Melbourne Bioinformatics; University of Connecticut; Utah System of Higher Education; University of Utah; University of Washington; University of Washington Seattle</t>
  </si>
  <si>
    <t>sunday@sfu.ca</t>
  </si>
  <si>
    <t>Sunday, Jennifer/ABE-7396-2020; Bates, Amanda E./ABD-6874-2021; Huey, Raymond/F-1597-2010; Colwell, Robert K/C-7276-2015; Kearney, Michael/R-3404-2017; Dulvy, Nicholas/I-2895-2012</t>
  </si>
  <si>
    <t>Bates, Amanda E./0000-0002-0198-4537; Kearney, Michael/0000-0002-3349-8744; Dulvy, Nicholas/0000-0002-4295-9725</t>
  </si>
  <si>
    <t>E203</t>
  </si>
  <si>
    <t>WOS:000333049501343</t>
  </si>
  <si>
    <t>Cullis, JDS; Stanish, LF; McKnight, DM</t>
  </si>
  <si>
    <t>Cullis, James D. S.; Stanish, Lee F.; McKnight, Diane M.</t>
  </si>
  <si>
    <t>Diel flow pulses drive particulate organic matter transport from microbial mats in a glacial meltwater stream in the McMurdo Dry Valleys</t>
  </si>
  <si>
    <t>WATER RESOURCES RESEARCH</t>
  </si>
  <si>
    <t>particulate organic matter; dynamic flow regime; stream ecosystems</t>
  </si>
  <si>
    <t>EXCHANGE CONTROLS; FRYXELL BASIN; TAYLOR VALLEY; VICTORIA LAND; ANTARCTICA; WATER; SEDIMENT; DYNAMICS; CHEMISTRY; ECOSYSTEM</t>
  </si>
  <si>
    <t>Many glacial meltwater streams in the McMurdo Dry Valleys (MDV) of Antarctica contain abundant microbial mats, representing hot spots of primary production in a barren landscape. These mats persist through the winter in a freeze-dried state and grow in the summer, experiencing a dynamic hydrologic regime as streamflow varies on a diel cycle and with weather conditions. During diel peaks in flow these streams transport particulate organic matter (POM) to the downstream closed-basin lakes. We investigated the spatial and temporal dynamics of POM transport derived from the scouring of microbial mats in Von Guerard Stream of the MDV. The results show clockwise hysteresis effects in POM concentration over diel flood pulses and suggests that POM transport in the MDVs is supply limited. Further studies are required to confirm this and to identify the potential contributing sources of POM. The hysteresis effect was modeled using an approach derived from models of sediment transport in streams. Spatial variations in POM transport indicate that patch-scale variations in bed shear stress and benthic biomass also influence transport which is integrated downstream over several 100's of meters. Large variations in the POM transport dynamics between different diel flood pulses were found to be related to the time since a resetting flood event and the regrowth of potentially mobile benthic biomass, providing further evidence of the importance of supply limitation and flow variability in controlling the organic matter flux of stream ecosystems.</t>
  </si>
  <si>
    <t>[Cullis, James D. S.; Stanish, Lee F.; McKnight, Diane M.] Univ Colorado, Inst Arctic &amp; Alpine Res, Boulder, CO 80309 USA</t>
  </si>
  <si>
    <t>Cullis, JDS (corresponding author), Univ Colorado, Inst Arctic &amp; Alpine Res, 450 UCB, Boulder, CO 80309 USA.</t>
  </si>
  <si>
    <t>James.cullis@colorado.edu</t>
  </si>
  <si>
    <t>MCKNIGHT, DIANE/0000-0002-4171-1533</t>
  </si>
  <si>
    <t>National Science Foundation through the McMurdo LTER [NSF 1115245]; Boulder Creek Critical Zone Observatory [NSF 0724960]; Directorate For Geosciences; Division Of Earth Sciences [1239281] Funding Source: National Science Foundation; Directorate For Geosciences; Office of Polar Programs (OPP) [1115245] Funding Source: National Science Foundation</t>
  </si>
  <si>
    <t>National Science Foundation through the McMurdo LTER; Boulder Creek Critical Zone Observatory; Directorate For Geosciences; Division Of Earth Sciences(National Science Foundation (NSF)NSF - Directorate for Geosciences (GEO)); Directorate For Geosciences; Office of Polar Programs (OPP)(National Science Foundation (NSF)NSF - Directorate for Geosciences (GEO))</t>
  </si>
  <si>
    <t>Funding for this research was provided by the National Science Foundation through the McMurdo LTER (NSF 1115245). Additional funding support for the lead author was provided by the Boulder Creek Critical Zone Observatory (NSF 0724960). Field assistance for the various drift experiments was provided by Steven Crisp, Chris Jaros, and others. Laboratory analysis was done by Kathy Welch, Rob Van Treese, Chris Gardner, and Hayden Wilson. Essential logistic support was provided by the US Antarctic Program, Raytheon Polar Services, Lake Hoare camp manager Rae Spain, and the pilots, staff and crew of PHI helicopters Inc. Adam Wlostowski provide useful comments on an early draft of the paper.</t>
  </si>
  <si>
    <t>0043-1397</t>
  </si>
  <si>
    <t>1944-7973</t>
  </si>
  <si>
    <t>WATER RESOUR RES</t>
  </si>
  <si>
    <t>Water Resour. Res.</t>
  </si>
  <si>
    <t>10.1002/2013WR014061</t>
  </si>
  <si>
    <t>Environmental Sciences; Limnology; Water Resources</t>
  </si>
  <si>
    <t>Environmental Sciences &amp; Ecology; Marine &amp; Freshwater Biology; Water Resources</t>
  </si>
  <si>
    <t>AB4ZN</t>
  </si>
  <si>
    <t>WOS:000331798800007</t>
  </si>
  <si>
    <t>Kieber, DJ; Miller, GW; Neale, PJ; Mopper, K</t>
  </si>
  <si>
    <t>Kieber, David J.; Miller, Gary W.; Neale, Patrick J.; Mopper, Kenneth</t>
  </si>
  <si>
    <t>Wavelength and temperature-dependent apparent quantum yields for photochemical formation of hydrogen peroxide in seawater</t>
  </si>
  <si>
    <t>ENVIRONMENTAL SCIENCE-PROCESSES &amp; IMPACTS</t>
  </si>
  <si>
    <t>DIMETHYLSULFIDE PHOTOLYSIS RATES; WESTERN MEDITERRANEAN-SEA; DISSOLVED ORGANIC-CARBON; TIME-SERIES-STATION; PACIFIC-OCEAN; ULTRAVIOLET-RADIATION; SUPEROXIDE-PRODUCTION; TEMPORAL VARIABILITY; DARK PRODUCTION; NATURAL TRACER</t>
  </si>
  <si>
    <t>Wavelength and temperature-dependent apparent quantum yields (AQYs) were determined for the photochemical production of hydrogen peroxide using seawater obtained from coastal and oligotrophic stations in Antarctica, the Pacific Ocean at Station ALOHA, the Gulf of Mexico, and at several sites along the East Coast of the United States. For all samples, AQYs decreased exponentially with increasing wavelength at 25 degrees C, ranging from 4.6 x 10(-4) to 10.4 x 10(-4) at 290 nm to 0.17 x 10(-4) to 0.97 x 10(-4) at 400 nm. AQYs for different seawater samples were remarkably similar irrespective of expected differences in the composition and concentrations of metals and dissolved organic matter (DOM) and in prior light exposure histories; wavelength-dependent AQYs for individual seawater samples differed by less than a factor of two relative to respective mean AQYs. Temperature-dependent AQYs increased between 0 and 35 degrees C on average by a factor of 1.8 per 10 degrees C, consistent with a thermal reaction (e. g., superoxide dismutation) controlling H2O2 photochemical production rates in seawater. Taken together, these results suggest that the observed poleward decrease in H2O2 photochemical production rates is mainly due to corresponding poleward decreases in irradiance and temperature and not spatial variations in the composition and concentrations of DOM or metals. Hydrogen peroxide photoproduction AQYs and production rates were not constant and not independent of the photon exposure as has been implicitly assumed in many published studies. Therefore, care should be taken when comparing and interpreting published H2O2 AQY or photochemical production rate results. Modeled depth-integrated H2O2 photochemical production rates were in excellent agreement with measured rates obtained from in situ free-floating drifter experiments conducted during a Gulf of Maine cruise, with differences (ca. 10%) well within measurement and modeling uncertainties. Results from this study provide a comprehensive data set of wavelength and temperature-dependent AQYs to model and remotely sense hydrogen peroxide photochemical production rates globally.</t>
  </si>
  <si>
    <t>[Kieber, David J.; Miller, Gary W.] SUNY Coll Environm Sci &amp; Forestry, Dept Chem, Syracuse, NY 13210 USA; [Neale, Patrick J.] Smithsonian Environm Res Ctr, Photobiol &amp; Solar Radiat Lab, Edgewater, MD 21037 USA; [Mopper, Kenneth] Old Dominion Univ, Dept Chem &amp; Biochem, Norfolk, VA 23529 USA</t>
  </si>
  <si>
    <t>State University of New York (SUNY) System; State University of New York (SUNY) College of Environmental Science &amp; Forestry; Smithsonian Institution; Smithsonian Environmental Research Center; Old Dominion University</t>
  </si>
  <si>
    <t>Kieber, DJ (corresponding author), SUNY Coll Environm Sci &amp; Forestry, Dept Chem, 1 Forestry Dr, Syracuse, NY 13210 USA.</t>
  </si>
  <si>
    <t>djkieber@esf.edu</t>
  </si>
  <si>
    <t>Mopper, Kenneth/J-1761-2012; Neale, Patrick/A-3683-2012</t>
  </si>
  <si>
    <t>MOPPER, KENNETH/0000-0001-8089-6019; Neale, Patrick/0000-0002-4047-8098</t>
  </si>
  <si>
    <t>DJK [OPP-9610173, OCE-9711174]; KM [OPP-9527255, OCE-9711206]</t>
  </si>
  <si>
    <t>DJK; KM</t>
  </si>
  <si>
    <t>We gratefully acknowledge the officers and crew of the R/V Nathaniel B. Palmer, the R/V L. M. Gould, and the R/V Endeavor. We also thank the Antarctic Support Associates, and Agencias Universales S. A. for their logistical support during the 1997 and 1998 Antarctic. eld studies, and the National Science Foundation for financial support to DJK (OPP-9610173 and OCE-9711174) and KM (OPP-9527255 and OCE-9711206). Thanks are also extended to Drs Robert Kieber (University of North Carolina), and David Karl (University of Hawaii) for water samples; DrWilliamL. Miller (University of Georgia) for light attenuation data obtained during the Gulf ofMaine cruise; and Dr Jennifer Fritz (Rosenstiel School for Marine and Atmospheric Science) for polychromatic irradiance data. Thanks are also extended to two anonymous reviewers for their thorough and thoughtful comments that improved the clarity and quality of this manuscript.</t>
  </si>
  <si>
    <t>2050-7887</t>
  </si>
  <si>
    <t>2050-7895</t>
  </si>
  <si>
    <t>ENVIRON SCI-PROC IMP</t>
  </si>
  <si>
    <t>Environ. Sci.-Process Impacts</t>
  </si>
  <si>
    <t>10.1039/c4em00036f</t>
  </si>
  <si>
    <t>Chemistry, Analytical; Environmental Sciences</t>
  </si>
  <si>
    <t>Chemistry; Environmental Sciences &amp; Ecology</t>
  </si>
  <si>
    <t>AD9DN</t>
  </si>
  <si>
    <t>WOS:000333565000013</t>
  </si>
  <si>
    <t>Pelletier, N; André, J; Charef, A; Damalas, D; Green, B; Parker, R; Sumaila, R; Thomas, G; Tobin, R; Watson, R</t>
  </si>
  <si>
    <t>Pelletier, N.; Andre, J.; Charef, A.; Damalas, D.; Green, B.; Parker, R.; Sumaila, R.; Thomas, G.; Tobin, R.; Watson, R.</t>
  </si>
  <si>
    <t>Energy prices and seafood security</t>
  </si>
  <si>
    <t>GLOBAL ENVIRONMENTAL CHANGE-HUMAN AND POLICY DIMENSIONS</t>
  </si>
  <si>
    <t>Food security; Energy price; Fisheries; Aquaculture; Adaptive capacity; Vulnerability</t>
  </si>
  <si>
    <t>LIFE-CYCLE ASSESSMENT; RESOURCE DEPENDENCY; ADAPTIVE CAPACITY; CLIMATE-CHANGE; AQUACULTURE; FISHERIES; SYSTEMS; RESILIENCE; IMPACT; FISH</t>
  </si>
  <si>
    <t>Fish resources are critical to the food security of many nations. Similar to most contemporary food systems, many fisheries and aquaculture resource supply chains are heavily dependent on fossil fuels. Energy price increases and volatility may hence undermine food security in some contexts. Here, we explore the relationships between energy price changes, fish resource supply chain viability, seafood availability and food security outcomes - both for producers and consumers of fish resources. We begin by characterizing the energy intensities of fish resource supply chains, which are shown to be highly variable. We subsequently assess the comparative magnitude and distribution of potential food security impacts of energy price increases for nation states by scoring and ranking countries against a set of vulnerability criteria including metrics of national exposure, sensitivity and adaptive capacity. Considerable variability in the vulnerability of populations and high levels of exposure for already food-insecure populations are apparent. Developed countries are likely to be most exposed to the effects of energy price increases due to their high rates of fleet motorization and preference for energy-intensive seafood products. However, heavy reliance on seafood as a source of food and income, as well as limited national adaptive capacity, translates into greater overall vulnerability in developing countries. At the level of individual producers, a variety of adaptation options are available that may serve to reduce vulnerability to energy price changes and hence contribute to increased food security for producers and consumers, but uptake capacity depends on numerous situational factors. (C) 2013 Elsevier Ltd. All rights reserved.</t>
  </si>
  <si>
    <t>[Pelletier, N.] Commiss European Communities, Inst Environm &amp; Sustainabil, Joint Res Ctr, I-21027 Ispra, VA, Italy; [Andre, J.; Green, B.; Parker, R.; Watson, R.] Univ Tasmania, Inst Marine &amp; Antarctic Studies, Hobart, Tas, Australia; [Charef, A.; Damalas, D.] Commiss European Communities, Joint Res Ctr, Inst Protect &amp; Secur Citizen, I-21027 Ispra, VA, Italy; [Sumaila, R.] Univ British Columbia, Fisheries Ctr, Fisheries Econ Res Unit, Vancouver, BC V5Z 1M9, Canada; [Thomas, G.] Univ Tasmania, Natl Ctr Maritime Engn &amp; Hydrodynam, Australian Maritime Coll, Hobart, Tas, Australia; [Tobin, R.] James Cook Univ, Ctr Sustainable Trop Fisheries &amp; Aquaculture, Townsville City, Qld, Australia; [Tobin, R.] James Cook Univ, Sch Earth &amp; Environm Sci, Townsville City, Qld, Australia; [Pelletier, N.] Global Ecol Environm Consulting &amp; Management Serv, Vernon, BC V1B 3P3, Canada</t>
  </si>
  <si>
    <t>European Commission Joint Research Centre; EC JRC ISPRA Site; University of Tasmania; European Commission Joint Research Centre; EC JRC ISPRA Site; University of British Columbia; University of Tasmania; Australian Maritime College; James Cook University; James Cook University</t>
  </si>
  <si>
    <t>Pelletier, N (corresponding author), Commiss European Communities, Inst Environm &amp; Sustainabil, Joint Res Ctr, Via E Fermi 2749, I-21027 Ispra, VA, Italy.</t>
  </si>
  <si>
    <t>nathan.pelletier@jrc.ec.europa.eu</t>
  </si>
  <si>
    <t>Sumaila, U. Rashid/ABE-6475-2020; Green, Bridget S/G-3368-2014; Watson, Reg A/F-4850-2012; Pelletier, Nathan/U-9312-2019; Parker, Robert/J-4476-2012; Tobin, Renae C/B-4677-2012</t>
  </si>
  <si>
    <t>Watson, Reg A/0000-0001-7201-8865; Pelletier, Nathan/0000-0003-1943-9008; Parker, Robert/0000-0003-1910-8081; Thomas, Giles/0000-0002-6122-4329</t>
  </si>
  <si>
    <t>0959-3780</t>
  </si>
  <si>
    <t>1872-9495</t>
  </si>
  <si>
    <t>GLOBAL ENVIRON CHANG</t>
  </si>
  <si>
    <t>Glob. Environ. Change-Human Policy Dimens.</t>
  </si>
  <si>
    <t>10.1016/j.gloenvcha.2013.11.014</t>
  </si>
  <si>
    <t>Environmental Sciences; Environmental Studies; Geography</t>
  </si>
  <si>
    <t>Environmental Sciences &amp; Ecology; Geography</t>
  </si>
  <si>
    <t>AD8HC</t>
  </si>
  <si>
    <t>WOS:000333506100005</t>
  </si>
  <si>
    <t>Rasol, R; Rashidah, AR; Nazuha, RSN; Smykla, J; Maznah, WOW; Alias, SA</t>
  </si>
  <si>
    <t>Rasol, R.; Rashidah, A. R.; Nazuha, R. Siti Nur; Smykla, J.; Maznah, W. O. Wan; Alias, S. A.</t>
  </si>
  <si>
    <t>Psychrotrophic Lipase Producers from Arctic Soil and Sediment Samples</t>
  </si>
  <si>
    <t>Arctic soil; lipase; psychrotroph</t>
  </si>
  <si>
    <t>MICROBIAL LIPASES; DIVERSITY; BACTERIA; PURIFICATION; ENZYMES; ICE</t>
  </si>
  <si>
    <t>Culturable microorganisms were successfully isolated from soil and sediment samples collected in 2011 on the northern coast of Hornsund, West Spitsbergen. A total of 63 single colony isolates from three sampling sites obtained were subjected to temperature dependence study to assess whether they are obligate psychrophilic or psychrotrophic strains. From initial temperature screening, only 53 psychrotrophic isolates were selected that are capable of growing between 4-28 degrees C. The rest that were capable of tolerating higher temperatures up to 37 degrees C were not included in this study. These isolates were chosen for lipase enzyme screening confirmation with the standard plate assay of olive oil and fluorescent dye Rhodamine B. Six lipase positive isolates were also subjected for subsequent lipase enzyme plate screening on tributyrin, triolein, olive oil and palm oil agar. Lipase production by these six isolates was further assayed by using colorimetric method with palm oil and olive oil as the substrate. These isolates with promising lipase activity ranging from 20 U/ml up to 160 U/ml on palm oil and olive oil substrate were successfully identified. Molecular identification by using 16S rRNA revealed that five out of six isolates were Gram-negative Proteobacteria and the other one was a Gram-positive Actinobacteria.</t>
  </si>
  <si>
    <t>[Rasol, R.; Rashidah, A. R.; Nazuha, R. Siti Nur; Maznah, W. O. Wan] Univ Sains Malaysia, Sch Biol Sci, George Town 11800, Malaysia; [Rasol, R.] Univ Teknol MARA, Fac Sci Appl, Shah Alam 40450, Malaysia; [Smykla, J.] Polish Acad Sci, Inst Nat Conservat, Dept Biodivers, Krakow, Poland; [Alias, S. A.] Univ Malaya, Inst Grad Studies, Natl Antarctic Res Ctr, Kuala Lumpur 50603, Malaysia</t>
  </si>
  <si>
    <t>Universiti Sains Malaysia; Universiti Teknologi MARA; Polish Academy of Sciences; Universiti Malaya</t>
  </si>
  <si>
    <t>Rashidah, AR (corresponding author), Univ Sains Malaysia, Sch Biol Sci, George Town 11800, Malaysia.</t>
  </si>
  <si>
    <t>rshidah@usm.my</t>
  </si>
  <si>
    <t>FASc, SITI AISYAH A. HJ ALIAS/B-9785-2010; Smykla, Jerzy/N-3288-2014</t>
  </si>
  <si>
    <t>FASc, SITI AISYAH A. HJ ALIAS/0000-0002-6759-5745; Abdul Rahim, Rashidah/0000-0001-8945-4428; Smykla, Jerzy/0000-0001-8228-6695</t>
  </si>
  <si>
    <t>Universiti Sains Malaysia [304/PBIOLOGI/6311118]; Polish Ministry of science and Higher Education [NN305376438]; Malaysia Antarctica Research Program (MARP); University of Malaya (UM) [A-55001-DA000-B21520]</t>
  </si>
  <si>
    <t>Universiti Sains Malaysia(Universiti Sains Malaysia); Polish Ministry of science and Higher Education(Ministry of Science and Higher Education, Poland); Malaysia Antarctica Research Program (MARP); University of Malaya (UM)(Universiti Malaya)</t>
  </si>
  <si>
    <t>The authors wish to express their gratitude to Universiti Sains Malaysia for financial support (grant no. 304/PBIOLOGI/6311118), Universiti Teknologi MARA, Ministry of Science, Technology and Innovation Malaysia and Ministry of Higher Education Malaysia as well as to Mr Muhammad Adlan Abdul Halim for sampling aid. We also thank the Department of Polar Research of the Institute of Geophysics Polish Academy of Sciences for providing logistical support during the fieldwork, and the team at the Polish Polar Station Hornsund for their hospitality and assistance. Funding for this work was provided by the Polish Ministry of science and Higher Education (within the program Supporting International Mobility of Scientists and grant no. NN305376438 to JS), the Malaysia Antarctica Research Program (MARP) and University of Malaya (UM) (OCAR TNC(P&amp;I) 2011 Account No. (A-55001-DA000-B21520).</t>
  </si>
  <si>
    <t>AE3LF</t>
  </si>
  <si>
    <t>WOS:000333877300011</t>
  </si>
  <si>
    <t>Concheyro, A; Caramés, A; Amenábar, CR; Lescano, M</t>
  </si>
  <si>
    <t>Concheyro, Andrea; Carames, Andrea; Amenabar, Cecilia R.; Lescano, Marina</t>
  </si>
  <si>
    <t>Nannofossils, foraminifera and microforaminiferal linings in the Cenozoic diamictites of Cape Lamb, Vega Island, Antarctica</t>
  </si>
  <si>
    <t>Antarctica; James Ross Basin; Cenozoic diamictites; calcareous nannofossils; Foraminifera; microforaminiferal linings</t>
  </si>
  <si>
    <t>JAMES-ROSS-ISLAND; MARAMBIO SEYMOUR ISLAND; CALCAREOUS NANNOFOSSILS; BENTHIC FORAMINIFERS; BASIN; SEA; ATLANTIC; DEPOSITS</t>
  </si>
  <si>
    <t>Micropaleontological and palynological samples from three Cenozoic diamictites at Cape Lamb, Vega Island, James Ross Basin were analysed. Fossiliferous samples yielded reworked and autochthonous assemblages of Mesozoic calcareous nannofossils, impoverished Cretaceous foraminifera together with Neogene species, as well as Late Cretaceous dinoflagellate cysts, pollen, spores and abundant Cenozoic microforaminiferal linings. The recovered nannoflora indicates Early Cretaceous (Hauterivian-Albian) and Late Cretaceous (Santonian-Early Campanian) ages, suggesting an intensive reworking of marine sediments. The presence of the Early Cretaceous species Nannoconus circularis Deres et Acheriteguy in the diamictite represents its first record for the James Ross Basin. The scarce foraminiferal fauna includes Pullenia jarvisi Cushman, which indicates reworking from lower Maastrichtian-lower Paleocene sediments, and also the Neogene autochthonous Trochammina sp. aff. T. intermedia. The inner-organic layer observed inside this specimen appears to be identical to microforaminiferal linings recovered from the same sample. Palynomorphs found in the studied samples suggest erosion from the underlying Snow Hill Island and the Lopez de Bertodano Formation beds (upper Campanian-upper Maastrichtian). These recovered assemblages indicate either different periods of deposition or reworking from diverse sources during Cenozoic glaciation, originating in James Ross Island and the Antarctic Peninsula with the influence of local sediment sources.</t>
  </si>
  <si>
    <t>[Concheyro, Andrea; Carames, Andrea; Amenabar, Cecilia R.; Lescano, Marina] Univ Buenos Aires, Fac Ciencias Exactas &amp; Nat, Consejo Nacl Invest Cient &amp; Tecn, IDEAN Inst Estudios Andinos Don Pablo Groeber, RA-1428 Buenos Aires, DF, Argentina; [Concheyro, Andrea; Amenabar, Cecilia R.] Univ Buenos Aires, Fac Ciencias Exactas &amp; Nat, Dept Ciencias Geol, RA-1428 Buenos Aires, DF, Argentina; [Concheyro, Andrea; Amenabar, Cecilia R.] Inst Antartico Argentino, Buenos Aires, DF, Argentina</t>
  </si>
  <si>
    <t>University of Buenos Aires; Consejo Nacional de Investigaciones Cientificas y Tecnicas (CONICET); University of Buenos Aires; Instituto Antartico Argentino</t>
  </si>
  <si>
    <t>Concheyro, A (corresponding author), Univ Buenos Aires, Fac Ciencias Exactas &amp; Nat, Consejo Nacl Invest Cient &amp; Tecn, IDEAN Inst Estudios Andinos Don Pablo Groeber, Pabellon 2 Ciudad Univ, RA-1428 Buenos Aires, DF, Argentina.</t>
  </si>
  <si>
    <t>andrea@glfcen.uba.ar; carames@gl.fcen.uba.ar; amenabar@gl.fcen.uba.ar; lescano@gl.fcen.uba.ar</t>
  </si>
  <si>
    <t>[PICTO-2010-0112]</t>
  </si>
  <si>
    <t>The authors are most grateful to J.M. Lirio for providing the samples, the Instituto Antartico Argentino for the logistic support during the Argentine Summer Antarctic Expedition 2007, P. Alvarez and S. Adamonis for sample preparations and picking, respectively, M.J. Clark for her assistance in English grammar, and the Centro de Microscopia Avanzada, Universidad de Buenos Aires, Argentina, for taking the SEM photographs. This paper is the contribution number R-119 of the Instituto de Estudios Andinos Don Pablo Groeber (IDEAN-CONICET). This work was supported by grant PICTO-2010-0112. We would like to thank Dr Brian T. Huber (Smithsonian Institution), Prof. Patrick G. Quilty (University of Tasmania) and two anonymous reviewers for their constructive remarks, which improved the paper.</t>
  </si>
  <si>
    <t>10.2478/popore-2014-0003</t>
  </si>
  <si>
    <t>AE1ZR</t>
  </si>
  <si>
    <t>WOS:000333773600001</t>
  </si>
  <si>
    <t>Synsacra of the Eocene Antarctic penguins: new data on spinal maturation and an insight into their role in the control of walking</t>
  </si>
  <si>
    <t>Antarctica; Seymour Island; La Meseta Formation; Paleogene; Sphenisciformes; synsacrum; spinal cord</t>
  </si>
  <si>
    <t>LA MESETA FORMATION; SEYMOUR ISLAND; SENSE ORGAN; SPECIALIZATIONS; DIVERSITY; CORD; EQUILIBRIUM; STRATA; BIRDS</t>
  </si>
  <si>
    <t>The synsacrum is an important element of the axial skeleton in birds, both volant and flightless. Little is known about the maturation of this complex bone in penguins. In this work, the supposedly ontogenetically youngest known synsacrum of early penguins was described. The analysis of this specimen, collected within the Eocene La Meseta Formation of Seymour (Marambio) Island, Antarctic Peninsula, revealed that this bird had attained at least the fledging stage of growth. Studies of three mature synsacra recovered from the same formation focused on the synsacral canals and, using indirect reasoning, their contents. These analyses revealed that the lumbosacral intumescence of the spinal cord and its extensions, the transverse canals, had been developed roughly like those in extant penguins (and also swifts and cormorants). The neural spine extensions (a non-nervous tissue) tracing the transverse grooves of the dorsal wall of the synsacral canal are currently considered as involved in the control of walking. The presented data suggest that such a sense organ gained its current penguin configuration by the late Eocene.</t>
  </si>
  <si>
    <t>Uniwersytet Bialymstoku, Inst Biol, PL-15950 Bialystok, Poland</t>
  </si>
  <si>
    <t>Jadwiszczak, P (corresponding author), Uniwersytet Bialymstoku, Inst Biol, Ul Swierkowa 20B, PL-15950 Bialystok, Poland.</t>
  </si>
  <si>
    <t>Jadwiszczak, Piotr/P-4336-2019; Jadwiszczak, Piotr/K-5136-2014</t>
  </si>
  <si>
    <t>Jadwiszczak, Piotr/0000-0002-5263-1125;</t>
  </si>
  <si>
    <t>10.2478/popore-2014-0005</t>
  </si>
  <si>
    <t>WOS:000333773600002</t>
  </si>
  <si>
    <t>Panasiuk-Chodnicka, AA; Zmijewska, MI; Manko, M</t>
  </si>
  <si>
    <t>Panasiuk-Chodnicka, Anna A.; Zmijewska, Maria I.; Manko, Maciej</t>
  </si>
  <si>
    <t>Vertical migration of Siphonophora (Cnidaria) and their productivity in the Croker Passage, the Antarctic</t>
  </si>
  <si>
    <t>Antarctic Peninsula; siphonophores; population structure; productivity</t>
  </si>
  <si>
    <t>WESTERN NORWEGIAN FJORDS; EASTERN WEDDELL SEA; SEASONAL ABUNDANCE; PLANKTONIC CNIDARIANS; ZOOPLANKTON COMMUNITY; DISTRIBUTION PATTERNS; PELAGIC CNIDARIANS; MONTEREY BAY; MEDUSAE; MESOZOOPLANKTON</t>
  </si>
  <si>
    <t>The population structure, seasonal and diel changes in vertical distribution of two siphonophore species, Dimophyes arctica and Pyrostephos vanhoeffeni, in Croker Passage (Antarctic Peninsula) are examined, and compared with the results obtained by other authors in various oceanic areas. Zooplankton samples were taken at discrete depth intervals between 0 and 1200 m during day and night shifts, in both summer and winter seasons. Dimophyes arctica was present both in polygastric and eudoxid forms, with the latter being dominant throughout the entire study period. The results obtained demonstrate that Antarctic waters clearly enhance the reproductive ability of this species when compared with specimens from other oceanic regions. Maximum densities of Dimophyes arctica were recorded in December in the 200-400 m depth horizon. However, high concentrations of eudoxids were also recorded at deeper parts of the water column. Pyrostephos vanhoeffeni was, in contrast, most abundant in autumn and winter, and both species were found to proliferate and disperse or sink further down the water column during autumn and winter. Daily vertical migration was observed only during the summer period.</t>
  </si>
  <si>
    <t>[Panasiuk-Chodnicka, Anna A.; Zmijewska, Maria I.; Manko, Maciej] Uniwersytet Gdanski, Inst Oceanog, Zaklad Badan Planktonu Morskiego, PL-81378 Gdynia, Poland</t>
  </si>
  <si>
    <t>Fahrenheit Universities; University of Gdansk</t>
  </si>
  <si>
    <t>Panasiuk-Chodnicka, AA (corresponding author), Uniwersytet Gdanski, Inst Oceanog, Zaklad Badan Planktonu Morskiego, Al Marszalka Pilsudskiego 46, PL-81378 Gdynia, Poland.</t>
  </si>
  <si>
    <t>oceapc@ug.edu.pl</t>
  </si>
  <si>
    <t>Panasiuk, Anna/HDO-1195-2022</t>
  </si>
  <si>
    <t>Manko, Maciej Karol/0000-0001-6872-0256; Panasiuk, Anna/0000-0002-1008-2922</t>
  </si>
  <si>
    <t>US National Science Foundation</t>
  </si>
  <si>
    <t>We would like to thank the officers and crew aboard the R/V Polar Duke. We also extend our gratitude to the personnel of Palmer Station. This research was supported by the US National Science Foundation. We would like to thank Dr. Gill M. Mapstone whose constructive comments and suggestions substantially improved the manuscript.</t>
  </si>
  <si>
    <t>10.2478/popore-2014-0007</t>
  </si>
  <si>
    <t>WOS:000333773600006</t>
  </si>
  <si>
    <t>Chaput, J; Aster, RC; Huerta, A; Sun, X; Lloyd, A; Wiens, D; Nyblade, A; Anandakrishnan, S; Winberry, JP; Wilson, T</t>
  </si>
  <si>
    <t>Chaput, J.; Aster, R. C.; Huerta, A.; Sun, X.; Lloyd, A.; Wiens, D.; Nyblade, A.; Anandakrishnan, S.; Winberry, J. P.; Wilson, T.</t>
  </si>
  <si>
    <t>The crustal thickness of West Antarctica</t>
  </si>
  <si>
    <t>seismology; receiver functions; West Antarctica</t>
  </si>
  <si>
    <t>MARIE BYRD LAND; ICE-SHEET RECONSTRUCTIONS; SURFACE-WAVE TOMOGRAPHY; WEST ANTARCTICA; RECEIVER-FUNCTION; TRANSANTARCTIC MOUNTAINS; RIFT SYSTEM; GLACIER REGION; UPPER-MANTLE; INVERSION</t>
  </si>
  <si>
    <t>P-to-S receiver functions (PRFs) from the Polar Earth Observing Network (POLENET) GPS and seismic leg of POLENET spanning West Antarctica and the Transantarctic Mountains deployment of seismographic stations provide new estimates of crustal thickness across West Antarctica, including the West Antarctic Rift System (WARS), Marie Byrd Land (MBL) dome, and the Transantarctic Mountains (TAM) margin. We show that complications arising from ice sheet multiples can be effectively managed and further information concerning low-velocity subglacial sediment thickness may be determined, via top-down utilization of synthetic receiver function models. We combine shallow structure constraints with the response of deeper layers using a regularized Markov chain Monte Carlo methodology to constrain bulk crustal properties. Crustal thickness estimates range from 17.0 +/- 4 km at Fishtail Point in the western WARS to 45 +/- 5 km at Lonewolf Nunataks in the TAM. Symmetric regions of crustal thinning observed in a transect deployment across the West Antarctic Ice Sheet correlate with deep subice basins, consistent with pure shear crustal necking under past localized extension. Subglacial sediment deposit thicknesses generally correlate with trough/dome expectations, with the thickest inferred subice low-velocity sediment estimated as similar to 0.4 km within the Bentley Subglacial Trench. Inverted PRFs from this study and other published crustal estimates are combined with ambient noise surface wave constraints to generate a crustal thickness map for West Antarctica south of 75 degrees S. Observations are consistent with isostatic crustal compensation across the central WARS but indicate significant mantle compensation across the TAM, Ellsworth Block, MBL dome, and eastern and western sectors of thinnest WARS crust, consistent with low density and likely dynamic, low-viscosity high-temperature mantle.</t>
  </si>
  <si>
    <t>[Chaput, J.] Univ Grenoble 1, ISTERRE, BP 53, F-38041 Grenoble 9, France; [Aster, R. C.] New Mexico Inst Min &amp; Technol, Dept Earth &amp; Environm Sci, Socorro, NM 87801 USA; [Aster, R. C.] Colorado State Univ, Dept Geosci, Ft Collins, CO 80523 USA; [Huerta, A.; Winberry, J. P.] Cent Washington Univ, Dept Geol Sci, Ellensburg, WA USA; [Sun, X.; Lloyd, A.; Wiens, D.] Washington Univ, Dept Earth &amp; Planetary Sci, St Louis, MO 63130 USA; [Sun, X.] Chinese Acad Sci, Guangzhou Inst Geochem, State Key Lab Isotope Geochem, Guangzhou, Guangdong, Peoples R China; [Nyblade, A.; Anandakrishnan, S.] Univ Penn, Dept Geosci, University Pk, PA USA; [Wilson, T.] Ohio State Univ, Sch Earth Sci, Columbus, OH 43210 USA</t>
  </si>
  <si>
    <t>Communaute Universite Grenoble Alpes; Universite Grenoble Alpes (UGA); Centre National de la Recherche Scientifique (CNRS); Institut de Recherche pour le Developpement (IRD); Universite Gustave-Eiffel; Universite Savoie Mont Blanc; New Mexico Institute of Mining Technology; Colorado State University; Central Washington University; Washington University (WUSTL); Chinese Academy of Sciences; Guangzhou Institute of Geochemistry, CAS; University of Pennsylvania; University System of Ohio; Ohio State University</t>
  </si>
  <si>
    <t>Chaput, J (corresponding author), Univ Grenoble 1, ISTERRE, BP 53, F-38041 Grenoble 9, France.</t>
  </si>
  <si>
    <t>jchaput@ees.nmt.edu</t>
  </si>
  <si>
    <t>Wiens, Douglas A/J-9259-2016; Winberry, Paul/HLQ-2673-2023; Anandakrishnan, Sridhar/JCN-5026-2023; Huerta, Audrey D/A-8680-2009; Aster, Richard/E-5067-2013</t>
  </si>
  <si>
    <t>Winberry, Paul/0000-0003-1205-0745; Aster, Richard/0000-0002-0821-4906</t>
  </si>
  <si>
    <t>NSF Office of Polar Programs [0632230, 0632239, 0652322, 0632335, 0632136, 0632209, 0632185]; Incorporated Research Institutions for Seismology (IRIS) through the PASSCAL Instrument Center at New Mexico Tech; National Science Foundation [EAR-1063471]; NSF Office of Polar Programs; DOE National Nuclear Security Administration; Directorate For Geosciences; Office of Polar Programs (OPP) [1246666, 1246712] Funding Source: National Science Foundation; Office of Polar Programs (OPP); Directorate For Geosciences [1249631, 1246776, 1419268] Funding Source: National Science Foundation</t>
  </si>
  <si>
    <t>NSF Office of Polar Programs(National Science Foundation (NSF)); Incorporated Research Institutions for Seismology (IRIS) through the PASSCAL Instrument Center at New Mexico Tech; National Science Foundation(National Science Foundation (NSF)); NSF Office of Polar Programs(National Science Foundation (NSF)); DOE National Nuclear Security Administration(National Nuclear Security AdministrationUnited States Department of Energy (DOE)); Directorate For Geosciences; Office of Polar Programs (OPP)(National Science Foundation (NSF)NSF - Directorate for Geosciences (GEO)); Office of Polar Programs (OPP); Directorate For Geosciences(National Science Foundation (NSF)NSF - Directorate for Geosciences (GEO))</t>
  </si>
  <si>
    <t>We thank Anya Reading for helpful review comments that significantly improved this paper during revision. POLENET-ANET is supported by NSF Office of Polar Programs grants 0632230, 0632239, 0652322, 0632335, 0632136, 0632209, and 0632185. Seismic instrumentation provided and supported by the Incorporated Research Institutions for Seismology (IRIS) through the PASSCAL Instrument Center at New Mexico Tech. Seismic data are available through the IRIS Data Management Center. The facilities of the IRIS Consortium are supported by the National Science Foundation under Cooperative agreement EAR-1063471, the NSF Office of Polar Programs, and the DOE National Nuclear Security Administration. Additional information regarding the POLENET-ANET project, sites, and data is available at .</t>
  </si>
  <si>
    <t>10.1002/2013JB010642</t>
  </si>
  <si>
    <t>AD1ZY</t>
  </si>
  <si>
    <t>WOS:000333033400023</t>
  </si>
  <si>
    <t>Liu, JB; Chen, RZ; An, JC; Wang, ZM; Hyyppa, J</t>
  </si>
  <si>
    <t>Liu, Jingbin; Chen, Ruizhi; An, Jiachun; Wang, Zemin; Hyyppa, Juha</t>
  </si>
  <si>
    <t>Spherical cap harmonic analysis of the Arctic ionospheric TEC for one solar cycle</t>
  </si>
  <si>
    <t>polar ionosphere; spherical cap harmonic analysis; ionosphere mapping and prediction; regional ionosphere model; Arctic navigation</t>
  </si>
  <si>
    <t>INTERNATIONAL REFERENCE IONOSPHERE; TOTAL ELECTRON-CONTENT; NETWORK; MAPS</t>
  </si>
  <si>
    <t>Precise knowledge of the Arctic ionosphere total electron content (TEC) and its variations has scientific relevance due to the unique characteristics of the polar ionosphere. Understanding the Arctic TEC is also important for precise positioning and navigation in the Arctic. This study utilized the spherical cap harmonic analysis (SCHA) method to map the Arctic TEC for the most recent solar cycle from 2000 to 2013 and analyzed the distributions and variations of the Arctic TEC at different temporal and spatial scales. Even with different ionosphere conditions during the solar cycle, the results showed that the existing International Global Navigation Satellite Systems Service stations are sufficient for mapping the Arctic TEC. The SCHA method provides adequate accuracy and resolution to analyze the spatiotemporal distributions and variations of the Arctic TEC under different ionosphere conditions and to track ionization patches in this polar region (e.g., the ionization event of 26 September 2011). The results derived from the SCHA model were compared to direct observations using the Super Dual Auroral Radar Network radar. The SCHA method is able to predict the TEC in the long and short terms. This paper presented a long-term prediction with a relative uncertainty of 75% for a latency of one solar cycle and a short-term prediction with errors of 2.2 total electron content units (TECUs, 1TECU=10(16)elm(-2)), 3.8TECU, and 4.8TECU for a latency of 1, 2, and 3days, respectively. The SCHA is an effective method for mapping, predicting, and analyzing the Arctic TEC.</t>
  </si>
  <si>
    <t>[Liu, Jingbin; Hyyppa, Juha] Finnish Geodet Inst, Dept Remote Sensing &amp; Photogrammetry, Masala, Finland; [Chen, Ruizhi] Texas A&amp;M Univ, Conrad Blucher Inst Surveying &amp; Sci, Corpus Christi, TX USA; [An, Jiachun; Wang, Zemin] Wuhan Univ, Chinese Antarctic Ctr Surveying &amp; Mapping, Wuhan 430072, Peoples R China</t>
  </si>
  <si>
    <t>The National Land Survey of Finland; Finnish Geospatial Research Institute (FGI); Texas A&amp;M University System; Wuhan University</t>
  </si>
  <si>
    <t>Liu, JB (corresponding author), Finnish Geodet Inst, Dept Remote Sensing &amp; Photogrammetry, Masala, Finland.</t>
  </si>
  <si>
    <t>jingbin.liu@fgi.fi</t>
  </si>
  <si>
    <t>Hyyppä, Juha M./ABH-1852-2021; ZeMin, Wang/AAU-3422-2020; Liu, Jingbin/AAE-8803-2020; Chen, Ruizhi/JWA-0977-2024; An, Jiachun/ABG-4275-2020</t>
  </si>
  <si>
    <t>Liu, Jingbin/0000-0001-6216-0956; Hyyppa, Juha/0000-0001-5360-4017</t>
  </si>
  <si>
    <t>Finnish Centre of Excellence in Laser Scanning Research (CoE-LaSR); Academy of Finland [272195]; National Natural Science Foundation of China [41174029, 41204028, 41231064]</t>
  </si>
  <si>
    <t>Finnish Centre of Excellence in Laser Scanning Research (CoE-LaSR); Academy of Finland(Research Council of Finland); National Natural Science Foundation of China(National Natural Science Foundation of China (NSFC))</t>
  </si>
  <si>
    <t>The authors thank Q. Zhang at Shandong University in China and S. Schaer at the Astronomical Institute of the University of Bern for their valuable discussions and support regarding the data processing and analysis. The authors thank two anonymous reviewers for the valuable comments and recommendations. This work was supported in part by the Finnish Centre of Excellence in Laser Scanning Research (CoE-LaSR), which is granted by Academy of Finland with the project 272195. This work was also supported in part by the National Natural Science Foundation of China (grants 41174029, 41204028, and 41231064).</t>
  </si>
  <si>
    <t>10.1002/2013JA019501</t>
  </si>
  <si>
    <t>AD1YC</t>
  </si>
  <si>
    <t>WOS:000333028600049</t>
  </si>
  <si>
    <t>Kopalová, K; Ochyra, R; Nedbalová, L; Van de Vijver, B</t>
  </si>
  <si>
    <t>Kopalova, Katerina; Ochyra, Ryszard; Nedbalova, Linda; Van de Vijver, Bart</t>
  </si>
  <si>
    <t>Moss-inhabiting diatoms from two contrasting Maritime Antarctic islands</t>
  </si>
  <si>
    <t>Diatoms; mosses; Livingston Island; James Ross Island; community analysis; Antarctic Peninsula; Maritime Antarctic region</t>
  </si>
  <si>
    <t>JAMES-ROSS-ISLAND; SOUTH SHETLAND ISLANDS; FRESH-WATER DIATOMS; LIVINGSTON ISLAND; EAST ANTARCTICA; BYERS PENINSULA; ILES-KERGUELEN; INLAND WATERS; BACILLARIOPHYTA; REGION</t>
  </si>
  <si>
    <t>Background and aims - The Maritime Antarctic vegetation is a poorly developed tundra dominated by lichens and mosses, mostly present in moist environments, providing a favourable habitat for microorganisms. Although, diatoms represent one of the most common algal groups in the Antarctic region, moss-inhabiting diatoms are rarely studied. The moss vegetation on islands in the Maritime Antarctic region forms a favorable habitat for non-marine diatoms. These moss-inhabiting diatom communities are of particular interest as little is known about their species composition, ecological preferences and habitats. The present paper discusses the diversity of moss inhabiting diatoms from Byers Peninsula (Livingston Island) and Ulu Peninsula (James Ross Island), Maritime Antarctic region. Methods - The composition of the moss inhabiting diatom flora of 84 samples collected from Byers Peninsula, Livingston Island and Lagoons Mesa area, James Ross Island has been studied using light microscopy. Key results - A total of 130 taxa, belonging to 39 genera has been recorded. Detrended Correspondence Analysis using the entire sample set clearly separates the James Ross Island (JRI) communities from the Livingston Island (LI) communities showing mostly the dominance of taxa preferring terrestrial (JRI) instead of more moist and aquatic conditions (LI). A Principal Component Analysis of only the Livingston Island samples formed three groups clearly separated by their diatom species composition. Although some taxa seem to occur in high abundances in several assemblages, a number of taxa showed a distinct preference for a particular assemblage. Biotic stress caused by marine birds and mammals, expressed in higher nutrient and salinity levels, seems to play a key role in determining the species composition. Conclusions - Our results showed clearly the presence of a well developed moss-inhabiting diatom flora on both studied localities. The composition of the studied communities is determined by the type of habitat, moisture and biotic influences (salinity and nutrients).</t>
  </si>
  <si>
    <t>[Kopalova, Katerina; Nedbalova, Linda] Charles Univ Prague, Fac Sci, Dept Ecol, CZ-12844 Prague 2, Czech Republic; [Ochyra, Ryszard] Polish Acad Sci, Wladyslaw Szafer Inst Bot, PL-31512 Krakow, Poland; [Van de Vijver, Bart] Bot Garden Meise, Dept Bryophyta &amp; Thallophyta, BE-1860 Meise, Belgium; [Van de Vijver, Bart] Univ Antwerp, Dept Biol, BE-2610 Antwerp, Belgium</t>
  </si>
  <si>
    <t>Charles University Prague; Polish Academy of Sciences; W. Szafer Institute of Botany of the Polish Academy of Sciences; University of Antwerp</t>
  </si>
  <si>
    <t>Kopalová, K (corresponding author), Charles Univ Prague, Fac Sci, Dept Ecol, Vinicna 7, CZ-12844 Prague 2, Czech Republic.</t>
  </si>
  <si>
    <t>k.kopalova@hotmail.com</t>
  </si>
  <si>
    <t>Nedbalová, Linda/AAF-1001-2022; Kopalová, Kateřina/H-1598-2014; Nedbalová, Linda/AFF-8321-2022; Kopalova, Katerina/M-6207-2017</t>
  </si>
  <si>
    <t>Nedbalová, Linda/0000-0003-1800-714X; Nedbalová, Linda/0000-0003-1800-714X; Ochyra, Ryszard/0000-0002-2541-0722; Kopalova, Katerina/0000-0002-7905-4268</t>
  </si>
  <si>
    <t>long-term research development project [RVO 67985939]; Ministry of Education, Youth and Sports of the Czech Republic; Picto project [2010-0096]; Ministerio de Ciencia y Tecnologia, Spain [POL2006-06635]; Erasmus grant during her stay in Belgium, GA UK [394211]; Hlavka Foundation; FWO [G.0533.07]; BELSPO-CCAMBIO</t>
  </si>
  <si>
    <t>long-term research development project; Ministry of Education, Youth and Sports of the Czech Republic(Ministry of Education, Youth &amp; Sports - Czech Republic); Picto project; Ministerio de Ciencia y Tecnologia, Spain(Spanish Government); Erasmus grant during her stay in Belgium, GA UK; Hlavka Foundation; FWO(FWO); BELSPO-CCAMBIO</t>
  </si>
  <si>
    <t>This study has been supported by a long-term research development project no. RVO 67985939, the Ministry of Education, Youth and Sports of the Czech Republic and the Picto project nr. 2010-0096. The authors would also like to thank to the members of scientific expedition Lagos 2012 for their support and help in the field. Samples on Byers Peninsula (Livingston Island) were taken in the framework of the IPY-Limnopolar Project POL2006-06635 (Ministerio de Ciencia y Tecnologia, Spain). Mrs. K. Kopalova benefited from an Erasmus grant during her stay in Belgium, GA UK grant nr. 394211 and the Hlavka Foundation for travel funding. The authors would also like to thank the Instituto Antartico Argentino Direccion Nacional del Antarctico for all logistical support. Additional funding was provided by the FWO project G.0533.07 and the BELSPO-CCAMBIO project. Prof. Luc Ector and two anonymous reviewers are thanked for their valuable comments that greatly improved this manuscript.</t>
  </si>
  <si>
    <t>10.5091/plecevo.2014.896</t>
  </si>
  <si>
    <t>AD3KI</t>
  </si>
  <si>
    <t>WOS:000333137600006</t>
  </si>
  <si>
    <t>Nedzarek, A; Tórz, A; Drost, A</t>
  </si>
  <si>
    <t>Nedzarek, Arkadiusz; Torz, Agnieszka; Drost, Arkadiusz</t>
  </si>
  <si>
    <t>Selected elements in surface waters of Antarctica and their relations with the natural environment</t>
  </si>
  <si>
    <t>Antarctic surface waters; total and dissolved elements; baseline elements values; anthropogenic metal contamination</t>
  </si>
  <si>
    <t>KING-GEORGE ISLAND; TRACE-METALS; PENINSULA; STATION; SOILS; NUTRIENTS; LAKE</t>
  </si>
  <si>
    <t>The aim of the study was to specify the concentration of selected chemical elements in surface waters of King George Island, off the western coast of the Antarctic Peninsula. The research encompassed six streams, a lake and an artificial water reservoir located on the western coast of Admiralty Bay. Measured hydrochemical parameters included pH, conductivity, total dissolved solids (TDS), and total and dissolved forms elements such as Al, Co, Ni, Cu, Zn, Cd, Pb, Mn, Fe, As and Se. The values of pH, conductivity and TDS had the following ranges: 6.09-8.21, 6.0-875 mu S cm(-1) and 7.0-975 mg/L, respectively, and were typical for surface waters of Antarctica. Wide disparities were discovered regarding concentrations of the investigated elements, ranging from &lt;0.01 mu g/L for Cd to 510 mu g/L for Fe, and differing from one water body to another. The investigated elements are discussed with reference to environmental conditions and anthropogenic factors. Concentrations of total and dissolved forms of elements are considered in connection with the composition of soil in their surroundings and with atmospheric deposition, mostly such as that took place locally. The increased levels of Pb and Zn concentrations in the immediate proximity of a research station suggested anthropogenic contamination.</t>
  </si>
  <si>
    <t>[Nedzarek, Arkadiusz; Torz, Agnieszka; Drost, Arkadiusz] West Pomeranian Univ Technol Szczecin, Dept Aquat Sozol, PL-71550 Szczecin, Poland; [Nedzarek, Arkadiusz] Polish Acad Sci, Dept Antarctic Biol, PL-02141 Warsaw, Poland</t>
  </si>
  <si>
    <t>West Pomeranian University of Technology; Polish Academy of Sciences</t>
  </si>
  <si>
    <t>Nedzarek, A (corresponding author), West Pomeranian Univ Technol Szczecin, Dept Aquat Sozol, K Krolewicza 4, PL-71550 Szczecin, Poland.</t>
  </si>
  <si>
    <t>arkadiusz.nedzarek@zut.edu.pl</t>
  </si>
  <si>
    <t>Nędzarek, Arkadiusz/F-3959-2016; Tórz, Agnieszka/AAG-9251-2021</t>
  </si>
  <si>
    <t>Nędzarek, Arkadiusz/0000-0002-6094-3647; Tórz, Agnieszka/0000-0003-2159-981X</t>
  </si>
  <si>
    <t>10.3402/polar.v33.21417</t>
  </si>
  <si>
    <t>AD7AG</t>
  </si>
  <si>
    <t>WOS:000333412400001</t>
  </si>
  <si>
    <t>García-Muñoz, C; Sobrino, C; Lubián, LM; García, CM; Martínez-García, S; Sangrà, P</t>
  </si>
  <si>
    <t>Garcia-Munoz, Cristina; Sobrino, Cristina; Lubian, Luis M.; Garcia, Carlos M.; Martinez-Garcia, Sandra; Sangra, Pablo</t>
  </si>
  <si>
    <t>Factors controlling phytoplankton physiological state around the South Shetland Islands (Antarctica)</t>
  </si>
  <si>
    <t>South Shetland Islands; Phytoplankton; F-v/F-m; Irradiance; Size; Mixed layer; Nutrients</t>
  </si>
  <si>
    <t>FRAGILARIOPSIS-CYLINDRUS BACILLARIOPHYCEAE; WESTERN BRANSFIELD STRAIT; MIXED-LAYER DEPTH; OCEAN PHYTOPLANKTON; PHAEOCYSTIS-ANTARCTICA; MARINE-PHYTOPLANKTON; IRON LIMITATION; NUTRIENT LIMITATION; CHAETOCEROS-BREVIS; ENERGY-CONVERSION</t>
  </si>
  <si>
    <t>To investigate factors controlling phytoplankton physiological state around the South Shetland Islands, phytoplankton abundance and structure, fluorescence properties, photo protective pigment composition and physicochemical variables were studied. Nano phyto plank tonic cells (&lt; 20 mu m) contributed 84% of total chlorophyll a (chl a), except for the station closest to the Antarctic Peninsula where microplanktonic cells (&gt; 20 mu m) predominated (up to 85% of total chl a). Daily irradiance over the mixed layer depth (MLD) was inversely related with integrated nanoplanktonic chl a; however, its relative contribution to total chl a increased at mid-irradiance values. The average maximum quantum yield of photosystem II (F-v/F-m) below 20 m depth ranged from 0.17 to 0.53 and showed that cells were under suboptimal physiological conditions in the Drake region, but had higher performance around the South Shetland Islands and towards the Antarctic Peninsula. A reverse pattern in the fluorescence yield was detected. A deeper exa mination of the F-v/F-m vertical profiles according to the sampling time detected surface photoinhibition during the day and a spatial modulation of F-v/F-m related to irradiance and the silicic acid: nitrate ratio. It appears that cells' photosynthetic performance was controlled by iron limitation in the Drake region, whereas irradiance regime controlled phytoplankton physiological state in the rest of the studied regions. Vertical mixing differences among stations, the relative position of the euphotic layer depth with respect to the MLD and the photoprotective pigment ratios revealed contrasting responses to light stress among the different phytoplanktonic groups, revealing a better adaptation of medium size cells, especially diatoms, to stratified waters receiving high irradiance.</t>
  </si>
  <si>
    <t>[Garcia-Munoz, Cristina; Lubian, Luis M.] Inst Ciencias Marinas Andalucia ICMAN CSIC, Dept Ecol &amp; Gest Costera, Cadiz 11510, Spain; [Sobrino, Cristina; Martinez-Garcia, Sandra] Univ Vigo, Dept Ecoloxia &amp; Biol Anim, Vigo 36200, Pontevedra, Spain; [Garcia, Carlos M.] Univ Cadiz, Fac Ciencias Mar &amp; Ambientales, Dept Biol, Cadiz 11510, Spain; [Sangra, Pablo] Univ Las Palmas Gran Canaria, Fac Ciencias Mar, Dept Fis, Las Palmas Gran Canaria 35017, Spain</t>
  </si>
  <si>
    <t>Consejo Superior de Investigaciones Cientificas (CSIC); CSIC - Instituto de Ciencias Marinas de Andalucia (ICMAN); Universidade de Vigo; Universidad de Cadiz; Universidad de Las Palmas de Gran Canaria</t>
  </si>
  <si>
    <t>García-Muñoz, C (corresponding author), Inst Ciencias Marinas Andalucia ICMAN CSIC, Dept Ecol &amp; Gest Costera, Cadiz 11510, Spain.</t>
  </si>
  <si>
    <t>cristina.garcia@icman.csic.es</t>
  </si>
  <si>
    <t>Sobrino, Cristina/J-3534-2012; LUBIAN, LUIS M/L-7241-2014; Sangra, Pablo/I-1350-2015; Garcia, Carlos M/M-2025-2018; Martinez-Garcia, Sandra/L-3403-2017</t>
  </si>
  <si>
    <t>Sobrino, Cristina/0000-0003-0431-1220; Sangra, Pablo/0000-0002-6600-2194; Garcia, Carlos M/0000-0002-8920-9024; Martinez-Garcia, Sandra/0000-0002-5476-7499</t>
  </si>
  <si>
    <t>Spanish Ministry of Science and Education [CTM2008-06343-C0202/ANT]; Spanish Council for Research (CSIC); Isidro Parga Pondal contract from Xunta de Galicia; FPU MEC fellowship</t>
  </si>
  <si>
    <t>Spanish Ministry of Science and Education(Spanish Government); Spanish Council for Research (CSIC); Isidro Parga Pondal contract from Xunta de Galicia; FPU MEC fellowship(German Research Foundation (DFG))</t>
  </si>
  <si>
    <t>We are grateful to the captain, crew, and scientists on board RV Hesperides' for their co-operation and logistic support during the cruise. Thanks also to E. Ram rez for his assistance in analysing plankton samples, and to B. Mourio and M. Perez for providing chlorophyll a data. We also thank 3 anonymous reviewers for their valuable comments on a previous version of this manuscript. This work was supported by the CTM2008-06343-C0202/ANT project from the Spanish Ministry of Science and Education. C. G. M., C. S. and S. M. G.' s work was supported by a predoctoral fellowship from the Spanish Council for Research (CSIC), JAE-Predoc 2009, an Isidro Parga Pondal contract from Xunta de Galicia, and a FPU MEC fellowship, respectively.</t>
  </si>
  <si>
    <t>10.3354/meps10616</t>
  </si>
  <si>
    <t>AC0ZZ</t>
  </si>
  <si>
    <t>WOS:000332225300005</t>
  </si>
  <si>
    <t>Nygård, T; Valkonen, T; Vihma, T</t>
  </si>
  <si>
    <t>Nygard, T.; Valkonen, T.; Vihma, T.</t>
  </si>
  <si>
    <t>Characteristics of Arctic low-tropospheric humidity inversions based on radio soundings</t>
  </si>
  <si>
    <t>ATMOSPHERIC WATER-VAPOR; TEMPERATURE INVERSION; BOUNDARY-LAYER; SEA-ICE; CLOUD; STRENGTH; MOISTURE; OCEAN; VARIABILITY; TRANSPORT</t>
  </si>
  <si>
    <t>Humidity inversions have a high potential importance in the Arctic climate system, especially for cloud formation and maintenance, in wide spatial and temporal scales. Here we investigate the climatology and characteristics of humidity inversions in the Arctic, including their spatial and temporal variability, sensitivity to the methodology applied and differences from the Antarctic humidity inversions. The study is based on data of the Integrated Global Radiosonde Archive (IGRA) from 36 Arctic stations between the years 2000 and 2009. The results indicate that humidity inversions are present on multiple levels nearly all the time in the Arctic atmosphere. Almost half (48 %) of the humidity inversions were found at least partly within the same vertical layer with temperature inversions, whereas the existence of the other half may, at least partly, be linked to uneven vertical distribution of horizontal moisture transport. A high atmospheric surface pressure was found to increase the humidity inversion occurrence, whereas relationships between humidity inversion properties and cloud cover were generally relatively weak, although for some inversion properties they were systematic. For example, humidity inversions occurred slightly more often and were deeper under clear sky than in overcast conditions for almost all stations. The statistics of Arctic humidity inversion properties, especially inversion strength, depth and base height, proved to be very sensitive to the instruments and methodology applied. For example, the median strength of the strongest inversion in a profile was twice as large as the median of all Arctic inversions. The most striking difference between the Arctic and Antarctic humidity inversions was the much larger range of the seasonal cycle of inversion properties in the Arctic. Our results offer a baseline for validation of weather prediction and climate models and also encourage further studies on humidity inversions due to the vital, but so far poorly understood, role of humidity inversions in Arctic cloud processes.</t>
  </si>
  <si>
    <t>[Nygard, T.; Valkonen, T.; Vihma, T.] Finnish Meteorol Inst, FIN-00101 Helsinki, Finland; [Valkonen, T.] Norwegian Meteorol Inst, Oslo, Norway</t>
  </si>
  <si>
    <t>Finnish Meteorological Institute; Norwegian Meteorological Institute</t>
  </si>
  <si>
    <t>Vihma, T (corresponding author), Finnish Meteorol Inst, FIN-00101 Helsinki, Finland.</t>
  </si>
  <si>
    <t>timo.vihma@fmi.fi</t>
  </si>
  <si>
    <t>Vihma, Timo/ABC-9771-2020; Nygård, Tiina/O-3904-2019</t>
  </si>
  <si>
    <t>Nygard, Tiina/0000-0002-7695-456X</t>
  </si>
  <si>
    <t>Academy of Finland [259537, 263918]; Academy of Finland (AKA) [263918, 259537] Funding Source: Academy of Finland (AKA)</t>
  </si>
  <si>
    <t>Academy of Finland(Research Council of Finland); Academy of Finland (AKA)(Research Council of Finland)</t>
  </si>
  <si>
    <t>We thank J. Sedlar and A. Solomon for their valuable comments on the discussion paper. This study was supported by the Academy of Finland through the CACSI and AMICO projects (contracts 259537 and 263918).</t>
  </si>
  <si>
    <t>10.5194/acp-14-1959-2014</t>
  </si>
  <si>
    <t>AC2ZZ</t>
  </si>
  <si>
    <t>WOS:000332386100013</t>
  </si>
  <si>
    <t>Glaciovolcanic evidence for a polythermal Neogene East Antarctic Ice Sheet</t>
  </si>
  <si>
    <t>NORTHERN VICTORIA LAND; SEQUENCES; ERUPTIONS; MOUNTAINS; PRODUCTS; HISTORY; CLIMATE; VALLEYS; SEA</t>
  </si>
  <si>
    <t>A paradigm has existed for more than 30 years that the basal thermal regime of the East Antarctic Ice Sheet in Victoria Land made a fundamental transition from wet-based to cold-based either at ca. 14 Ma or after ca. 2.5 Ma. The basal thermal regime is important because it determines the potential for unstable behavior in an ice sheet. We have studied the environmental characteristics of subglacially erupted volcanic centers scattered along 800 km of the Ross Sea flank of the Transantarctic Mountains. The volcanoes preserve evidence for the coeval paleo-ice thicknesses and contain features diagnostic of both wet-based and cold-based ice conditions. By dating the sequences we are able to demonstrate that the basal thermal regime varied spatially and with time between ca. 12 Ma and present. It was polythermal overall and probably comprised a coarse temperature patchwork of frozen-bed and thawed-bed ice, similar to the East Antarctic Ice Sheet today. Thus, an important shift is required in the prevailing paradigm describing its temporal evolution.</t>
  </si>
  <si>
    <t>[Smellie, John L.] Univ Leicester, Dept Geol, Leicester LE1 7RH, Leics, England; [Rocchi, Sergio; Gemelli, Maurizio] Univ Pisa, Dipartimento Sci Terra, I-56126 Pisa, Italy; [Wilch, Thomas I.] Albion Coll, Dept Geol Sci, Albion, MI 49224 USA; [Di Vincenzo, Gianfranco] CNR, Ist Geosci &amp; Georisorse, I-56127 Pisa, Italy; [McIntosh, William; Dunbar, Nelia; Fargo, Andrew] New Mexico Geochronol Lab, Socorro, NM 87801 USA; [McIntosh, William; Dunbar, Nelia; Fargo, Andrew] New Mexico Inst Min &amp; Technol, Socorro, NM 87801 USA; [Panter, Kurt] Bowling Green State Univ, Dept Geol, Bowling Green, OH 43403 USA</t>
  </si>
  <si>
    <t>University of Leicester; University of Pisa; Albion College; Consiglio Nazionale delle Ricerche (CNR); Istituto di Geoscienze e Georisorse (IGG-CNR); New Mexico Institute of Mining Technology; University System of Ohio; Bowling Green State University</t>
  </si>
  <si>
    <t>Smellie, JL (corresponding author), Univ Leicester, Dept Geol, Leicester LE1 7RH, Leics, England.</t>
  </si>
  <si>
    <t>jls55@le.ac.uk</t>
  </si>
  <si>
    <t>Panter, Kurt S/B-4486-2010; Gemelli, Maurizio/F-6244-2013; Dunbar, Nelia W./HZL-8693-2023; Rocchi, Sergio/A-7752-2018</t>
  </si>
  <si>
    <t>Dunbar, Nelia W./0000-0002-5181-937X; DI VINCENZO, GIANFRANCO/0000-0002-9669-9789; Rocchi, Sergio/0000-0001-6868-1939; Panter, Kurt S./0000-0002-0990-5880</t>
  </si>
  <si>
    <t>Leicester University; British Antarctic Survey (UK); Programma Nazionale di Ricerche in Antartide (PNRA, Italy); National Science Foundation (USA)</t>
  </si>
  <si>
    <t>Leicester University; British Antarctic Survey (UK); Programma Nazionale di Ricerche in Antartide (PNRA, Italy); National Science Foundation (USA)(National Science Foundation (NSF))</t>
  </si>
  <si>
    <t>This research was supported by Leicester University and the British Antarctic Survey (UK), the Programma Nazionale di Ricerche in Antartide (PNRA, Italy) and the National Science Foundation (USA). We also gratefully acknowledge helpful comments on this paper by Sandra Passchier, Mike Hambrey. and two anonymous reviewers.</t>
  </si>
  <si>
    <t>10.1130/G34787.1</t>
  </si>
  <si>
    <t>AD4TJ</t>
  </si>
  <si>
    <t>WOS:000333243200014</t>
  </si>
  <si>
    <t>Cone penetration testing (CPT) in Antarctic firn: an introduction to interpretation</t>
  </si>
  <si>
    <t>glaciological instruments and methods; polar firn; snow; snow mechanics; snow physics</t>
  </si>
  <si>
    <t>POLYCRYSTALLINE ICE; SNOW; PENETROMETER; FRICTION; BEHAVIOR; FAILURE</t>
  </si>
  <si>
    <t>Commercial cone penetration testing (CPT) equipment was adapted to allow penetrative testing in hard polar firn to depths of 10 m. The apparatus is hydraulically driven, rate-controllable and able to penetrate firn with a resistance of 10 MPa. It can be mounted on many types of typical polar vehicles, requiring connection to only hydraulics and 12 V electricity. Data recorded include both cone tip resistance and sleeve friction, a parameter not previously examined through such testing. This paper describes the development and calibration of the equipment and examines factors including snow density, penetration rate and cone size and shape that are shown to affect CPT interpretation. CPT can be used efficiently in polar environments to potentially provide estimates of physical parameters in hard firn to substantial depth.</t>
  </si>
  <si>
    <t>Univ Sunshine Coast, Sunshine Coast, Qld, Australia</t>
  </si>
  <si>
    <t>McCallum, A (corresponding author), Univ Sunshine Coast, Sunshine Coast, Qld, Australia.</t>
  </si>
  <si>
    <t>10.3189/2014JoG12J214</t>
  </si>
  <si>
    <t>AC8VM</t>
  </si>
  <si>
    <t>WOS:000332813200008</t>
  </si>
  <si>
    <t>Koffman, BG; Handley, MJ; Osterberg, EC; Wells, ML; Kreutz, KJ</t>
  </si>
  <si>
    <t>Koffman, Bess G.; Handley, Michael J.; Osterberg, Erich C.; Wells, Mark L.; Kreutz, Karl J.</t>
  </si>
  <si>
    <t>Dependence of ice-core relative trace-element concentration on acidification</t>
  </si>
  <si>
    <t>ice and climate; snow and ice chemistry</t>
  </si>
  <si>
    <t>EAST ANTARCTICA ICE; MINERAL DUST; DOME-C; LAW DOME; SNOW; IRON; VARIABILITY; CHEMISTRY; ATLANTIC; SECTOR</t>
  </si>
  <si>
    <t>To assess the role of methodological differences on measured trace-element concentrations in ice cores, we developed an experiment to test the effects of acidification strength and time on dust dissolution using snow samples collected in West Antarctica and Alaska. We leached Antarctic samples for 3 months at room temperature using nitric acid at concentrations of 0.1, 1.0 and 10.0% (v/v). At selected intervals (20 min, 24 hours, 5 days, 14 days, 28 days, 56 days, 91 days) we analyzed 23 trace elements using inductively coupled plasma mass spectrometry. Concentrations of lithogenic elements scaled with acid strength and increased by 100-1380% in 3 months. Incongruent elemental dissolution caused significant variability in calculated crustal enrichment factors through time (factor of 1.3 (Pb) to 8.0 (Cs)). Using snow samples collected in Alaska and acidified at 1% (v/v) for 383 days, we found that the increase in lithogenic element concentration with time depends strongly on initial concentration, and varies by element (e.g. Fe linear regression slope = 1.66; r = 0.98). Our results demonstrate that relative trace-element concentrations measured in ice cores depend on the acidification method used.</t>
  </si>
  <si>
    <t>[Koffman, Bess G.; Handley, Michael J.; Kreutz, Karl J.] Univ Maine, Sch Earth &amp; Climate Sci, Orono, ME USA; [Koffman, Bess G.; Kreutz, Karl J.] Univ Maine, Climate Change Inst, Orono, ME USA; [Osterberg, Erich C.] Dartmouth Coll, Dept Earth Sci, Hanover, NH 03755 USA; [Wells, Mark L.] Univ Maine, Sch Marine Sci, Orono, ME USA</t>
  </si>
  <si>
    <t>University of Maine System; University of Maine Orono; University of Maine System; University of Maine Orono; Dartmouth College; University of Maine System; University of Maine Orono</t>
  </si>
  <si>
    <t>Koffman, BG (corresponding author), Columbia Univ, Lamont Doherty Earth Observ, Palisades, NY 10964 USA.</t>
  </si>
  <si>
    <t>bess.koffman@maine.edu</t>
  </si>
  <si>
    <t>Koffman, Bess/0000-0002-9451-4138; Osterberg, Erich/0000-0002-0675-1230</t>
  </si>
  <si>
    <t>US National Science Foundation [ANT-0636740, AGS-1203838, ARC-0713974]; University of Maine Dissertation Research Fellowship; Directorate For Geosciences; Div Atmospheric &amp; Geospace Sciences [1203838] Funding Source: National Science Foundation; Office of Polar Programs (OPP); Directorate For Geosciences [0944348] Funding Source: National Science Foundation</t>
  </si>
  <si>
    <t>US National Science Foundation(National Science Foundation (NSF)); University of Maine Dissertation Research Fellowship; Directorate For Geosciences; Div Atmospheric &amp; Geospace Sciences(National Science Foundation (NSF)NSF - Directorate for Geosciences (GEO)); Office of Polar Programs (OPP); Directorate For Geosciences(National Science Foundation (NSF)NSF - Directorate for Geosciences (GEO))</t>
  </si>
  <si>
    <t>This work was supported by US National Science Foundation grants ANT-0636740, AGS-1203838 and ARC-0713974 and by the University of Maine Dissertation Research Fellowship to B.G.K. We thank the WAIS Divide Science Coordination Office, Ice Drilling Design and Operations Group, the National Ice Core Laboratory, Raytheon Polar Services Company and the 109th New York Air National Guard for field support in Antarctica. We also thank Timothy Bartholomaus, Thomas Bauska, Seth Campbell, John Fegyveresi, Shelly Griffin, Jonathan Hayden, Logan Mitchell, Anais Orsi, Mike Waskiewicz and Gifford Wong for field and laboratory assistance. We thank Nelia Dunbar, Stephen Norton, Rachael Rhodes and an anonymous reviewer for providing helpful comments which improved the manuscript.</t>
  </si>
  <si>
    <t>10.3189/2014JoG13J137</t>
  </si>
  <si>
    <t>WOS:000332813200010</t>
  </si>
  <si>
    <t>Abermann, J; Kinnard, C; MacDonell, S</t>
  </si>
  <si>
    <t>Abermann, Jakob; Kinnard, Christophe; MacDonell, Shelley</t>
  </si>
  <si>
    <t>Albedo variations and the impact of clouds on glaciers in the Chilean semi-arid Andes</t>
  </si>
  <si>
    <t>energy balance; glacier mass balance; glacier meteorology; ice/atmosphere interactions</t>
  </si>
  <si>
    <t>ANTARCTIC SNOW; PASCUA-LAMA; DRY ANDES; SURFACE; SWITZERLAND; RADIATION; PARAMETERIZATION; REFLECTION; DAROLLA; BALANCE</t>
  </si>
  <si>
    <t>Albedo variations are presented at two on-glacier sites in the semi-arid Andes, Chile, with &gt;3 years of continuous measurements. Although &lt;2 km apart and at similar elevations, the sites show significantly different albedo cycles. Whereas Toro 1 exhibits a clear seasonal cycle, Guanaco reveals a more complicated pattern, as exposed ice can occur in any month of the year. Daily albedo values are as low as 0.18 for debris-covered Toro 1, while minima are higher on Guanaco (0.38). A method is presented to discern cloud-free from cloudy conditions using measured incoming shortwave radiation only. A cloud climatology is provided showing very low cloudiness values. We see that effective cloud cover relates inversely to cloud occurrence (i.e. either more but thin or fewer but thick clouds). The cloud-free diurnal albedo cycle is pronounced, with lowest values around noon. Clouds increase albedo by 0.04 as a median hourly value, and 0.20 for the 95% quantile. There is a positive relationship between effective cloud cover and resulting albedo rise. Calculations as to whether the diurnal albedo cycle or the effect of clouds on albedo should be considered in energy-balance estimations show that the former is necessary whereas the latter can be neglected in the semi-arid Andes.</t>
  </si>
  <si>
    <t>[Abermann, Jakob; Kinnard, Christophe; MacDonell, Shelley] CEAZA, La Serena, Chile</t>
  </si>
  <si>
    <t>Abermann, J (corresponding author), Greenland Survey, Asiaq, Nuuk, Greenland.</t>
  </si>
  <si>
    <t>jakob.abermann@ceaza.cl</t>
  </si>
  <si>
    <t>Kinnard, Christophe/AAI-2468-2020; MacDonell, Shelley/J-2480-2016</t>
  </si>
  <si>
    <t>Kinnard, Christophe/0000-0002-4553-5258; MacDonell, Shelley/0000-0001-9641-4547</t>
  </si>
  <si>
    <t>Compania Minera Nevada (CMN); FONDECYT [3110053, 1130598]</t>
  </si>
  <si>
    <t>Compania Minera Nevada (CMN); FONDECYT(Comision Nacional de Investigacion Cientifica y Tecnologica (CONICYT)CONICYT FONDECYT)</t>
  </si>
  <si>
    <t>This study was financed by Compania Minera Nevada (CMN). CMN did not interfere in the data interpretation and conclusions reached in this study. We thank the CMN for logistical support, and the glaciology group at CEAZA for help in the field. S. MacDonell was supported by FONDECYT postdoctoral grant No. 3110053. We acknowledge the financial support of FONDECYT grant No. 1130598. We also thank M. Kuhn and M. Petlicki for their comments.</t>
  </si>
  <si>
    <t>10.3189/2014JoG13J094</t>
  </si>
  <si>
    <t>WOS:000332813200017</t>
  </si>
  <si>
    <t>Ghezelbash, M; Fiori, RAD; Koustov, AV</t>
  </si>
  <si>
    <t>Ghezelbash, M.; Fiori, R. A. D.; Koustov, A. V.</t>
  </si>
  <si>
    <t>Variations in the occurrence of SuperDARN F region echoes</t>
  </si>
  <si>
    <t>Ionosphere; auroral ionosphere; ionospheric irregularities; radio science; ionospheric propagation</t>
  </si>
  <si>
    <t>HF RADAR OBSERVATIONS; IONOSPHERIC BACKSCATTER; IRREGULARITIES; PERIODS</t>
  </si>
  <si>
    <t>The occurrence of F region ionospheric echoes observed by a number of SuperDARN HF radars is analyzed statistically in order to infer solar cycle, seasonal, and diurnal trends. The major focus is on Saskatoon radar data for 1994-2012. The distribution of the echo occurrence rate is presented in terms of month of observation and magnetic local time. Clear repetitive patterns are identified during periods of solar maximum and solar minimum. For years near solar maximum, echoes are most frequent near midnight during winter. For years near solar minimum, echoes occur more frequently near noon during winter, near dusk and dawn during equinoxes and near midnight during summer. Similar features are identified for the Hankasalmi and Prince George radars in the northern hemisphere and the Bruny Island TIGER radar in the southern hemisphere. Echo occurrence for the entire SuperDARN network demonstrates patterns similar to patterns in the echo occurrence for the Saskatoon radar and for other radars considered individually. In terms of the solar cycle, the occurrence rate of nightside echoes is shown to increase by a factor of at least 3 toward solar maximum while occurrence of the near-noon echoes does not significantly change with the exception of a clear depression during the declining phase of the solar cycle.</t>
  </si>
  <si>
    <t>[Ghezelbash, M.; Koustov, A. V.] Univ Saskatchewan, Saskatoon, SK, Canada; [Fiori, R. A. D.] Nat Resources Canada, Geomagnet Lab, Ottawa, ON, Canada</t>
  </si>
  <si>
    <t>University of Saskatchewan; Natural Resources Canada</t>
  </si>
  <si>
    <t>Ghezelbash, M (corresponding author), Univ Saskatchewan, Saskatoon, SK, Canada.</t>
  </si>
  <si>
    <t>mohsen.ghezelbash@usask.ca</t>
  </si>
  <si>
    <t>Fiori, Robyn/0000-0002-7313-8890; Koustov, Alexander/0000-0002-3604-4991</t>
  </si>
  <si>
    <t>Canadian Space Agency; NSERC (Canada); NSERC Discovery grant; La Trobe University; University of Newcastle; Monash University; Australian Antarctic Division; ISR Division DSTO; IPS Radio and Space Services</t>
  </si>
  <si>
    <t>Canadian Space Agency(Canadian Space Agency); NSERC (Canada)(Natural Sciences and Engineering Research Council of Canada (NSERC)); NSERC Discovery grant(Natural Sciences and Engineering Research Council of Canada (NSERC)); La Trobe University; University of Newcastle; Monash University(Monash University); Australian Antarctic Division; ISR Division DSTO; IPS Radio and Space Services</t>
  </si>
  <si>
    <t>The Saskatoon SuperDARN radar operation is jointly funded by the Canadian Space Agency and NSERC (Canada). The research is supported by an NSERC Discovery grant to A. V. Koustov. Operation of northern hemisphere SuperDARN radars is supported by funding agencies of Canada, France, Japan, the UK and the US. Operation of the Bruny Island TIGER radar in the southern hemisphere is supported by a consortium of institutions: La Trobe University, University of Newcastle, Monash University, Australian Antarctic Division, ISR Division DSTO and IPS Radio and Space Services. The 10.7 cm radio flux data are provided by National Geophysical Data Center (http://www.ngdc.noaa.gov/). The authors thank P. V. Ponomarenko for numerous comments, help in computations and suggestions in the process of this work. Criticism and suggestions of the reviewers are appreciated.</t>
  </si>
  <si>
    <t>10.5194/angeo-32-147-2014</t>
  </si>
  <si>
    <t>AC3AQ</t>
  </si>
  <si>
    <t>WOS:000332387800009</t>
  </si>
  <si>
    <t>Steiner, N; Tedesco, M</t>
  </si>
  <si>
    <t>Steiner, N.; Tedesco, M.</t>
  </si>
  <si>
    <t>A wavelet melt detection algorithm applied to enhanced-resolution scatterometer data over Antarctica (2000-2009)</t>
  </si>
  <si>
    <t>GREENLAND ICE-SHEET; PASSIVE MICROWAVE RESPONSE; MASS-BALANCE; SNOWMELT; PENINSULA; DURATION; TRENDS; EXTENT; SHELF; PARAMETERS</t>
  </si>
  <si>
    <t>Melting is mapped over Antarctica at a high spatial resolution using a novel melt detection algorithm based on wavelets and multiscale analysis. The method is applied to Ku-band (13.4 GHz) normalized backscattering measured by SeaWinds onboard the satellite QuikSCAT and spatially enhanced on a 5 km grid over the operational life of the sensor (1999-2009). Wavelet-based estimates of melt spatial extent and duration are compared with those obtained by means of threshold-based detection methods, where melting is detected when the measured backscattering is 3 dB below the preceding winter mean value. Results from both methods are assessed by means of automatic weather station (AWS) air surface temperature records. The yearly melting index, the product of melted area and melting duration, found using a fixed threshold and wavelet-based melt algorithm are found to have a relative difference within 7% for all years. Most of the difference between melting records determined from QuikSCAT is related to short-duration backscatter changes identified as melting using the threshold methodology but not the wavelet-based method. The ability to classify melting based on relative persistence is a critical aspect of the wavelet-based algorithm. Compared with AWS air-temperature records, both methods show a relative agreement to within 10% based on estimated melt conditions, although the fixed threshold generally finds a greater agreement with AWS. Melting maps obtained with the wavelet-based approach are also compared with those obtained from spaceborne brightness temperatures recorded by the Special Sensor Microwave/ Image (SSM/I). With respect to passive microwave records, we find a higher degree of agreement (9% relative difference) for the melting index using the wavelet-based approach than threshold-based methods (11% relative difference).</t>
  </si>
  <si>
    <t>[Steiner, N.; Tedesco, M.] CUNY City Coll, New York, NY 10031 USA</t>
  </si>
  <si>
    <t>City University of New York (CUNY) System; City College of New York (CUNY)</t>
  </si>
  <si>
    <t>Steiner, N (corresponding author), CUNY City Coll, New York, NY 10031 USA.</t>
  </si>
  <si>
    <t>nsteiner@ccny.cuny.edu</t>
  </si>
  <si>
    <t>Tedesco, Marco/F-7986-2015; Steiner, Nicholas/AAZ-4388-2021</t>
  </si>
  <si>
    <t>Steiner, Nicholas/0000-0001-5943-8400</t>
  </si>
  <si>
    <t>NSF [ANT-1141993, ARC-0713843, ANT-0944018, ANT-1141908]; National Science Foundation [CNS-0958379, CNS-0855217]; City University of New York High Performance Computing Center at the College of Staten Island</t>
  </si>
  <si>
    <t>NSF(National Science Foundation (NSF)); National Science Foundation(National Science Foundation (NSF)); City University of New York High Performance Computing Center at the College of Staten Island(General Electric)</t>
  </si>
  <si>
    <t>The authors acknowledge the support of NSF grant ANT-1141993. The authors acknowledge D. Long and the NASA Jet Propulsion Laboratory PO.DAAC for providing the enhanced-resolution scatterometer products. The authors appreciate the support of the Automatic Weather Station program and the Antarctic Meteorological Research Center for the data set, data display, information and further assistance (M. Lazzara, NSF grant numbers ARC-0713843, ANT-0944018, and ANT-1141908). This research was supported in part by National Science Foundation grants CNS-0958379 and CNS-0855217 and the City University of New York High Performance Computing Center at the College of Staten Island.</t>
  </si>
  <si>
    <t>10.5194/tc-8-25-2014</t>
  </si>
  <si>
    <t>AC2GH</t>
  </si>
  <si>
    <t>WOS:000332317000003</t>
  </si>
  <si>
    <t>Bereiter, B; Fischer, H; Schwander, J; Stocker, TF</t>
  </si>
  <si>
    <t>Bereiter, B.; Fischer, H.; Schwander, J.; Stocker, T. F.</t>
  </si>
  <si>
    <t>Diffusive equilibration of N2, O2 and CO2 mixing ratios in a 1.5-million-years-old ice core</t>
  </si>
  <si>
    <t>EPICA DOME-C; MOLECULAR-DIFFUSION; CLIMATE VARIABILITY; TEMPERATURE; ANTARCTICA; AIR; SCALE; CHRONOLOGY; ISOTOPE; FUJI</t>
  </si>
  <si>
    <t>In the framework of the International Partnerships in Ice Core Sciences, one of the most important targets is to retrieve an Antarctic ice core that extends over the last 1.5 million years (i.e. an ice core that enters the climate era when glacial-interglacial cycles followed the obliquity cycles of the earth). In such an ice core the annual layers of the oldest ice would be thinned by a factor of about 100 and the climatic information of a 10 000 yr interval would be contained in less than 1m of ice. The gas record in such an Antarctic ice core can potentially reveal the role of greenhouse gas forcing on these 40 000 yr cycles. However, besides the extreme thinning of the annual layers, also the long residence time of the trapped air in the ice and the relatively high ice temperatures near the bedrock favour diffusive exchanges. To investigate the changes in the O-2/N-2 ratio, as well as the trapped CO2 concentrations, we modelled the diffusive exchange of the trapped gases O-2, N-2 and CO2 along the vertical axis. However, the boundary conditions of a potential drilling site are not yet well constrained and the uncertainties in the permeation coefficients of the air constituents in the ice are large. In our simulations, we have set the drill site ice thickness at 2700m and the bedrock ice temperature at 5-10K below the ice pressure melting point. Using these conditions and including all further uncertainties associated with the drill site and the permeation coefficients, the results suggest that in the oldest ice the precessional variations in the O-2/N-2 ratio will be damped by 50-100 %, whereas CO2 concentration changes associated with glacial-interglacial variations will likely be conserved (simulated damping 5 %). If the precessional O-2/N-2 signal will have disappeared completely in this future ice core, orbital tuning of the ice-core age scale will be limited.</t>
  </si>
  <si>
    <t>[Bereiter, B.] Univ Bern, Inst Phys, CH-3012 Bern, Switzerland; Univ Bern, Oeschger Ctr Climate Change Res, CH-3012 Bern, Switzerland</t>
  </si>
  <si>
    <t>University of Bern; University of Bern</t>
  </si>
  <si>
    <t>Bereiter, B (corresponding author), Univ Bern, Inst Phys, Sidlerstr 5, CH-3012 Bern, Switzerland.</t>
  </si>
  <si>
    <t>bereiter@climate.unibe.ch; hfischer@climate.unibe.ch; schwander@climate.unibe.ch; stocker@climate.unibe.ch</t>
  </si>
  <si>
    <t>IPO, PAGES/JXY-7546-2024; Fischer, Hubertus/A-1211-2014</t>
  </si>
  <si>
    <t>Fischer, Hubertus/0000-0002-2787-4221</t>
  </si>
  <si>
    <t>Swiss National Science Foundation</t>
  </si>
  <si>
    <t>Swiss National Science Foundation(Swiss National Science Foundation (SNSF))</t>
  </si>
  <si>
    <t>This work is funded by the Swiss National Science Foundation. We thank B. Stauffer for sharing his valuable experience and giving helpful inputs to this work.</t>
  </si>
  <si>
    <t>10.5194/tc-8-245-2014</t>
  </si>
  <si>
    <t>WOS:000332317000018</t>
  </si>
  <si>
    <t>Shadwick, EH; Tilbrook, B; Williams, GD</t>
  </si>
  <si>
    <t>Shadwick, E. H.; Tilbrook, B.; Williams, G. D.</t>
  </si>
  <si>
    <t>Carbonate chemistry in the Mertz Polynya (East Antarctica): Biological and physical modification of dense water outflows and the export of anthropogenic CO2</t>
  </si>
  <si>
    <t>carbonate system; dense water formation; anthropogenic CO2; East Antarctica; Mertz Polynya</t>
  </si>
  <si>
    <t>NET COMMUNITY PRODUCTION; SEA-ICE; ADELIE DEPRESSION; ANNUAL CYCLE; PRYDZ BAY; ROSS SEA; OCEAN; DISSOCIATION; VARIABILITY; CONSTANTS</t>
  </si>
  <si>
    <t>Dense shelf water (DSW) is formed in East Antarctica from enhanced sea-ice production driven by air-sea interaction in coastal polynyas. Cross-shelf export and downslope mixing of this DSW produces Antarctic Bottom Water, contributing to the lower limb of the global overturning circulation. We present biogeochemical observations from the Mertz Polynya region in summer 2007/2008, with additional observations from spring 2001 and winter 1996. The seasonal changes in mixed-layer carbonate chemistry are driven by a combination of air-sea CO2 exchange, biological activity and the formation and melt of sea-ice. The air-sea fluxes in 2008 were similar to 15 mmol C m(-2) d(-1), and net community production, estimated from the summertime surface dissolved inorganic carbon (DIC) deficit, ranged from 0.9 to 1.2 mol C m(-2) yr(-1). We show that biological modification of carbonate chemistry over the shelf in summer preconditions the DSW outflows from the Adelie Depression. This process appears to supply both organic material, and water depleted in CO2, and with enhanced carbonate saturation state (relative to inflowing water), to coral communities on the slope. We combined model-based transports of exported DSW with the natural and anthropogenic (C-ant) carbon concentrations and estimate that the annual outflows of DIC and C-ant from the Mertz Polynya range from 320 to 560 Tg C yr(-1), and from 3 to 6 Tg C-ant yr(-1), respectively. The formation and export of dense water from this region, and by extension all similar polynyas around Antarctica, is an effective mechanism for the transfer of anthropogenic carbon into the deep ocean.</t>
  </si>
  <si>
    <t>[Shadwick, E. H.; Tilbrook, B.; Williams, G. D.] Univ Tasmania, Antarctic Climate &amp; Ecosyst Cooperat Res Ctr, POB 80, Hobart, Tas 7001, Australia; [Tilbrook, B.] CSIRO Marine &amp; Atmospher Res, Wealth Oceans Flagship, Hobart, Tas, Australia; [Tilbrook, B.] Ctr Weather &amp; Climate Res, Hobart, Tas, Australia</t>
  </si>
  <si>
    <t>Antarctic Climate &amp; Ecosystems Cooperative Research Centre (ACE CRC); University of Tasmania; Commonwealth Scientific &amp; Industrial Research Organisation (CSIRO)</t>
  </si>
  <si>
    <t>Shadwick, EH (corresponding author), Univ Tasmania, Antarctic Climate &amp; Ecosyst Cooperat Res Ctr, POB 80, Hobart, Tas 7001, Australia.</t>
  </si>
  <si>
    <t>Tilbrook, Bronte/W-4007-2019</t>
  </si>
  <si>
    <t>Tilbrook, Bronte/0000-0001-9385-3827; Shadwick, Elizabeth/0000-0003-4008-3333</t>
  </si>
  <si>
    <t>Australian Governments Cooperative Research Centres Program, through the Antarctic Climate and Ecosystems Cooperative Research Centre (ACE CRC); Australian Climate Change Science Program</t>
  </si>
  <si>
    <t>Australian Governments Cooperative Research Centres Program, through the Antarctic Climate and Ecosystems Cooperative Research Centre (ACE CRC)(Australian GovernmentDepartment of Industry, Innovation and ScienceCooperative Research Centres (CRC) Programme); Australian Climate Change Science Program</t>
  </si>
  <si>
    <t>This work was supported by the Australian Governments Cooperative Research Centres Program, through the Antarctic Climate and Ecosystems Cooperative Research Centre (ACE CRC), and by the Australian Climate Change Science Program. We thank K. Berry, K. Paterson, and J. Smith for collection and analysis of CO2 system data, Steve Rintoul and Mark Rosenberg for the CTD bottle data, the CSIRO Hydrochemistry group for the analysis of dissolved oxygen and nutrient samples, and the captain and crew of the RV Aurora Australis.</t>
  </si>
  <si>
    <t>10.1002/2013JC009286</t>
  </si>
  <si>
    <t>AB6DZ</t>
  </si>
  <si>
    <t>WOS:000331879100001</t>
  </si>
  <si>
    <t>Rocha, CB; da Silveira, ICA; Castro, BM; Lima, JAM</t>
  </si>
  <si>
    <t>Rocha, Cesar B.; da Silveira, Ilson C. A.; Castro, Belmiro M.; Lima, Jose Antonio M.</t>
  </si>
  <si>
    <t>Vertical structure, energetics, and dynamics of the Brazil Current System at 22°S-28°S</t>
  </si>
  <si>
    <t>southwestern Atlantic; Brazil Current; vertical structure; energetics; baroclinic instability; santos bifurcation</t>
  </si>
  <si>
    <t>WESTERN BOUNDARY CURRENT; SOUTH-ATLANTIC-OCEAN; BAROCLINIC INSTABILITY; CIRCULATION; 28-DEGREES-S; 20-DEGREES-S; MEANDERS; GROWTH; ENERGY</t>
  </si>
  <si>
    <t>We use four current meter moorings and quasi-synoptic hydrographic observations in conjunction with a one-dimensional quasi-geostrophic linear stability model to investigate downstream changes in the Brazil Current (BC) System between 22 degrees S and 28 degrees S. The data set depict the downstream thickening of the BC. Its vertical extension increases from 350 m at 22.7 degrees S to 850 m at 27.9 degrees S. Most of this deepening occurs between 25.5 degrees S and 27.9 degrees S and is linked to the bifurcation of the South Equatorial Current at intermediate depths (Santos bifurcation), which adds the Antarctic Intermediate Water flow to the BC. Geostrophic estimates suggest that the BC transport is increased by at least 4.3 Sv (approximate to 70%) to the south of that bifurcation. Moreover, the Santos bifurcation is associated with a substantial increase in the barotropic component of the BC System. On average, the water column average kinetic energy (IKE) is 70% baroclinic to the north and 54% barotropic to the south of the bifurcation. Additionally, the BC shows conspicuous mesoscale activity off southeast Brazil. The water column average eddy kinetic energy accounts for 30-60% of the IKE. Instabilities of the mean flow may give rise to these mesoscale fluctuations. Indeed, the linear stability analysis suggests that the BC System is baroclinically unstable between 22 degrees S and 28 degrees S. In particular, the model predicts southwestward-propagating fastest growing waves (approximate to 190 km) from 25.5 degrees S to 27.9 degrees S and quasi-standing most unstable modes (approximate to 230 km) at 22.7 degrees S. These modes have vertical structures roughly consistent with the observed eddy field. Key Points The Brazil Current thickens substantially off southeast Brazil Most of this deepening is associated with the Santos bifurcation The BC becomes more barotropic to the south of the Santos bifurcation</t>
  </si>
  <si>
    <t>[Rocha, Cesar B.; da Silveira, Ilson C. A.; Castro, Belmiro M.] Univ Sao Paulo, Inst Oceanog, Sao Paulo, Brazil; [Rocha, Cesar B.] Univ Calif San Diego, Scripps Inst Oceanog, La Jolla, CA 92093 USA; [Lima, Jose Antonio M.] Petr Brasileiro SA, Ctr Pesquisas &amp; Desenvolvimento Leopoldo A Miguez, Rio De Janeiro, Brazil</t>
  </si>
  <si>
    <t>Universidade de Sao Paulo; University of California System; University of California San Diego; Scripps Institution of Oceanography; Petrobras</t>
  </si>
  <si>
    <t>Rocha, CB (corresponding author), Univ Calif San Diego, Scripps Inst Oceanog, 9500 Gilman Dr, La Jolla, CA 92093 USA.</t>
  </si>
  <si>
    <t>crocha@ucsd.edu</t>
  </si>
  <si>
    <t>Silveira, Ilson/AFU-7480-2022; Rocha, Cesar B/AAH-9720-2019</t>
  </si>
  <si>
    <t>Silveira, Ilson/0000-0001-9266-6480; Rocha, Cesar B/0000-0003-4063-5468</t>
  </si>
  <si>
    <t>Sao Paulo Research Foundation [FAPESP 2010/13629-6, 2012/02119-2, 2008/58101-9]; CNPq [307122/2010-7]; Fundacao de Amparo a Pesquisa do Estado de Sao Paulo (FAPESP) [12/02119-2, 10/13629-6, 08/58101-9] Funding Source: FAPESP</t>
  </si>
  <si>
    <t>Sao Paulo Research Foundation(Fundacao de Amparo a Pesquisa do Estado de Sao Paulo (FAPESP)); CNPq(Conselho Nacional de Desenvolvimento Cientifico e Tecnologico (CNPQ)); Fundacao de Amparo a Pesquisa do Estado de Sao Paulo (FAPESP)(Fundacao de Amparo a Pesquisa do Estado de Sao Paulo (FAPESP))</t>
  </si>
  <si>
    <t>We acknowledge three anonymous reviewers for their thorough comments that substantially improved this paper. We also thank E. D. Barton (Editor in chief, JGR-Oceans), Amit Tandon (UMassD), Jose Roberto B. Leite (IOUSP), Jose Luiz L. de Azevedo (FURG), Marcelo Dottori (IOUSP), Rick Salmon (SIO), Frank Chico Smith (UMassD), and Janet Sprintall (SIO) for useful comments, insights, and editorial assistance. The COROAS HM2 data were kindly provided by Edmo Campos (IOUSP). We are also grateful to Petroleo Brasileiro S. A.-PETROBRAS for providing the MARLIM data set and promoting oceanographic research projects. This research was funded by Sao Paulo Research Foundation (FAPESP 2010/13629-6, 2012/02119-2 and 2008/58101-9). ICAS and BMC acknowledge support from CNPq (307122/2010-7).</t>
  </si>
  <si>
    <t>10.1002/2013JC009143</t>
  </si>
  <si>
    <t>WOS:000331879100004</t>
  </si>
  <si>
    <t>Weeding, B; Trull, TW</t>
  </si>
  <si>
    <t>Weeding, Ben; Trull, Thomas W.</t>
  </si>
  <si>
    <t>Hourly oxygen and total gas tension measurements at the Southern Ocean Time Series site reveal winter ventilation and spring net community production</t>
  </si>
  <si>
    <t>net community production; dissolved oxygen; total gas tension; Southern Ocean; moorings</t>
  </si>
  <si>
    <t>POLAR FRONTAL ZONES; AUSTRALIAN SECTOR; MIXED-LAYER; EXPORT; IRON; VARIABILITY; EXCHANGE; NITROGEN; CHLOROPHYLL; SOLUBILITY</t>
  </si>
  <si>
    <t>Using a moored instrument package at 35 m depth at the Southern Ocean Time Series (SOTS) site near 46 degrees 56S 142 degrees 15E from September 2010 to April 2011 (219 days), we obtained the first Southern Ocean Time Series of dissolved oxygen (from an optode sensor) and nitrogen (from a total gas tension sensor). Nitrogen was consistently supersaturated (100.8%-102.9%), while oxygen was highly subsaturated in early spring (as low as 93.5%) and reached supersaturation (maximum 104.9%) during only 37 days in early summer. The low oxygen levels in spring illustrate the importance of deep mixing in the Subantarctic Zone in ventilating the upper limb of the global overturning circulation. Using nitrogen as a proxy for physical processes, we isolated biological contributions to the oxygen time series to obtain net community production (NCP). Almost all NCP occurred in spring in the presence of deep mixed layers, with only small additional contributions in summer after water column stratification. The temperature and salinity time series also revealed distinct parcels of water. Rapid changes at their interfaces generated unrealistic NCP events in the standard calculation model, which were removed, while still retaining NCP contributions from each parcel. NCP totaled 2.21.2 mol O-2 m(-2) over the deployment, within the range of previous estimates from low temporal resolution techniques. Examination of errors revealed particular sensitivity to entrainment, suggesting more rigorous understanding of this process is required, e.g., via profiling instruments.</t>
  </si>
  <si>
    <t>[Weeding, Ben] Univ Tasmania, Inst Marine &amp; Antarctic Studies, Hobart, Tas 7001, Australia; [Weeding, Ben; Trull, Thomas W.] Univ Tasmania, Integrated Marine Observing Syst, Hobart, Tas 7001, Australia; [Trull, Thomas W.] Antarctic Climate &amp; Ecosyst Cooperat Res Ctr, Hobart, Tas, Australia; [Trull, Thomas W.] Commonwealth Sci &amp; Ind Res Org, Marine &amp; Atmospher Res &amp; Wealth Oceans Flagship, Hobart, Tas, Australia; [Trull, Thomas W.] Ctr Australian Weather &amp; Climate Res, Hobart, Tas, Australia</t>
  </si>
  <si>
    <t>University of Tasmania; University of Tasmania; Antarctic Climate &amp; Ecosystems Cooperative Research Centre (ACE CRC); Commonwealth Scientific &amp; Industrial Research Organisation (CSIRO); Commonwealth Scientific &amp; Industrial Research Organisation (CSIRO)</t>
  </si>
  <si>
    <t>Weeding, B (corresponding author), Univ Tasmania, Inst Marine &amp; Antarctic Studies, Hobart, Tas 7001, Australia.</t>
  </si>
  <si>
    <t>ben.weeding.26@gmail.com</t>
  </si>
  <si>
    <t>Trull, Tom W/B-7028-2014</t>
  </si>
  <si>
    <t>Weeding, Ben/0000-0002-3952-9812</t>
  </si>
  <si>
    <t>10.1002/2013JC009302</t>
  </si>
  <si>
    <t>WOS:000331879100026</t>
  </si>
  <si>
    <t>Romanov, YA; Romanova, NA; Romanov, P</t>
  </si>
  <si>
    <t>Romanov, Yury A.; Romanova, Nina A.; Romanov, Peter</t>
  </si>
  <si>
    <t>Changing effect of El Nino on Antarctic iceberg distribution: From canonical El Nino to El Nino Modoki</t>
  </si>
  <si>
    <t>Antarctic icebergs; El Nino</t>
  </si>
  <si>
    <t>SEA-SURFACE TEMPERATURE; SOUTHERN-OSCILLATION; PACIFIC RIM; CLIMATE; ANOMALIES; ICE; HEMISPHERE; PRESSURE; IMPACTS; AVERAGE</t>
  </si>
  <si>
    <t>Earlier studies indicate that during El Nino events the iceberg concentration increases in the east of the Pacific sector and in the west of the Atlantic sector of Southern Ocean, but decreases in the center of the Pacific sector. During La Nina the pattern of the iceberg concentration anomalies in these regions reverses. This iceberg redistribution is explained by anomalous winds and currents around an extensive positive atmospheric pressure anomaly that typically develops in the South-East Pacific during the warm El Nino-Southern Oscillation (ENSO) phase. In this study, the results of iceberg observations during two cruises of the r/v Akademik Fedorov in Antarctica in January-February 2008 (La Nina) and 2010 (El Nino) have been used to examine the consistency of changes in the iceberg distribution in the Southern Ocean related to El Nino events. The analysis of these observations has shown that in the Pacific Sector of Antarctica changes in the iceberg distribution between 2008 and 2010 followed the scenario outlined above and thus could be associated with the ENSO phase change. Contrary to earlier observations, the iceberg concentration in the Atlantic sector of Antarctica did not increase during 2010 El Nino. The latter is explained by a noncanonical type of 2010 El Nino, El Nino Modoki, and associated atmospheric circulation pattern different from the canonical El Nino. Further analysis has shown that a more frequent occurrence of El Nino Modoki in recent years have resulted in weaker links between El Nino events and the Antarctic iceberg distribution. Key Points Canonical El Nino substantially affects the Antarctic iceberg distribution The effect of the new type of El-Nino-El-Nino Modoki on the iceberg distribution is less distinct than the one of the canonical El Nino</t>
  </si>
  <si>
    <t>[Romanov, Yury A.; Romanova, Nina A.] Russian Acad Sci, PP Shirshov Inst Oceanol, Moscow, Russia; [Romanov, Peter] CUNY, NOAA Cooperat Remote Sensing Sci &amp; Technol Ctr NO, New York, NY 10021 USA</t>
  </si>
  <si>
    <t>Russian Academy of Sciences; Shirshov Institute of Oceanology; City University of New York (CUNY) System; National Oceanic Atmospheric Admin (NOAA) - USA</t>
  </si>
  <si>
    <t>Romanov, YA (corresponding author), Russian Acad Sci, PP Shirshov Inst Oceanol, Moscow, Russia.</t>
  </si>
  <si>
    <t>romanov@ocean.ru</t>
  </si>
  <si>
    <t>Romanov, Yury/S-6708-2016; Romanov, Peter/F-5622-2010</t>
  </si>
  <si>
    <t>10.1002/2013JC009429</t>
  </si>
  <si>
    <t>WOS:000331879100042</t>
  </si>
  <si>
    <t>Wang, XW; Cheng, X; Hui, FM; Cheng, C; Fok, HS; Liu, Y</t>
  </si>
  <si>
    <t>Wang, Xianwei; Cheng, Xiao; Hui, Fengming; Cheng, Cheng; Fok, H. S.; Liu, Yan</t>
  </si>
  <si>
    <t>Xuelong Navigation in Fast Ice Near the Zhongshan Station, Antarctica</t>
  </si>
  <si>
    <t>MARINE TECHNOLOGY SOCIETY JOURNAL</t>
  </si>
  <si>
    <t>CHINARE; fast ice; navigation; Radarsat-2; Xuelong vessel</t>
  </si>
  <si>
    <t>LANDFAST SEA-ICE; ROSS SEA; SAR; CLASSIFICATION; VARIABILITY; SNOW</t>
  </si>
  <si>
    <t>Navigation in polar sea regions requires special attention to the sea ice condition because it is a major barrier for an icebreaker to break the drift ice or fast ice allowing the vessel to keep moving foward. The advancement of remote sensing imagery provides an effective means to classify and identify various features including different types of sea ice. Hence it permits and time saving for the entire voyage especially when drift ice or fast ice becomes a barrier for the icebreaker in this study we explore the potential usage of high-resolution synthetic aperture radar (SAR) imageries from Radarsat-2 to identity sea ice conditions for precise navigation of China's icebreaker vesel (Xuelong) during the 29th Chinese Antarctic Research Expedition in December 2012. Different features on the fast ice were identified from horizontal-transmit and horizontal-receive polarized imagery. The potential usage of SAR imagery for precise navigation was confirmed by an expert witness on the Xuelong vessel at that time. The final voyage route has validated our analysis of fast iceland navigation of the Xuelong vessel. The predicted regions unloading locations were also found to be matching well with the actual vessel unloading locations after the final voyage route.</t>
  </si>
  <si>
    <t>[Wang, Xianwei; Cheng, Xiao; Hui, Fengming; Liu, Yan] Beijing Normal Univ, State Key Lab Remote Sensing Sci, Beijing 100875, Peoples R China; [Wang, Xianwei; Cheng, Xiao; Hui, Fengming; Cheng, Cheng; Liu, Yan] Beijing Normal Univ, Coll Global Change &amp; Earth Syst Sci, Beijing 100875, Peoples R China; [Wang, Xianwei] Ohio State Univ, Columbus, OH 43210 USA; [Fok, H. S.] Wuhan Univ, Sch Geodesy &amp; Geomat, Wuhan, Peoples R China</t>
  </si>
  <si>
    <t>Beijing Normal University; Beijing Normal University; University System of Ohio; Ohio State University; Wuhan University</t>
  </si>
  <si>
    <t>Wang, XW (corresponding author), Ohio State Univ, Beijing Normal Univ, State Key Lab Remote Sensing, Columbus, OH 43210 USA.</t>
  </si>
  <si>
    <t>wangxianwei0304@163.com; xcheng@bnu.edu.cn</t>
  </si>
  <si>
    <t>wang, xianwei/0000-0002-2119-0267</t>
  </si>
  <si>
    <t>Chinese Arctic and Antarctic Administration; China Postdoctoral Science Foundation [2012M520185, 2013T60077]; National Natural Science Foundation of China [41106157, 41176163,, 41374010]; China Research Foundation on Polar Science; National High Technology Research and Development Program of China [2008AA121702]</t>
  </si>
  <si>
    <t>Chinese Arctic and Antarctic Administration; China Postdoctoral Science Foundation(China Postdoctoral Science Foundation); National Natural Science Foundation of China(National Natural Science Foundation of China (NSFC)); China Research Foundation on Polar Science; National High Technology Research and Development Program of China(National High Technology Research and Development Program of China)</t>
  </si>
  <si>
    <t>We are grateful to the support from the Chinese Arctic and Antarctic Administration. This research is partially supported by China Postdoctoral Science Foundation (grant nos. 2012M520185 and 2013T60077), National Natural Science Foundation of China (Grant nos. 41106157, 41176163, and 41374010), and China Research Foundation on Polar Science and National High Technology Research and Development Program of China (grant no. 2008AA121702). We are grateful to two anonymous reviewers and Prof. C. K. Shum for their constructive comments, which have led to substantial improvement of this paper.</t>
  </si>
  <si>
    <t>MARINE TECHNOLOGY SOC INC</t>
  </si>
  <si>
    <t>COLUMBIA</t>
  </si>
  <si>
    <t>5565 STERRETT PLACE, STE 108, COLUMBIA, MD 21044 USA</t>
  </si>
  <si>
    <t>0025-3324</t>
  </si>
  <si>
    <t>1948-1209</t>
  </si>
  <si>
    <t>MAR TECHNOL SOC J</t>
  </si>
  <si>
    <t>Mar. Technol. Soc. J.</t>
  </si>
  <si>
    <t>JAN-FEB</t>
  </si>
  <si>
    <t>10.4031/MTSJ.48.1.5</t>
  </si>
  <si>
    <t>Engineering, Ocean; Oceanography</t>
  </si>
  <si>
    <t>Engineering; Oceanography</t>
  </si>
  <si>
    <t>AB6SH</t>
  </si>
  <si>
    <t>WOS:000331919300009</t>
  </si>
  <si>
    <t>Bozzano, R; Fanelli, E; Pensieri, S; Picco, P; Schiano, ME</t>
  </si>
  <si>
    <t>Bozzano, R.; Fanelli, E.; Pensieri, S.; Picco, P.; Schiano, M. E.</t>
  </si>
  <si>
    <t>Temporal variations of zooplankton biomass in the Ligurian Sea inferred from long time series of ADCP data</t>
  </si>
  <si>
    <t>VERTICAL MIGRATION BEHAVIOR; DOPPLER CURRENT PROFILER; KRILL MEGANYCTIPHANES-NORVEGICA; NORTHWESTERN MEDITERRANEAN-SEA; ACOUSTIC BACKSCATTER; SPRING BLOOM; WIND EVENTS; ABUNDANCE; VARIABILITY; WATER</t>
  </si>
  <si>
    <t>Three years of 300 kHz acoustic doppler current profiler data collected in the central Ligurian Sea are analysed to investigate the variability of the zooplankton biomass and the diel vertical migration in the upper thermocline. After a pre-processing phase aimed at avoiding the slant range attenuation, hourly volume backscattering strength time series are obtained. Despite the lack of concurrent net samples collection, different migration patterns are identified and their temporal variability examined by means of time-frequency analysis. The effect of changes in the environmental condition is also investigated. The highest zooplankton biomasses are observed in April-May just after the peak of surface primary production in March-April. The main migration pattern found here points to a 'nocturnal' migration, with zooplankton organisms occurring deeper in the water column during the day and shallower at night. Also, twilight migration is highlighted during this study. The largest migrations are recorded in November-December, corresponding to lowest backscattering strength values and they are likely attributable to larger and more active organisms (i.e. euphausiids and mesopelagic fish). The results suggest further applications of the available historical acoustic doppler current profiler time series.</t>
  </si>
  <si>
    <t>[Bozzano, R.; Pensieri, S.] Natl Res Council Italy CNR ISSIA, I-16149 Genoa, Italy; [Fanelli, E.; Picco, P.] Marine Environm Res Ctr ENEA Santa Teresa, I-19032 Pozzuolo Di Lerici, Italy; [Schiano, M. E.] Natl Res Council Italy CNR ISMAR, I-16149 Genoa, Italy</t>
  </si>
  <si>
    <t>Consiglio Nazionale delle Ricerche (CNR); Istituto di Studi sui Sistemi Intelligenti per l'Automazione (ISSIA-CNR); Consiglio Nazionale delle Ricerche (CNR); Istituto di Scienze Marine (ISMAR-CNR)</t>
  </si>
  <si>
    <t>Bozzano, R (corresponding author), Natl Res Council Italy CNR ISSIA, Via Marini 6, I-16149 Genoa, Italy.</t>
  </si>
  <si>
    <t>roberto.bozzano@cnr.it</t>
  </si>
  <si>
    <t>Bozzano, Roberto/AAL-8735-2021; Pensieri, Sara/AAL-1889-2021; Fanelli, Emanuela/H-4412-2014; CNR, Ismar/P-1247-2014</t>
  </si>
  <si>
    <t>Pensieri, Sara/0000-0002-7634-8543; Fanelli, Emanuela/0000-0002-5358-5159; CNR, Ismar/0000-0001-5351-1486; BOZZANO, ROBERTO/0000-0002-5163-2396</t>
  </si>
  <si>
    <t>Flagship Project RITMARE - The Italian Research for the Sea; Italian Ministry of Education, University and Research; Italian National Program of Antarctic Research (PNRA) [2010/A4.01]; Directorate For Geosciences; Division Of Ocean Sciences [1154661] Funding Source: National Science Foundation</t>
  </si>
  <si>
    <t>Flagship Project RITMARE - The Italian Research for the Sea; Italian Ministry of Education, University and Research(Ministry of Education, Universities and Research (MIUR)); Italian National Program of Antarctic Research (PNRA); Directorate For Geosciences; Division Of Ocean Sciences(National Science Foundation (NSF)NSF - Directorate for Geosciences (GEO))</t>
  </si>
  <si>
    <t>The work has been partially supported by the Flagship Project RITMARE - The Italian Research for the Sea - coordinated by the National Research Council of Italy and funded by the Italian Ministry of Education, University and Research within the National Research Program 2011-2013 and by the Italian National Program of Antarctic Research (PNRA) under grant 2010/A4.01. The authors acknowledge the ECMWF organization for providing the ERA-Interim data used in this study and Stefano Salon from OGS (Trieste, Italy) for providing the climatological sound speed profiles.</t>
  </si>
  <si>
    <t>10.5194/os-10-93-2014</t>
  </si>
  <si>
    <t>AC2GB</t>
  </si>
  <si>
    <t>WOS:000332316200007</t>
  </si>
  <si>
    <t>Jaff, RBN; Williams, M; Wilkinson, IP; Lawa, F; Lee, S; Zalasiewicz, J</t>
  </si>
  <si>
    <t>Jaff, Rawand B. N.; Williams, Mark; Wilkinson, Ian P.; Lawa, Fadhil; Lee, Sarah; Zalasiewicz, Jan</t>
  </si>
  <si>
    <t>A refined foraminiferal biostratigraphy for the Late Campanian-Early Maastrichtian succession of northeast Iraq</t>
  </si>
  <si>
    <t>GEOARABIA</t>
  </si>
  <si>
    <t>BEY DAGLARI AUTOCHTHON; SHIRANISH FORMATION; PLANKTIC FORAMINIFERA; WESTERN TAURIDES; PALEOECOLOGY; EVOLUTION; BOUNDARY; ZONATION; TUNISIA; SECTION</t>
  </si>
  <si>
    <t>Species of the benthonic foraminiferal genus Bolivinoides provide a refined biostratigraphic biozonation for the Late Campanian to Early Maastrichtian (Late Cretaceous) Shiranish Formation in NE Iraq. Three biozones and two subzones are identified: the Bolivinoides decoratus Biozone (Late Campanian) subdivided into a lower B. decoratus Subzone and upper B. laevigatus Subzone; the B. miliaris Biozone (Earliest Maastrichtian); and the B. draco Biozone (late Early Maastrichtian). These zones can be related to the biostratigraphical interval of the Globotruncana aegyptiaca (Late Campanian), Gansserina gansseri (latest Campanian Early Maastrichtian) and Contusotruncana contusa (late Early Maastrichtian) planktonic foraminiferal biozones. Combined, the benthonic and planktonic foraminiferal biostratigraphy enables the informal recognition of lower and upper intervals within both the Globotruncana aegyptiaca and Gansserina gansseri biozones that may be important for more refined inter-regional correlation in the Middle East and North Africa. The new Bolivinoides biozonation precisely locates the Campanian Maastrichtian boundary in NE Iraq. The foraminiferal assemblages also constrain the timing of a shallowing marine trend in the Shiranish Formation beginning from the latest Campanian that is consistent with shallowing facies noted globally at this time.</t>
  </si>
  <si>
    <t>[Jaff, Rawand B. N.; Williams, Mark] Univ Leicester, Leicester LE1 7RH, Leics, England; [Williams, Mark] Goethe Univ Frankfurt, Frankfurt, Germany; [Williams, Mark] Univ Lyon, Lyon, France; [Williams, Mark] Univ Portsmouth, Portsmouth PO1 2UP, Hants, England; [Williams, Mark; Wilkinson, Ian P.] British Geol Survey, Nottingham, England; [Williams, Mark] British Antarctic Survey, Cambridge, England; [Lawa, Fadhil] Sulaimani Univ, Dept Geol, Sulaimani, Iraq; [Lee, Sarah; Zalasiewicz, Jan] Univ Leicester, Dept Geol, Leicester LE1 7RH, Leics, England</t>
  </si>
  <si>
    <t>University of Leicester; Goethe University Frankfurt; University of Portsmouth; UK Research &amp; Innovation (UKRI); Natural Environment Research Council (NERC); NERC British Geological Survey; UK Research &amp; Innovation (UKRI); Natural Environment Research Council (NERC); NERC British Antarctic Survey; University of Leicester</t>
  </si>
  <si>
    <t>Jaff, RBN (corresponding author), Univ Leicester, Leicester LE1 7RH, Leics, England.</t>
  </si>
  <si>
    <t>rn95@le.ac.uk; mri@le.ac.uk; ipw@bgs.ac.uk; flawa1@mail.com; sv17@le.ac.uk; jaz1@le.ac.uk</t>
  </si>
  <si>
    <t>Williams, Mark/B-7590-2009</t>
  </si>
  <si>
    <t>Williams, Mark/0000-0002-7987-6069</t>
  </si>
  <si>
    <t>Kurdistan Regional Government (KRG); Natural Environment Research Council [bgs05002] Funding Source: researchfish</t>
  </si>
  <si>
    <t>Kurdistan Regional Government (KRG); Natural Environment Research Council(UK Research &amp; Innovation (UKRI)Natural Environment Research Council (NERC))</t>
  </si>
  <si>
    <t>RBNJ thanks the Kurdistan Regional Government (KRG) for funding this work. We also thank Rob Wilson for his help during imaging of microfossils, and Colin Cunningham for thin section preparation at the University of Leicester. IPW publishes with permission of the Executive Director of the British Geological Survey (N.E.R.C.). The authors thank two anonymous reviewers, and GeoArabia's Editor Mike Stephenson and Assistant Editor Kathy Breining for their helpful comments and for proof reading the manuscript. We also thank GeoArabia's Production Co-manager, Nestor Nino Buhay IV, for designing the paper for press.</t>
  </si>
  <si>
    <t>GULF PETROLINK</t>
  </si>
  <si>
    <t>MANAMA</t>
  </si>
  <si>
    <t>PO BOX 20393, MANAMA, 00000, BAHRAIN</t>
  </si>
  <si>
    <t>1025-6059</t>
  </si>
  <si>
    <t>GeoArabia</t>
  </si>
  <si>
    <t>AB1YP</t>
  </si>
  <si>
    <t>WOS:000331590200007</t>
  </si>
  <si>
    <t>Bjorndal, B; Berge, K; Barger, JL; Berge, RK; Burri, L</t>
  </si>
  <si>
    <t>Bjorndal, Bodil; Berge, Kjetil; Barger, Jamie L.; Berge, Rolf K.; Burri, Lena</t>
  </si>
  <si>
    <t>A krill powder-diet reduces fatty acid and amino acid catabolism while increasing mitochondrial oxidative phosphorylation, a study of the hepatic transcriptome in mice</t>
  </si>
  <si>
    <t>JOURNAL OF FUNCTIONAL FOODS</t>
  </si>
  <si>
    <t>Euphausia superba; Polyunsaturated fatty acids; EPA; DHA; Dietary proteins; Energy metabolism</t>
  </si>
  <si>
    <t>BIOACTIVE PEPTIDES; FISH-OIL; LIVER; CHOLESTEROL; METABOLISM</t>
  </si>
  <si>
    <t>The effect of krill powder, a mixed source of protein and n-3 polyunsaturated fatty acids from Antarctic krill (Euphausia superba), on hepatic gene expression was analyzed in CBA/J mice. Mice were fed a low-fat control diet or a 3% (w/w) krill powder low-fat diet for 3 months. Gene expression profiling on liver samples revealed that the krill powder supplemented diet modulated a large number of pathways compared to the control diet. Metabolic pathways that were down-regulated included beta-oxidation, glucose metabolism, and amino acid catabolism. In contrast, the mitochondrial electron transport chain pathway was upregulated. Krill powder affected more pathways involved in protein metabolism than krill oil. Thus, a krill powder supplemented diet had potent and specific effects on energy metabolism and oxidative phosphorylation at the gene level. This indicates that krill powder supplementation could be an approach to prevent decline in mitochondrial respiratory chain function. (C) 2013 Elsevier Ltd. All rights reserved.</t>
  </si>
  <si>
    <t>[Bjorndal, Bodil; Berge, Rolf K.] Univ Bergen, Dept Clin Sci, N-5020 Bergen, Norway; [Berge, Kjetil; Burri, Lena] Aker BioMarine ASA, N-0115 Oslo, Norway; [Barger, Jamie L.] LifeGen Technol LLC, Madison, WI 53719 USA; [Berge, Rolf K.] Haukeland Hosp, Dept Heart Dis, N-5021 Bergen, Norway</t>
  </si>
  <si>
    <t>University of Bergen; University of Bergen; Haukeland University Hospital</t>
  </si>
  <si>
    <t>Burri, L (corresponding author), Aker BioMarine ASA, Fjordalleen 16, N-0115 Oslo, Norway.</t>
  </si>
  <si>
    <t>lena.burri@akerbiomarine.com</t>
  </si>
  <si>
    <t>Bjørndal, Bodil/ITT-0544-2023; Bjørndal, Bodil/HDN-4287-2022; Bjorndal, Bodil/H-6143-2017</t>
  </si>
  <si>
    <t>Bjorndal, Bodil/0000-0001-9718-5117</t>
  </si>
  <si>
    <t>Aker BioMarine ASA</t>
  </si>
  <si>
    <t>We are grateful for the technical assistance of Kari Williams and Liv-Kristine Oysaed. This study was financed by Aker BioMarine ASA. Kjetil Berge and Lena Burri are employed at Aker BioMarine ASA, and contributed to the study design, the analysis and interpretation of the data, the writing of the report, and the decision to submit the article for publication.</t>
  </si>
  <si>
    <t>1756-4646</t>
  </si>
  <si>
    <t>J FUNCT FOODS</t>
  </si>
  <si>
    <t>J. Funct. Food.</t>
  </si>
  <si>
    <t>10.1016/j.jff.2013.11.003</t>
  </si>
  <si>
    <t>Food Science &amp; Technology; Nutrition &amp; Dietetics</t>
  </si>
  <si>
    <t>AA9OO</t>
  </si>
  <si>
    <t>WOS:000331423000062</t>
  </si>
  <si>
    <t>Joy, K; Fink, D; Storey, B; Atkins, C</t>
  </si>
  <si>
    <t>Joy, Kurt; Fink, David; Storey, Bryan; Atkins, Cliff</t>
  </si>
  <si>
    <t>A 2 million year glacial chronology of the Hatherton Glacier, Antarctica and implications for the size of the East Antarctic Ice Sheet at the Last Glacial Maximum</t>
  </si>
  <si>
    <t>Hatherton Glacier; Antarctica; East Antarctic Ice Sheet; Cosmogenic Be-10 and Al-26 exposure dating; Reduced Last Glacial Maximum ice sheet volume</t>
  </si>
  <si>
    <t>EXPOSURE AGES; TRANSANTARCTIC MOUNTAINS; MCMURDO SOUND; VICTORIA LAND; ALLAN HILLS; ROSS SEA; HISTORY; BE-10; RETREAT; DEGLACIATION</t>
  </si>
  <si>
    <t>A series of distinct glacial deposits flanking the margins of the upper Hatherton Glacier, an outlet glacier in the central Transantarctic Mountains, are used to constrain the behaviour of the Antarctic ice-sheets. Cosmogenic exposure ages of 18 erratics from four glacial drifts covering the ice free Dubris and Bibra valleys, range in age from 5 to 1997 ka. Our results document four glacial advance and retreat events superimposed on an overall long-term ice thickness reduction of about 500 m since the mid-Pleistocene. The lack of field evidence and absence of LGM exposure ages in the glacial deposits of the Hatherton Glacier supports our conclusion that at the LGM the East Antarctic Ice Sheet was of similar size, or may have been slightly smaller, than present. Minimum exposure ages from the oldest two glacial events, represented by the Isca and Danum drifts, are similar to 1-2 Ma and similar to 0.5 Ma respectively. The Britannia-II Drift, previously assumed to mark the maximum extent of the Last Glacial Maximum advance, has a mean Be-10 age of 126 +/- 3.2 ka (n = 5). Ages from the younger Britannia-I Drift suggest that since the mid-Holocene (6.5 +/- 1.2 ka, n = 5), approximately 200 m of additional ice has been lost. (C) 2013 Elsevier Ltd. All rights reserved.</t>
  </si>
  <si>
    <t>[Joy, Kurt; Storey, Bryan] Univ Canterbury, Gateway Antarctica, Christchurch 1, New Zealand; [Fink, David] Australian Nucl Sci &amp; Technol Org, Inst Environm Res, Menai, NSW 2234, Australia; [Atkins, Cliff] Victoria Univ Wellington, Sch Geog Environm &amp; Earth Sci, Wellington, New Zealand</t>
  </si>
  <si>
    <t>University of Canterbury; Australian Nuclear Science &amp; Technology Organisation; Victoria University Wellington</t>
  </si>
  <si>
    <t>Joy, K (corresponding author), Univ Canterbury, Gateway Antarctica, Private Bag 4800, Christchurch 1, New Zealand.</t>
  </si>
  <si>
    <t>Kurt.Joy@pg.Canterbury.ac.nz</t>
  </si>
  <si>
    <t>Atkins, cliff B/E-9458-2011; fink, David/A-9518-2012</t>
  </si>
  <si>
    <t>fink, David/0000-0001-7156-4602; Atkins, C/0000-0002-6513-6924</t>
  </si>
  <si>
    <t>Antarctica New Zealand; Australian Institute of Nuclear Science and Engineering; ANSTO's CcASH Project for AMS measurements [AINGRA09009]; AINSE; Helicopters NZ; Gateway Antarctica</t>
  </si>
  <si>
    <t>Antarctica New Zealand; Australian Institute of Nuclear Science and Engineering; ANSTO's CcASH Project for AMS measurements; AINSE; Helicopters NZ; Gateway Antarctica</t>
  </si>
  <si>
    <t>This research was funded by grants from Antarctica New Zealand for logistic support, the Australian Institute of Nuclear Science and Engineering and ANSTO's CcASH Project (to DF) for AMS measurements (AINGRA09009). We thank Rob Spiers and James Oram at the University of Canterbury cosmogenic preparation lab and Charles Mifsud and Toshiyuki Fujioka at ANSTO. We also thank David Sugden and Gary Wilson for their constructive comments which greatly enhanced the final manuscript. KJ also thanks AINSE, Helicopters NZ and Gateway Antarctica for their post-graduate research scholarships.</t>
  </si>
  <si>
    <t>JAN 1</t>
  </si>
  <si>
    <t>10.1016/j.quascirev.2013.10.028</t>
  </si>
  <si>
    <t>AB3EF</t>
  </si>
  <si>
    <t>WOS:000331673400004</t>
  </si>
  <si>
    <t>Nagurnyi, AP</t>
  </si>
  <si>
    <t>Nagurnyi, A. P.</t>
  </si>
  <si>
    <t>Variations of characteristics of the mean atmospheric energy level in the area of the Franz Josef Land archipelago in 1935-2012</t>
  </si>
  <si>
    <t>Proposed is a method for computing the average temperature of the vertical column of the atmosphere (the temperature of the average energy level) based on some features of energy characteristics of the atmosphere and using the radiosonde data within the mid-troposphere. The modem database is supplemented with the data of radio sounding carried out at Russian upper-air stations in 1934-1959. Variations of average annual values of temperature of the mean atmospheric energy level are observed with the period of several decades and with the amplitude of 4A degrees C in 1935-2012. Intensive decrease in the mean annual values of height-integrated temperature has been registered in recent years. Long-period variations of its average seasonal values of the same nature are registered. They are most pronounced in winter and transition seasons and are significantly reduced in summer. The observed oscillations indicate the existence of disturbance sources of long-term scale that is typical of the evolution of the anomalies of the sea surface temperature in the North Atlantic. The nature of long-term changes in the temperature of the mean energy level enables to assume the existence of a local attractor in atmospheric changes near the Franz Josef Land archipelago associated with the features of the thermal state of the North European basin and with the ice regime, first of all, in the Barents Sea. The temperature of the mean energy level depends weakly on local greenhouse effects that allows distinguishing natural (nonantropogenic) causes of atmospheric disturbances in a more explicit form.</t>
  </si>
  <si>
    <t>Arctic &amp; Antarctic Res Inst, St Petersburg 199397, Russia</t>
  </si>
  <si>
    <t>Nagurnyi, AP (corresponding author), Arctic &amp; Antarctic Res Inst, Ul Beringa 38, St Petersburg 199397, Russia.</t>
  </si>
  <si>
    <t>10.3103/S1068373914010026</t>
  </si>
  <si>
    <t>AB3PL</t>
  </si>
  <si>
    <t>WOS:000331702600002</t>
  </si>
  <si>
    <t>Alvarez, MJ; del Río, CJ; Marenssi, SA</t>
  </si>
  <si>
    <t>Alvarez, Maximiliano J.; del Rio, Claudia J.; Marenssi, Sergio A.</t>
  </si>
  <si>
    <t>REVISION OF GENUS RETROTAPES DEL RIO (BIVALVIA: VENERIDAE) IN THE EOCENE OF ANTARCTICA</t>
  </si>
  <si>
    <t>Retrotapes; Eurhomalea; Tapetinae; Systematic; Eocene; Antarctica</t>
  </si>
  <si>
    <t>ARGENTINA; CHILE; PHYLOGENY; MOLLUSKS</t>
  </si>
  <si>
    <t>The validity of the genus Retrotapes del Rio is discussed and Retrotapes newtoni (Wilckens), R. antarcticus (Sharman and Newton) and R. robustus (Stilwell and Zinsmeister), from the Eocene strata of the Antarctic Peninsula (La Meseta Formation), are described and illustrated. The stratigraphic range of R. robustus is extended from the Acantilados allomember to the Cucullaea I allomember. The morphogeometric analysis performed, allows the recognition of ontogenetic variations of R. antarcticus and R. robustus, as well as to shed light on their taxonomic status. The present is the oldest record of Retrotapes, a taxon that would have originated in the Antarctic region, from where it would have dispersed northwards to lower latitudes during Miocene times when it was widely represented in the Patagonian seas.</t>
  </si>
  <si>
    <t>[Alvarez, Maximiliano J.; del Rio, Claudia J.] Museo Argentino Ciencias Nat Bernardino Rivadavia, Buenos Aires, DF, Argentina; [Marenssi, Sergio A.] Univ Buenos Aires, Consejo Nacl Invest Cient &amp; Tecn, Inst Geociencias Basicas Aplicadas &amp; Ambientales, Buenos Aires, DF, Argentina</t>
  </si>
  <si>
    <t>Alvarez, MJ (corresponding author), Museo Argentino Ciencias Nat Bernardino Rivadavia, Angel Gallardo 470,C1405DJR, Buenos Aires, DF, Argentina.</t>
  </si>
  <si>
    <t>maxialvarez82@gmail.com; claudiajdelrio@gmail.com; smarenssi@hotmail.com</t>
  </si>
  <si>
    <t>10.5710/AMEGH.02.12.2013.1166</t>
  </si>
  <si>
    <t>AB2HX</t>
  </si>
  <si>
    <t>WOS:000331614900005</t>
  </si>
  <si>
    <t>Yang, YH; Yokokawa, T; Motegi, C; Nagata, T</t>
  </si>
  <si>
    <t>Yang, Yanhui; Yokokawa, Taichi; Motegi, Chiaki; Nagata, Toshi</t>
  </si>
  <si>
    <t>Large-scale distribution of viruses in deep waters of the Pacific and Southern Oceans</t>
  </si>
  <si>
    <t>Viruses; Deep ocean; Virus-to-prokaryote abundance ratio; Meridional overturning circulation</t>
  </si>
  <si>
    <t>BATHYPELAGIC WATERS; VIRAL ABUNDANCE; MARINE VIRUSES; CARBON; VIRIOPLANKTON; PROKARYOTES; DIVERSITY; INFECTION; PROTEIN</t>
  </si>
  <si>
    <t>We examined the full-depth distributions of viruses at 38 stations along a cruise track of similar to 17 000 km in the Southern Ocean and the central Pacific. In the layer between 200 and 2000 m, viral abundance decreased sharply with depth, and prokaryote abundance accounted for a large fraction (60%) of the variability in viral abundance. In contrast, in the deeper layer (&gt;2000 m), the depth-dependent decrease in viral abundance was less evident, and the relationship between viral and prokaryote abundances was weak. Viral abundances were high in the Antarctic bottom water and tended to decrease along the paths of the Circumpolar Deep Water and the Pacific Deep Water. Outstanding peaks of virus-to-prokaryote abundance ratios (mean +/- SE: 46 +/- 1.2) were found in the bottom waters (depth &gt; 3500 m) of the subtropical regions, where sinking particle fluxes are known to be generally low. These results are interpreted as an indication that large-scale viral distribution patterns are generally, if not solely, influenced by transport mediated by the meridional overturning circulation, underscoring the necessity of future studies to clarify prevailing mode and mechanisms for viral production and decay in deep oceans, which appear to be largely distinct from those in upper oceans.</t>
  </si>
  <si>
    <t>[Yang, Yanhui; Motegi, Chiaki; Nagata, Toshi] Univ Tokyo, Atmosphere &amp; Ocean Res Inst, Kashiwa, Chiba 2778564, Japan; [Yang, Yanhui; Yokokawa, Taichi; Motegi, Chiaki; Nagata, Toshi] Kyoto Univ, Ctr Ecol Res, Otsu, Shiga 5202113, Japan; [Yokokawa, Taichi] Ehime Univ, Ctr Marine Environm Studies, Matsuyama, Ehime 7908577, Japan</t>
  </si>
  <si>
    <t>University of Tokyo; Kyoto University; Ehime University</t>
  </si>
  <si>
    <t>Nagata, T (corresponding author), Univ Tokyo, Atmosphere &amp; Ocean Res Inst, 5-1-5 Kashiwanoha, Kashiwa, Chiba 2778564, Japan.</t>
  </si>
  <si>
    <t>nagata@aori.u-tokyo.ac.jp</t>
  </si>
  <si>
    <t>Yokokawa, Taichi/C-7063-2008</t>
  </si>
  <si>
    <t>Yokokawa, Taichi/0000-0003-4041-100X</t>
  </si>
  <si>
    <t>Japan Society for the Promotion of Science (JSPS) KAKENHI [17201004, 20310010, 24241003]; Atmosphere and Ocean Research Institute Cooperative research program; Grants-in-Aid for Scientific Research [17201004] Funding Source: KAKEN</t>
  </si>
  <si>
    <t>Japan Society for the Promotion of Science (JSPS) KAKENHI(Ministry of Education, Culture, Sports, Science and Technology, Japan (MEXT)Japan Society for the Promotion of ScienceGrants-in-Aid for Scientific Research (KAKENHI)); Atmosphere and Ocean Research Institute Cooperative research program; Grants-in-Aid for Scientific Research(Ministry of Education, Culture, Sports, Science and Technology, Japan (MEXT)Japan Society for the Promotion of ScienceGrants-in-Aid for Scientific Research (KAKENHI))</t>
  </si>
  <si>
    <t>We thank the directors, colleagues, captains, officers, and crews of the RV 'Hakuho-Maru' for support during the cruises. We also thank H. Hasumi for providing useful information on deep water circulation and S. Itoh for assisting in the construction of FddMAP (a database). This study was supported by the Japan Society for the Promotion of Science (JSPS) KAKENHI grants (17201004, 20310010, 24241003) awarded to T.N. T.Y. was supported by the Atmosphere and Ocean Research Institute Cooperative research program.</t>
  </si>
  <si>
    <t>10.3354/ame01677</t>
  </si>
  <si>
    <t>AB0ZX</t>
  </si>
  <si>
    <t>WOS:000331522100001</t>
  </si>
  <si>
    <t>Feng, S; Powell, SM; Wilson, R; Bowman, JP</t>
  </si>
  <si>
    <t>Feng, Shi; Powell, Shane M.; Wilson, Richard; Bowman, John P.</t>
  </si>
  <si>
    <t>Extensive Gene Acquisition in the Extremely Psychrophilic Bacterial Species Psychroflexus torquis and the Link to Sea-Ice Ecosystem Specialism</t>
  </si>
  <si>
    <t>GENOME BIOLOGY AND EVOLUTION</t>
  </si>
  <si>
    <t>psychrophilic bacteria; horizontal gene transfer; proteomics; sea ice; ecosystem specialism</t>
  </si>
  <si>
    <t>MARINE BACTERIUM; EICOSAPENTAENOIC ACID; MICROBIAL COMMUNITIES; GLIDING MOTILITY; GENOME SEQUENCE; DIVERSITY; TEMPERATURE; GROWTH; PROTEINS; SYSTEM</t>
  </si>
  <si>
    <t>Sea ice is a highly dynamic and productive environment that includes a diverse array of psychrophilic prokaryotic and eukaryotic taxa distinct from the underlying water column. Because sea ice has only been extensive on Earth since the mid-Eocene, it has been hypothesized that bacteria highly adapted to inhabit sea ice have traits that have been acquired through horizontal gene transfer (HGT). Here we compared the genomes of the psychrophilic bacterium Psychroflexus torquis ATCC 700755(T), associated with both Antarctic and Arctic sea ice, and its closely related nonpsychrophilic sister species, P. gondwanensis ACAM 44(T). Results show that HGT has occurred much more extensively in P. torquis in comparison to P. gondwanensis. Genetic features that can be linked to the psychrophilic and sea ice-specific lifestyle of P. torquis include genes for exopolysaccharide (EPS) and polyunsaturated fatty acid (PUFA) biosynthesis, numerous specific modes of nutrient acquisition, and proteins putatively associated with ice-binding, light-sensing (bacteriophytochromes), and programmed cell death (metacaspases). Proteomic analysis showed that several genes associated with these traits are highly translated, especially those involved with EPS and PUFA production. Because most of the genes relating to the ability of P. torquis to dwell in sea-ice ecosystems occur on genomic islands that are absent in closely related P. gondwanensis, its adaptation to the sea-ice environment appears driven mainly by HGT. The genomic islands are rich in pseudogenes, insertional elements, and addiction modules, suggesting that gene acquisition is being followed by a process of genome reduction potentially indicative of evolving ecosystem specialism.</t>
  </si>
  <si>
    <t>[Feng, Shi; Powell, Shane M.; Bowman, John P.] Univ Tasmania, Tasmanian Inst Agr, Food Safety Ctr, Hobart, Tas 7001, Australia; [Wilson, Richard] Univ Tasmania, Cent Sci Lab, Hobart, Tas 7001, Australia</t>
  </si>
  <si>
    <t>Bowman, JP (corresponding author), Univ Tasmania, Tasmanian Inst Agr, Food Safety Ctr, Hobart, Tas 7001, Australia.</t>
  </si>
  <si>
    <t>john.bowman@utas.edu.au</t>
  </si>
  <si>
    <t>Powell, Shane M/C-2391-2014; Bowman, John P/C-2414-2014; Bowman, John P./ABF-5108-2020; Wilson, Richard/H-8429-2012</t>
  </si>
  <si>
    <t>Bowman, John P/0000-0002-4528-9333; Bowman, John P./0000-0002-4528-9333; Wilson, Richard/0000-0003-0152-4394; Powell, Shane/0000-0001-5082-1630</t>
  </si>
  <si>
    <t>Department of Sustainability, Environment, Water, Population, and Communities; Australian Antarctic Division [3127]; University of Tasmania</t>
  </si>
  <si>
    <t>Department of Sustainability, Environment, Water, Population, and Communities; Australian Antarctic Division; University of Tasmania</t>
  </si>
  <si>
    <t>The work was supported by a grant from the Department of Sustainability, Environment, Water, Population, and Communities and the Australian Antarctic Division (project no. 3127) and a grant from the University of Tasmania to S. F. The authors thank Prof. Tom McMeekin for critical discussions related to the manuscript.</t>
  </si>
  <si>
    <t>1759-6653</t>
  </si>
  <si>
    <t>GENOME BIOL EVOL</t>
  </si>
  <si>
    <t>Genome Biol. Evol.</t>
  </si>
  <si>
    <t>10.1093/gbe/evt209</t>
  </si>
  <si>
    <t>Evolutionary Biology; Genetics &amp; Heredity</t>
  </si>
  <si>
    <t>AA7PJ</t>
  </si>
  <si>
    <t>Green Published, Green Accepted, Green Submitted</t>
  </si>
  <si>
    <t>WOS:000331289100011</t>
  </si>
  <si>
    <t>Naik, S; Mishra, RK; Mahapatro, D; Panigrahy, RC</t>
  </si>
  <si>
    <t>Naik, Subrat; Mishra, R. K.; Mahapatro, Debasish; Panigrahy, R. C.</t>
  </si>
  <si>
    <t>Impact of water quality on phytoplankton community and biomass in Dhamara estuary east coast of India</t>
  </si>
  <si>
    <t>JOURNAL OF ENVIRONMENTAL BIOLOGY</t>
  </si>
  <si>
    <t>Chlorophyll-a; Dhamara estuary; Phytoplankton abundance; Water quality</t>
  </si>
  <si>
    <t>MAHANADI ESTUARY; CHILIKA LAKE; NUTRIENTS</t>
  </si>
  <si>
    <t>Distribution of phytoplankton, productivity and chlorophyll-a concentration in relation to physico-chemical parameters viz, water temperature, pH, total suspended solid, turbidity, dissolved oxygen, biochemical oxygen demand, salinity and nutrients (NO2-N, NO3-N, PO4-P and SiO4-Si) were studied for pre-monsoon, monsoon and post-monsoon during the year 2005. The major groups of phytoplankton species were diatoms followed by dinoflagellates and other algae. A total of 43 species of phytoplankton comprising 32 diatoms, 6 dinoflagellates and 5 other algae were recorded during the entire study period. The species Nitzschia, Chaetoceros and Coscinodiscus were identified as dominant diatoms group. Higher values of phytoplankton (28612 nos l(-1)) with high rate of photosynthesis were observed during post-monsoon season, which was responsible for increasing DO (8.72 mg l(-1)) and pH(8.24) of the water column. R-mode factor analysis revealed that there were two factors or PCs that explained 93.0%, 95.2% and 94.4% of the total variance for pre-monsoon, monsoon and post-monsoon respectively. Generally, the trend distribution of phytoplankton closely followed the distribution of salinity, pH and DO of estuarine water.</t>
  </si>
  <si>
    <t>[Naik, Subrat; Panigrahy, R. C.] Berhampur Univ, Dept Marine Sci, Bhanjabihar 760007, Orissa, India; [Mahapatro, Debasish] Chilika Dev Author, Wetland Res &amp; Training Ctr, Bhubaneswar 751014, Orissa, India; [Mishra, R. K.] Natl Ctr Antarctic &amp; Ocean Res, Headlanda Sada 403804, Goa, India</t>
  </si>
  <si>
    <t>Berhampur University; Ministry of Earth Sciences (MoES) - India; National Centre for Polar and Ocean Research (NCPOR)</t>
  </si>
  <si>
    <t>Mishra, RK (corresponding author), Natl Ctr Antarctic &amp; Ocean Res, Headlanda Sada 403804, Goa, India.</t>
  </si>
  <si>
    <t>rajanimishra@yahoo.com</t>
  </si>
  <si>
    <t>TRIVENI ENTERPRISES</t>
  </si>
  <si>
    <t>LUCKNOW</t>
  </si>
  <si>
    <t>C/O KIRAN DALELA, 1/206 VIKAS NAGAR, KURSI RD, LUCKNOW 226 022, INDIA</t>
  </si>
  <si>
    <t>0254-8704</t>
  </si>
  <si>
    <t>J ENVIRON BIOL</t>
  </si>
  <si>
    <t>J.Environ.Biol.</t>
  </si>
  <si>
    <t>AA9LW</t>
  </si>
  <si>
    <t>WOS:000331416000013</t>
  </si>
  <si>
    <t>Ai, ST; Wang, ZM; E, DC; Holmen, K; Tan, Z; Zhou, CX; Sun, WJ</t>
  </si>
  <si>
    <t>Ai, Songtao; Wang, Zemin; E, Dongchen; Holmen, Kim; Tan, Zhi; Zhou, Chunxia; Sun, Weijun</t>
  </si>
  <si>
    <t>Topography, ice thickness and ice volume of the glacier Pedersenbreen in Svalbard, using GPR and GPS</t>
  </si>
  <si>
    <t>GPR; GPS; glacier topography; ice volume; ice thickness; Pedersenbreen.</t>
  </si>
  <si>
    <t>MASS-BALANCE; SUBPOLAR GLACIERS; AUSTRE LOVENBREEN; VALLEY GLACIER; KRONEBREEN; RADAR; FLOW</t>
  </si>
  <si>
    <t>Pedersenbreen is a small valley glacier (ca. 6 km(2) in 2009), ending on land, located in north-western Spitsbergen, Svalbard. Ground-based radio-echo sounding in April 2009, using a 100-MHz commercial radar and a self-made low-frequency radar, revealed a polythermal structure. The radar was coupled with a global positioning system device to geo-reference the traces. Each radar profile was manually edited to pick the reflection arrival time from the interface between ice and bedrock. Travel times were converted to ice thickness using a velocity of 0.165 m/ns, which was estimated from common mid-point measurement. Then the surface topography, bedrock topography, ice thickness contours and ice volume were derived using interpolation methods. Because it was difficult to distinguish the reflection wave from the background with the 100-MHz radar in some of the thickest areas of Pedersenbreen, we used a 5-MHz radar of our own design to fill in this gap. The maximum thickness of Pedersenbreen reaches 183 +/- 9 m, and the ice volume is 0.393 +/- 0.047 km(3) in 2009. Comparing these data with the surface topographical data available for 1936 indicates a mass loss of nearly 12% during the past 73 years.</t>
  </si>
  <si>
    <t>[Ai, Songtao; Wang, Zemin; E, Dongchen; Tan, Zhi; Zhou, Chunxia] Wuhan Univ, Chinese Antarctic Ctr Surveying &amp; Mapping, Wuhan 430079, Peoples R China; [Holmen, Kim] Norwegian Polar Res Inst, Fram Ctr, NO-9296 Tromso, Norway; [Sun, Weijun] Chinese Acad Sci, Cold &amp; Arid Reg Environm &amp; Engn Res Inst, Lanzhou 730000, Peoples R China</t>
  </si>
  <si>
    <t>Wuhan University; Norwegian Polar Institute; Chinese Academy of Sciences; Cold &amp; Arid Regions Environmental &amp; Engineering Research Institute, CAS</t>
  </si>
  <si>
    <t>Ai, ST (corresponding author), Wuhan Univ, Chinese Antarctic Ctr Surveying &amp; Mapping, Wuhan 430079, Peoples R China.</t>
  </si>
  <si>
    <t>ast@whu.edu.cn</t>
  </si>
  <si>
    <t>ZeMin, Wang/AAU-3422-2020; sun, weijun/GZB-2595-2022; Ai, Songtao/AAA-7338-2019</t>
  </si>
  <si>
    <t>Chinese Polar Environment Comprehensive Investigation &amp; Assessment Programmes; National High Technology Research and Development Program of China [2012AA12A304]; National Natural Science Foundation of China [41076126, 41106163, 41174029, 41176172]; Chinese Polar Scientific Strategy Project [20080203, 20100103]</t>
  </si>
  <si>
    <t>Chinese Polar Environment Comprehensive Investigation &amp; Assessment Programmes; National High Technology Research and Development Program of China(National High Technology Research and Development Program of China); National Natural Science Foundation of China(National Natural Science Foundation of China (NSFC)); Chinese Polar Scientific Strategy Project</t>
  </si>
  <si>
    <t>We are very grateful to the anonymous reviewers whose useful comments significantly improved the clarity and presentation of our results. This work was supported by the Chinese Polar Environment Comprehensive Investigation &amp; Assessment Programmes, the National High Technology Research and Development Program of China (2012AA12A304), the National Natural Science Foundation of China (41076126, 41106163, 41174029, 41176172) and the Chinese Polar Scientific Strategy Project (20080203, 20100103). The authors thank the Chinese Arctic and Antarctic Administration, State Oceanic Administration, for sponsoring the field surveying and research works around Chinese Arctic Yellow River Station. Special thanks go to Roger W. Hagerup and Jack Kohler from the Norwegian Polar Institute for their help finding the historical maps for this area. We also thank to Dr Adrian Fox from the British Antarctic Survey for polishing the English of this paper.</t>
  </si>
  <si>
    <t>10.3402/polar.v33.18533</t>
  </si>
  <si>
    <t>AB6EZ</t>
  </si>
  <si>
    <t>WOS:000331881700001</t>
  </si>
  <si>
    <t>Blanchet, MA; Lydersen, C; Biuw, M; de Bruyn, PJN; Hofmeyr, G; Krafft, BA; Kovacs, KM</t>
  </si>
  <si>
    <t>Blanchet, Marie-Anne; Lydersen, Christian; Biuw, Martin; de Bruyn, P. J. Nico; Hofmeyr, Greg; Krafft, Bjorn A.; Kovacs, Kit M.</t>
  </si>
  <si>
    <t>Instrumentation and handling effects on Antarctic fur seals (Arctocephalus gazella)</t>
  </si>
  <si>
    <t>Bioenergetics; biologging; instrument effects; SRDLs; TDRs; VHFs</t>
  </si>
  <si>
    <t>TIME-DEPTH RECORDERS; FORAGING BEHAVIOR; ENERGY-EXPENDITURE; DEVICES; MASS; ATTACHMENT; ANIMALS; MARKING; BUDGETS; CAMERA</t>
  </si>
  <si>
    <t>The use of biologging instruments has greatly improved our understanding of the behaviour, physiology and ecology of free-ranging marine mammals. However, handling wild animals and attaching instruments to streamlined bodies can cause stress and potentially influence behaviour and swimming/diving energetics. The goals of this study, undertaken on Bouvetoya, were (1) to determine if the first trip to sea after instrumentation is representative of subsequent trips in lactating Antarctic fur seals, to explore potential handling effects and assess possible biases in having multiple short-duration deployments (inflating N, using a limited number of tags) and (2) to evaluate potential effects of two different instrument combinations (SMRU satellite data relay loggers and very high frequency radio transmitters versus Wildlife Computers time-depth recorders and very high frequency radio transmitters) on trip durations, dive parameters, female body condition and pup growth. Handling did not appear to have any effects on the parameters studied; data from the first and second trips did not differ significantly. This implies that multiple short-term deployments are unlikely to result in biased data in this species. Instrument type did have measurable effects; time-at-sea was greater and pup growth was lower for pairs in which mothers carried bulkier instruments. This suggests that instrument streamlining is important to avoid negative impacts and that bulkier equipment should be deployed on lactating females with caution and only for short periods. The study highlights that instrument effects should be taken into account when comparing data from experiments collected using different equipment packages.</t>
  </si>
  <si>
    <t>[Blanchet, Marie-Anne; Lydersen, Christian; Biuw, Martin; Krafft, Bjorn A.; Kovacs, Kit M.] Norwegian Polar Res Inst, Fram Ctr, NO-9296 Tromso, Norway; [de Bruyn, P. J. Nico; Hofmeyr, Greg] Univ Pretoria, Dept Zool &amp; Entomol, Mammal Res Inst, ZA-0028 Pretoria, South Africa; [Krafft, Bjorn A.] Inst Marine Res, NO-5870 Bergen, Norway</t>
  </si>
  <si>
    <t>Norwegian Polar Institute; University of Pretoria; Institute of Marine Research - Norway</t>
  </si>
  <si>
    <t>Kovacs, KM (corresponding author), Norwegian Polar Res Inst, Fram Ctr, NO-9296 Tromso, Norway.</t>
  </si>
  <si>
    <t>kit.kovacs@npolar.no</t>
  </si>
  <si>
    <t>Biuw, Martin/AAF-9895-2021; de Bruyn, P. J. Nico/E-4176-2010; Hofmeyr, G. J. Greg/AAV-3286-2020</t>
  </si>
  <si>
    <t>de Bruyn, P. J. Nico/0000-0002-9114-9569; Hofmeyr, G. J. Greg/0000-0003-0283-6058; Biuw, Martin/0000-0001-8051-3399</t>
  </si>
  <si>
    <t>Norwegian Antarctic Research Expedition; Norwegian Research Council</t>
  </si>
  <si>
    <t>Norwegian Antarctic Research Expedition; Norwegian Research Council(Research Council of Norway)</t>
  </si>
  <si>
    <t>This work was funded by a Norwegian Antarctic Research Expedition grant awarded to KMK and CL by the Norwegian Research Council. The authors thank Aline Arriola and Petrus Kritzinger (2007/08), Brian Flascas and Ludvig Krag (2001/02) and Chuck Brady, Bianca Harck and Dave Keith (2000/01) for their assistance in the field. Logistics support was provided by the Norwegian Polar Institute's Operations and Logistics Department and the logistics division of the South Africa National Antarctic Programme. We thank Marthan Bester for his help with logistical arrangements and other support, the captain and crew of the S. A. Agulhas for transport to and from the island and Titan Helicopters Ltd for cargo and personnel transfer between the ship and the island. MB is currently at Akvaplan-niva, Fram Centre, NO-9296, Tromso, Norway, and GH is at the Port Elizabeth Museum at Bayworld, Humewood 6013, Port Elizabeth, South Africa.</t>
  </si>
  <si>
    <t>10.3402/polar.v33.21630</t>
  </si>
  <si>
    <t>AB6FD</t>
  </si>
  <si>
    <t>WOS:000331882100001</t>
  </si>
  <si>
    <t>Zhan, JQ; Gao, Y</t>
  </si>
  <si>
    <t>Zhan, Jianqiong; Gao, Yuan</t>
  </si>
  <si>
    <t>Impact of summertime anthropogenic emissions on atmospheric black carbon at Ny-Alesund in the Arctic</t>
  </si>
  <si>
    <t>Equivalent black carbon; Ny-Alesund; human influences; transport efficiency</t>
  </si>
  <si>
    <t>EMPIRICAL MODE DECOMPOSITION; LONG-TERM TRENDS; BOUNDARY-LAYER; AIR-POLLUTION; TRANSPORT; AEROSOL; TROPOSPHERE; WINTER; TEMPERATURE; POLLUTANTS</t>
  </si>
  <si>
    <t>Measurements of equivalent black carbon (EBC), calculated from aethalometer measurements of light attenuation, were carried out in July 2011 at Ny-Alesund in the Arctic. Highly elevated EBC concentrations were observed within the settlement of Ny-Alesund, with a median value of 17 ng m(-3), which was about two times the background level. Results from the ensemble empirical mode decomposition method suggested that about 60-80% of atmospheric EBC concentrations at Ny-Alesund were from local emissions, while only 20-40% arrived via atmospheric transport. The estimated average local emission rate was 8.1 g h(-1), with an uncertainty of approximately a factor of two. The pollution plume was confined to 10 km downwind of the settlement, with the total EBC deposition estimated to be 6.4-44 ng m(-2) h(-1). This may affect snow black carbon (BC) concentrations in nearby glaciated areas. The efficiencies of the long-range transport were estimated based on cluster analysis and potential precipitation contribution function, and the results implied that transport from western Europe is more efficient than from central Russia, on account of relatively rapid transport from western Europe and infrequent precipitation along this route. However, there was no correlation between air mass back-trajectories and EBC concentrations, suggesting that the contribution of long-range transport to EBC measured in Ny-Alesund might be not significant in this season.</t>
  </si>
  <si>
    <t>[Zhan, Jianqiong; Gao, Yuan] Rutgers State Univ, Dept Earth &amp; Environm Sci, Newark, NJ 07102 USA</t>
  </si>
  <si>
    <t>Rutgers University System; Rutgers University New Brunswick; Rutgers University Newark</t>
  </si>
  <si>
    <t>Gao, Y (corresponding author), Rutgers State Univ, Dept Earth &amp; Environm Sci, 101 Warren St, Newark, NJ 07102 USA.</t>
  </si>
  <si>
    <t>National Natural Science Foundation of China [41105094]; Scientific Research Foundation of Third Institute of Oceanography, State Oceanic Administration of China [2011004]; Rutgers University</t>
  </si>
  <si>
    <t>National Natural Science Foundation of China(National Natural Science Foundation of China (NSFC)); Scientific Research Foundation of Third Institute of Oceanography, State Oceanic Administration of China; Rutgers University</t>
  </si>
  <si>
    <t>This work was funded by the National Natural Science Foundation of China (grant no. 41105094) and the Scientific Research Foundation of Third Institute of Oceanography, State Oceanic Administration of China (grant no. 2011004). The Chinese Arctic and Antarctic Administration of State Oceanic Administration supported field accommodations at YRS. The authors thanks W. Li for technical assistance and L. Chen for encouragement. The authors are also grateful for a full-time graduate assistantship provided by Rutgers University that supported the continuation and completion of this research. We gratefully acknowledge the US National Oceanic and Atmospheric Administration's Air Resources Laboratory for providing the HYSPLIT transport and dispersion model, and ECMWF and NCAR/NCEP for providing the meteorological data freely. We thank Elisabeth Bjerke Rastad at Kings Bay AS for supplying the harbour log. We thank the two reviewers for their valuable comments on this manuscript.</t>
  </si>
  <si>
    <t>10.3402/polar.v33.21821</t>
  </si>
  <si>
    <t>AB6FB</t>
  </si>
  <si>
    <t>WOS:000331881900001</t>
  </si>
  <si>
    <t>Tarnawski, BA; Cassini, GH; Flores, DA</t>
  </si>
  <si>
    <t>Tarnawski, B. A.; Cassini, G. H.; Flores, D. A.</t>
  </si>
  <si>
    <t>Skull allometry and sexual dimorphism in the ontogeny of the southern elephant seal (Mirounga leonina)</t>
  </si>
  <si>
    <t>Mirounga leonina; southern elephant seal; Otaria byronia; southern sea lion; allometric growth; cranium; morphometry; growth rate; pinniped</t>
  </si>
  <si>
    <t>SIZE DIMORPHISM; LACTATION STRATEGIES; CRANIAL MORPHOLOGY; PRIMATE EVOLUTION; LIFE-HISTORY; PHYLOGENY; POPULATION; VARIABLES; GROWTH; SHAPE</t>
  </si>
  <si>
    <t>The southern elephant seal (Mirounga leonina (L., 1758)) is one of the most dimorphic mammals, but sexual dimorphism in its skull ontogeny is poorly known. We study ontogeny of sexual dimorphism by the allometric relationships between 21 measurements and its geometric mean. Based on 66 specimens (36 females, 30 males), the bivariate and multivariate analyses indicated that both approaches were congruent in most variables. We detected that sexual dimorphism was reached mostly by sexual shape differences in the ontogenetic trajectories of males and females. Twenty-four percent of variables were associated with intercept differences (pup size proportions), while 57% of variables were associated with slope intersexual differences (relative growth rates). Contrarily, sexual dimorphism was also achieved by size differences in adult stages (19% of variables), as males exhibited an extension of their common ontogenetic trajectories. Secondary growth spurt in males was detected for few variables. Our comparison with analogous data collected from southern sea lions (Otaria byronia (de Blainville, 1820)) indicated that in both species, sexual dimorphism was mostly associated with an enhanced ability to defend territories, which was linked to the polygynic behavior. However, discrepancies between both ontogenetic patterns of dimorphism were associated with interspecific differences in their life cycles.</t>
  </si>
  <si>
    <t>[Tarnawski, B. A.; Cassini, G. H.; Flores, D. A.] Bernardino Rivadavia CONICET, Museo Argentino Ciencias Nat, Div Mastozool, Buenos Aires, DF, Argentina; [Cassini, G. H.] Univ Nacl Lujan, Dept Ciencias Basicas, Buenos Aires, DF, Argentina</t>
  </si>
  <si>
    <t>Museo Argentino de Ciencias Naturales Bernardino Rivadavia (MACN); Universidad Nacional de Lujan</t>
  </si>
  <si>
    <t>Tarnawski, BA (corresponding author), Bernardino Rivadavia CONICET, Museo Argentino Ciencias Nat, Div Mastozool, Ave Angel Gallardo 470,C1405DJR, Buenos Aires, DF, Argentina.</t>
  </si>
  <si>
    <t>barbara_tarnawski@hotmail.com</t>
  </si>
  <si>
    <t>Cassini, Guillermo/0000-0002-6485-6532</t>
  </si>
  <si>
    <t>Consejo Nacional de Investigaciones Cientificas y Tecnicas (CONICET); Agencia Nacional de Promocion Cientifica y Tecnologica (ANPCyT) [PICT 0143, PICT 1798]; Vizcaino of CONICET [PIP 1054]; UNLu CDD-CD [281-09]</t>
  </si>
  <si>
    <t>Consejo Nacional de Investigaciones Cientificas y Tecnicas (CONICET)(Consejo Nacional de Investigaciones Cientificas y Tecnicas (CONICET)); Agencia Nacional de Promocion Cientifica y Tecnologica (ANPCyT)(ANPCyTSpanish Government); Vizcaino of CONICET; UNLu CDD-CD</t>
  </si>
  <si>
    <t>We thank D. Verzi and I. Olivares (MLP); E. Crespo and N. Garcia (CNP); M. E. Marquez, J. Negrete, and J. Mennucci (IAA); N. Goodall and volunteers (AMMA); S. Bogan (CFA); S. Lucero (MACN); and S. M. Velazquez (ZOO-BA), who granted access to mammal collections and for making us very welcome during our visits. We are also grateful to N. Chapire and P. Ganchegui for their logistical support. This work was financed by the Consejo Nacional de Investigaciones Cientificas y Tecnicas (CONICET). This is a contribution to the Projects PICT 0143 to S. F. Vizcaino, PICT 1798 to N. Giannini of the Agencia Nacional de Promocion Cientifica y Tecnologica (ANPCyT), PIP 1054 to S. F. Vizcaino of CONICET, and UNLu CDD-CD 281-09 to J. C. Fernicola. We dedicate this paper to the memory of Alejandro Carlini for his devotion to Antarctic ecosystems, particularly marine mammals, and his kindness during our visits to the IAA collection.</t>
  </si>
  <si>
    <t>CANADIAN SCIENCE PUBLISHING, NRC RESEARCH PRESS</t>
  </si>
  <si>
    <t>10.1139/cjz-2013-0106</t>
  </si>
  <si>
    <t>AA4OW</t>
  </si>
  <si>
    <t>WOS:000331076500003</t>
  </si>
  <si>
    <t>Godderis, Y; Donnadieu, Y; Le Hir, G; Lefebvre, V; Nardin, E</t>
  </si>
  <si>
    <t>Godderis, Yves; Donnadieu, Yannick; Le Hir, Guillaume; Lefebvre, Vincent; Nardin, Elise</t>
  </si>
  <si>
    <t>The role of palaeogeography in the Phanerozoic history of atmospheric CO2 and climate</t>
  </si>
  <si>
    <t>EARTH-SCIENCE REVIEWS</t>
  </si>
  <si>
    <t>Carbon cycle; Climate; Palaeogeography; Phanerozoic; Weathering; Modelling</t>
  </si>
  <si>
    <t>GLOBAL CHEMICAL EROSION; CENOZOIC EVOLUTION; ANTARCTIC GLACIATION; SURFACE-TEMPERATURE; CRETACEOUS CLIMATE; REVISED MODEL; CARBON; EARTH; CYCLE; FRACTIONATION</t>
  </si>
  <si>
    <t>The role of the palaeogeography on the geological evolution of the global carbon cycle has been suspected since the development of the first global geochemical models in the early 80s. The palaeogeography has been rapidly recognized as a key factor controlling the long-term evolution of the atmospheric CO2 through its capability of modulating the efficiency of the silicate weathering. First the role of the latitudinal position of the continents has been emphasized: an averaged low latitudinal position promotes the CO2 consumption by silicate weathering, and is theoretically associated to low CO2 periods. With the increase of model complexity and the explicit consideration of the hydrological cycle, the importance of the continentality factor has been recognized: periods of supercontinent assembly coincide with high pCO(2) values due to the development of arid conditions which weaken the silicate weathering efficiency. These fundamental feedbacks between climate, carbon cycle and tectonic have been discovered by pioneer modelling studies and opened new views in the understanding of the history of Earth's climate. Today, some of the key features of the Phanerozoic climate can be explained by: (1) continental drift; (2) small continental blocks moving to tropical belts; and (3) modulation of the climate sensitivity to CO2 by palaeogeography changes. Those results emphasize the need for a careful process-based modelling of the water cycle and climate response to the continental drift. (C) 2013 Elsevier B.V. All rights reserved.</t>
  </si>
  <si>
    <t>[Godderis, Yves; Lefebvre, Vincent; Nardin, Elise] CNRS Observ Midi Pyrenees, Geosci Environnement Toulouse, Toulouse, France; [Donnadieu, Yannick] CNRS CEA, Lab Sci Climat &amp; Environnement, Gif Sur Yvette, France; [Le Hir, Guillaume] Inst Phys Globe Paris, Paris, France</t>
  </si>
  <si>
    <t>Centre National de la Recherche Scientifique (CNRS); CEA; Centre National de la Recherche Scientifique (CNRS); Universite Paris Saclay; Universite Paris Cite</t>
  </si>
  <si>
    <t>Godderis, Y (corresponding author), CNRS Observ Midi Pyrenees, Geosci Environnement Toulouse, Toulouse, France.</t>
  </si>
  <si>
    <t>yves.godderis@get.obs-mip.fr</t>
  </si>
  <si>
    <t>Nardin, Elise/GOJ-9931-2022; Nardin, Elise/J-5213-2013; Le Hir, Guillaume/A-5676-2011; Lefebvre, Vincent/F-4900-2013; donnadieu, yannick/G-7546-2016</t>
  </si>
  <si>
    <t>Nardin, Elise/0000-0002-5396-9996; Nardin, Elise/0000-0002-5396-9996; Le Hir, Guillaume/0000-0002-6799-8173; donnadieu, yannick/0000-0002-7315-2684</t>
  </si>
  <si>
    <t>CNRS-INSU Eclipse and Syster programs; ACCRO-Earth [ANR-06-BLAN-0347]; COLORS [ANR-09-JCJC-0105]; TERRES [ANR-10-BLAN-0607]; Anox-Sea [ANR-12-BS06-0011]; Agence Nationale de la Recherche (ANR) [ANR-12-BS06-0011, ANR-09-JCJC-0105, ANR-06-BLAN-0347, ANR-10-BLAN-0607] Funding Source: Agence Nationale de la Recherche (ANR)</t>
  </si>
  <si>
    <t>CNRS-INSU Eclipse and Syster programs; ACCRO-Earth; COLORS; TERRES; Anox-Sea; Agence Nationale de la Recherche (ANR)(Agence Nationale de la Recherche (ANR))</t>
  </si>
  <si>
    <t>Funding for this work has been provided by the CNRS-INSU Eclipse and Syster programs, and by the ACCRO-Earth (ANR-06-BLAN-0347), COLORS (ANR-09-JCJC-0105), TERRES (ANR-10-BLAN-0607) and Anox-Sea (ANR-12-BS06-0011) ANR projects. We thank Jeffrey Park and Lee Kump for their constructive and fruitful reviews of this contribution.</t>
  </si>
  <si>
    <t>0012-8252</t>
  </si>
  <si>
    <t>1872-6828</t>
  </si>
  <si>
    <t>EARTH-SCI REV</t>
  </si>
  <si>
    <t>Earth-Sci. Rev.</t>
  </si>
  <si>
    <t>10.1016/j.earscirev.2013.11.004</t>
  </si>
  <si>
    <t>AA3WK</t>
  </si>
  <si>
    <t>WOS:000331025700007</t>
  </si>
  <si>
    <t>Smith, ADM; Smith, DC; Haddon, M; Knuckey, IA; Sainsbury, KJ; Sloan, SR</t>
  </si>
  <si>
    <t>Smith, Anthony D. M.; Smith, David C.; Haddon, Malcolm; Knuckey, Ian A.; Sainsbury, Keith J.; Sloan, Sean R.</t>
  </si>
  <si>
    <t>Implementing harvest strategies in Australia: 5 years on</t>
  </si>
  <si>
    <t>Australian fisheries; harvest strategy policy; implementation challenges</t>
  </si>
  <si>
    <t>SOUTH-EAST FISHERY; MANAGEMENT STRATEGIES; STOCK ASSESSMENT; DECISION RULES; LEVEL; COST; RISK</t>
  </si>
  <si>
    <t>Australian Commonwealth fisheries are managed using a formal harvest strategy policy (HSP) introduced by the federal government in 2007. At the State level, a number of commercial fisheries are also managed under formal harvest strategies, but no overarching policy currently exists to guide their consistent implementation across jurisdictions. There have been 5 years of experience with implementation of the Commonwealth policy across the highly diverse array of commercial fisheries found in Australia. The HSP has an explicit target of maximum economic yield, and an explicit limit set at half the biomass that would support maximum sustainable yield. The policy also specifies an acceptable level of risk associated with falling below the limit reference point. We discuss the experience gained from implementing the HSP in Australia, including a number of challenges faced, and attempt to summarize the benefits and costs of implementing harvest strategies. Our view is that, overall, the benefits clearly outweigh the costs.</t>
  </si>
  <si>
    <t>[Smith, Anthony D. M.; Smith, David C.; Haddon, Malcolm] CSIRO Wealth Oceans Flagship, Hobart, Tas 7001, Australia; [Knuckey, Ian A.] Fishwell Consulting Pty Ltd, Queenscliff, Vic 3225, Australia; [Sainsbury, Keith J.] Univ Tasmania, Inst Marine &amp; Antarctic Studies, Sandy Bay, Tas 7005, Australia; [Sloan, Sean R.] Primary Ind &amp; Reg South Australia, Adelaide, SA 5000, Australia</t>
  </si>
  <si>
    <t>Commonwealth Scientific &amp; Industrial Research Organisation (CSIRO); Fishwell Consulting; University of Tasmania</t>
  </si>
  <si>
    <t>Smith, ADM (corresponding author), CSIRO Wealth Oceans Flagship, GPO Box 1538, Hobart, Tas 7001, Australia.</t>
  </si>
  <si>
    <t>tony.d.smith@csiro.au</t>
  </si>
  <si>
    <t>Smith, David/GQQ-8257-2022</t>
  </si>
  <si>
    <t>10.1093/icesjms/fst158</t>
  </si>
  <si>
    <t>AA1GH</t>
  </si>
  <si>
    <t>WOS:000330844100006</t>
  </si>
  <si>
    <t>Plourde, S; McQuinn, IH; Maps, F; St-Pierre, JF; Lavoie, D; Joly, P</t>
  </si>
  <si>
    <t>Plourde, Stephane; McQuinn, Ian H.; Maps, Frederic; St-Pierre, Jean-Francois; Lavoie, Diane; Joly, Pierre</t>
  </si>
  <si>
    <t>Daytime depth and thermal habitat of two sympatric krill species in response to surface salinity variability in the Gulf of St Lawrence, eastern Canada</t>
  </si>
  <si>
    <t>Gulf of St Lawrence; krill; Meganyctiphanes norvegica; Thysanoessa raschii; vertical distribution</t>
  </si>
  <si>
    <t>DIEL VERTICAL MIGRATION; MEGANYCTIPHANES-NORVEGICA; NORTHERN KRILL; ANTARCTIC KRILL; DOWNWELLING IRRADIANCE; TEMPERATURE; GROWTH; ZOOPLANKTON; AGGREGATION; EUPHAUSIIDS</t>
  </si>
  <si>
    <t>We describe the response of acoustically determined weighted mean depth (WMD) of two sympatric species of krill, Thysanoessa raschii and Meganyctiphanes norvegica, to variations in surface salinity during summer in the Gulf of St Lawrence. In this coastal system, non-living particulates and CDOM carried by the freshwater run-off of the St Lawrence River and several large rivers have a strong impact on turbidity and light attenuance in the surface layer. The WMD of T. raschii and M. norvegica were significantly and positively related to surface salinity. However, M. norvegica was found deeper and in warmer water than T. raschii, and the latter had a steeper response to surface salinity. The species-specific relationships between daytime WMD and surface salinity enabled us to estimate both species regional and interannual variations in summertime temperature habitat during a 21-year period (1991-2011). The variability in daytime WMD resulted in significant inter- and intraspecific differences in the temperature experienced by adult krill that may impact development, growth, and reproduction. Our study illustrated the importance of considering species-specific responses to environmental forcing in coupled biophysical models that aim to explore the impacts of environmental variations on krill dynamics.</t>
  </si>
  <si>
    <t>[Plourde, Stephane; McQuinn, Ian H.; St-Pierre, Jean-Francois; Lavoie, Diane; Joly, Pierre] Fisheries &amp; Oceans Canada, Maurice Lamontagne Inst, Mont Joli, PQ G5H 3Z4, Canada; [Maps, Frederic] Univ Laval, Dept Biol, Quebec City, PQ G1V 0A6, Canada</t>
  </si>
  <si>
    <t>Fisheries &amp; Oceans Canada; Laval University</t>
  </si>
  <si>
    <t>Maps, F (corresponding author), Univ Laval, Dept Biol, Quebec City, PQ G1V 0A6, Canada.</t>
  </si>
  <si>
    <t>frederic.maps@gmail.com</t>
  </si>
  <si>
    <t>Maps, Frederic/L-4546-2013</t>
  </si>
  <si>
    <t>Maps, Frederic/0000-0001-7115-2464</t>
  </si>
  <si>
    <t>Fisheries and Oceans Canada as part of the Ecosystem Research Initiative in the lower St Lawrence Estuary</t>
  </si>
  <si>
    <t>We thank the many persons who contributed to the sampling over the years. We are particularly grateful to the captains and crews of the NGCC Frederick C. Creed for their highly professional contribution during the acoustic surveys and M. Dion and N. Otis for developing tools and analysing multifrequency acoustic data. We thank C. Lafleur who gathered historical CTD data. This work was supported by Fisheries and Oceans Canada as part of the Ecosystem Research Initiative in the lower St Lawrence Estuary.</t>
  </si>
  <si>
    <t>10.1093/icesjms/fst023</t>
  </si>
  <si>
    <t>WOS:000330844100014</t>
  </si>
  <si>
    <t>Maps, F; Plourde, S; Lavoie, D; McQuinn, I; Chassé, J</t>
  </si>
  <si>
    <t>Maps, Frederic; Plourde, Stephane; Lavoie, Diane; McQuinn, Ian; Chasse, Joel</t>
  </si>
  <si>
    <t>Modelling the influence of daytime distribution on the transport of two sympatric krill species (Thysanoessa raschii and Meganyctiphanes norvegica) in the Gulf of St Lawrence, eastern Canada</t>
  </si>
  <si>
    <t>biophysical coupling; DVM; Gulf of St Lawrence; Krill; Meganyctiphanes norvegica; numerical modelling; Thysanoessa raschii</t>
  </si>
  <si>
    <t>DIEL VERTICAL MIGRATION; FLUX MEASUREMENTS; LARVAL TRANSPORT; ANTARCTIC KRILL; SCOTIA SEA; PART I; AGGREGATION; EUPHAUSIIDS; SHELF; ZOOPLANKTON</t>
  </si>
  <si>
    <t>The Gulf of St Lawrence (GSL) provides several species of North Atlantic baleen whale with an abundant supply of krill, dominated by Thysanoessa raschii and Meganyctiphanes norvegica. We aimed to quantify the differences in upstream advection resulting from the interaction between the circulation and the specific diel vertical migration of T. raschii and M. norvegica at the scale of the northwest GSL. We coupled a regional circulation model with Lagrangian models where the daytime depth followed specific functions of surface salinity. Our results help to explain the spatio-temporal variability in both T. raschii and M. norvegica distributions. We identified in particular spatio-temporal patterns in krill upstream transport. During summer and autumn, the upstream transport of krill is steady across Jacques Cartier Strait, limited across Honguedo Strait, and more sporadic across the Estuary mouth. We estimated that the upstream advection of krill particles across the Estuary mouth would be higher by 16-17% for the T. raschii than for the M. norvegica daytime behaviour. Our results also suggest that the advective processes operating on the adults during the productive season are not the only cause for the observed magnitude of the interannual and interspecific variability in krill abundance.</t>
  </si>
  <si>
    <t>[Maps, Frederic; Plourde, Stephane; Lavoie, Diane; McQuinn, Ian] Fisheries &amp; Oceans Canada, Maurice Lamontagne Inst, Mont Joli, PQ G5H 3Z4, Canada; [Chasse, Joel] Fisheries &amp; Oceans Canada, Gulf Fisheries Ctr, Moncton, NB E1C 9B6, Canada</t>
  </si>
  <si>
    <t>Fisheries &amp; Oceans Canada; Fisheries &amp; Oceans Canada</t>
  </si>
  <si>
    <t>We are grateful to two anonymous reviewers whose comments significantly improved the quality of our manuscript. This research was funded by Fisheries and Oceans Canada as part of the Ecosystem Research Initiative in the lower St Lawrence Estuary.</t>
  </si>
  <si>
    <t>10.1093/icesjms/fst021</t>
  </si>
  <si>
    <t>WOS:000330844100015</t>
  </si>
  <si>
    <t>Matin, A</t>
  </si>
  <si>
    <t>Matin, Abdul</t>
  </si>
  <si>
    <t>Tectonics in the Cuddapah fold-thrust belt in the Indian shield, Andhra Pradesh, India and its implication on the crustal amalgamation of India and Rayner craton of Antarctica during Neoproterozoic orogenesis</t>
  </si>
  <si>
    <t>INTERNATIONAL JOURNAL OF EARTH SCIENCES</t>
  </si>
  <si>
    <t>Neoproterozoic orogenesis; Cuddapah fold-thrust belt; Velikonda thrust; Nallamalai thrust; Nallamalai fold belt; Fault-propagation folding</t>
  </si>
  <si>
    <t>PRINCE-CHARLES MOUNTAINS; FAULT-PROPAGATION FOLDS; EASTERN GHATS BELT; SOUTH-INDIA; DHARWAR CRATON; STRUCTURAL FEATURES; U-PB; BASIN; DEFORMATION; EVOLUTION</t>
  </si>
  <si>
    <t>Neoproterozoic orogenesis in East Antarctica and India led to the amalgamation of northern Prince Charles Mountains-Rayner complex of Antarctica with the Krishna Province of India along the present eastern coast of India with the development of similar to 990-900 Ma old fold-thrust belt. The frontal part of the fold-thrust belt [henceforth called the Cuddapah fold-thrust belt (CFTB)], recognized in the intercratonic, Palaeoproterozoic-Neoproterozoic Cuddapah Basin, includes two frontal thrust sheets carried by the eastern Velikonda and the western Nallamalai thrusts, along with a part of the undeformed foreland, constituting frontal part of a larger fold-thrust belt now fragmented and separated in different continents of Gondwanaland. Therefore, the intercratonic deformation now preserved in the Palaeoproterozoic-Neoproterozoic Cuddapah Basin is related to the collision of the Indian shield to the Antarctic block during the amalgamation of the Rodinia Supercontinent. CFTB is dominated by quasi-plastic deformational structures, representing exhumed deeper level fault-propagation folding related to the Velikonda thrust, while the Nallamalai thrust represents the forelandward thrust of the CFTB dominated by elastico-frictional deformation structures.</t>
  </si>
  <si>
    <t>Univ Calcutta, Dept Geol, Kolkata 700019, India</t>
  </si>
  <si>
    <t>University of Calcutta</t>
  </si>
  <si>
    <t>Matin, A (corresponding author), Univ Calcutta, Dept Geol, 35 Ballygunge Circular Rd, Kolkata 700019, India.</t>
  </si>
  <si>
    <t>abdul.aindia@gmail.com</t>
  </si>
  <si>
    <t>Matin, Abdul/GQH-8528-2022</t>
  </si>
  <si>
    <t>Matin, Abdul/0000-0002-2260-7888</t>
  </si>
  <si>
    <t>Department of Science and Technology, Government of India [ES/23/143/91]</t>
  </si>
  <si>
    <t>Department of Science and Technology, Government of India(Department of Science &amp; Technology (India))</t>
  </si>
  <si>
    <t>This work was benefited enormously from discussions with Ananda Chakrabarti, Tapas Bhattacharyya and Malay Mukul. The author is immensely benefited from the critical review of the manuscript by the two reviewers. I gratefully acknowledge their suggestions and comments. The study was funded by the Department of Science and Technology, Government of India (Project No. ES/23/143/91).</t>
  </si>
  <si>
    <t>1437-3254</t>
  </si>
  <si>
    <t>1437-3262</t>
  </si>
  <si>
    <t>INT J EARTH SCI</t>
  </si>
  <si>
    <t>Int. J. Earth Sci.</t>
  </si>
  <si>
    <t>10.1007/s00531-013-0957-6</t>
  </si>
  <si>
    <t>AA5AC</t>
  </si>
  <si>
    <t>WOS:000331106800003</t>
  </si>
  <si>
    <t>Sruoga, P; Japas, MS; Salani, FM; Kleiman, LE</t>
  </si>
  <si>
    <t>Sruoga, P.; Japas, M. S.; Salani, F. M.; Kleiman, L. E.</t>
  </si>
  <si>
    <t>La Peligrosa caldera (47° 15′S, 71° 40′W): A key event during the Jurassic ignimbrite flare-up in Southern Patagonia, Argentina</t>
  </si>
  <si>
    <t>JOURNAL OF VOLCANOLOGY AND GEOTHERMAL RESEARCH</t>
  </si>
  <si>
    <t>Ignimbrites; Megabreccia; Transtension; South Chon Aike Silicic Province</t>
  </si>
  <si>
    <t>ANTARCTIC PENINSULA; MARIFIL FORMATION; ANALOG MODELS; COLLAPSE; RHYOLITE; PROVINCE; COMPLEX; MASSIF; PERMEABILITY; MAGMATISM</t>
  </si>
  <si>
    <t>Pyroclastic and lava vent-facies, from the Late Jurassic El Quemado Complex, are described at the southern Lake Ghio, in the Cordillera Patagonica Austral. Based on the comprehensive study of lithology and structures, the reconstruction of the volcanic architecture has been carried out. Four ignimbrites and one rhyolitic lava unit, affected by oblique-slip normal faults have been recognized. The evolution of La Peligrosa Caldera has been modeled in three different stages:1) initial collapse, consisting of a precursory downsag subsidence, related to a dilatational zone, which controlled the location of the caldera, 2) main collapse, with the emplacement of large volume crystal-rich ignimbrites and megabreccias, under a progressive subsidence controlled by a pull-apart structure related to a transtensional regime and 3) post-collapse, in which lava flows and associated domes were emplaced under an oblique-extensional regime. The caldera records a remarkable change from transtension to oblique extension, which may represent an important variation in regional deformation conditions during Jurassic times. La Peligrosa Caldera may be considered a key event to understand the eruptive mechanisms of the flare-up volcanism in the Chon Aike Silicic Province. (C) 2013 Elsevier B.V. All rights reserved.</t>
  </si>
  <si>
    <t>[Sruoga, P.] CONICET SEGEMAR Serv Geol &amp; Minero Argentino, Buenos Aires, DF, Argentina; [Japas, M. S.; Salani, F. M.] CONICET UBA IGEBA, Depto Cs Geol, Buenos Aires, DF, Argentina; [Kleiman, L. E.] Comis Nacl Energia Atom, RA-1429 Buenos Aires, DF, Argentina</t>
  </si>
  <si>
    <t>Comision Nacional de Energia Atomica (CNEA)</t>
  </si>
  <si>
    <t>Sruoga, P (corresponding author), Av Gral Paz 5445,B1650WAB, Buenos Aires, DF, Argentina.</t>
  </si>
  <si>
    <t>patysruoga@gmail.com; msjapas@gl.fcen.uba.ar; flaviamsalani@gmail.com; kleiman@cae.cnea.gov.ar</t>
  </si>
  <si>
    <t>CONICET [PIP 5347]; CNEA-SECTIP [1473]; SEGEMAR</t>
  </si>
  <si>
    <t>CONICET(Consejo Nacional de Investigaciones Cientificas y Tecnicas (CONICET)); CNEA-SECTIP; SEGEMAR</t>
  </si>
  <si>
    <t>This study was funded by CONICET (PIP 5347), CNEA-SECTIP (res. 1473) and SEGEMAR. We thank R. Holcombe and R. Allmendinger for software free access. We specially thank David Tucker for an early revision of the manuscript. I. Petrinovic and an anonymous reviewer provided truly valuable suggestions to improve the manuscript.</t>
  </si>
  <si>
    <t>0377-0273</t>
  </si>
  <si>
    <t>1872-6097</t>
  </si>
  <si>
    <t>J VOLCANOL GEOTH RES</t>
  </si>
  <si>
    <t>J. Volcanol. Geotherm. Res.</t>
  </si>
  <si>
    <t>10.1016/j.jvolgeores.2013.11.003</t>
  </si>
  <si>
    <t>AA2MA</t>
  </si>
  <si>
    <t>WOS:000330927500005</t>
  </si>
  <si>
    <t>Weis, A; Meyer, R; Dietz, L; Dömel, JS; Leese, F; Melzer, RR</t>
  </si>
  <si>
    <t>Weis, Andrea; Meyer, Roland; Dietz, Lars; Doemel, Jana S.; Leese, Florian; Melzer, Roland R.</t>
  </si>
  <si>
    <t>Pallenopsis patagonica (Hoek, 1881) - a species complex revealed by morphology and DNA barcoding, with description of a new species of Pallenopsis Wilson, 1881</t>
  </si>
  <si>
    <t>ZOOLOGICAL JOURNAL OF THE LINNEAN SOCIETY</t>
  </si>
  <si>
    <t>biogeography; Chile; COI; cryptic species; Pallenopsidae; Pantopoda; Subantarctic</t>
  </si>
  <si>
    <t>COLOSSENDEIS-MEGALONYX HOEK; ARTHROPODA PYCNOGONIDA; DELIMITATION; DIVERSITY; DISCOVERY; TAXONOMY; MODELS; SEA</t>
  </si>
  <si>
    <t>Pallenopsis patagonica (Hoek, 1881) is one of the most taxonomically problematic and variable pycnogonid species, and is distributed around the southern South American coast, and the Subantarctic and Antarctic areas. We conducted a phylogenetic analysis of mitochondrial cytochromec oxidase subunitI (COI) sequences of 47 Pallenopsis specimens, including 39 morphologically identified as P.patagonica, five Pallenopsis pilosa (Hoek, 1881), one Pallenopsis macneilli Clark, 1963, one Pallenopsis buphtalmus Pushkin, 1993, and one Pallenopsis latefrontalis Pushkin, 1993. Furthermore, we studied morphological differences between the different COI lineages using light and scanning electron microscopy, including also material from Loman's and Hedgpeth's classical collections, as well as Hoek's type material of P.patagonica from 1881. The molecular results unambiguously reveal that P.patagonica is a complex of several divergent clades, which also includes P.macneilli, P.buphtalmus, and P.latefrontalis. Based on the material available, two major clades could be identified, namely a Falkland' clade, to which we assign the nominal P.patagonica, and a Chilean' clade, which is distinct from the Falkland' clade. We describe the Chilean' clade as new species, Pallenopsis yepayekaesp.nov. Weis, 2013. All molecular results are confirmed by specific morphological characteristics that are discussed in detail and compared with Pallenopsis species closely related to the P.patagonica complex. Our results reveal that P.patagonica is a species-rich complex that is in need for a thorough taxonomic revision, using both morphological and genetic approaches.(c) 2014 The Linnean Society of London</t>
  </si>
  <si>
    <t>[Weis, Andrea; Meyer, Roland; Melzer, Roland R.] Zool Staatssammlung Munchen, D-81247 Munich, Germany; [Dietz, Lars; Doemel, Jana S.; Leese, Florian] Ruhr Univ Bochum, D-44801 Bochum, Germany</t>
  </si>
  <si>
    <t>Ruhr University Bochum</t>
  </si>
  <si>
    <t>Weis, A (corresponding author), Zool Staatssammlung Munchen, Munchhausenstr 21, D-81247 Munich, Germany.</t>
  </si>
  <si>
    <t>andreaweis@gmx.net</t>
  </si>
  <si>
    <t>Leese, Florian/D-4277-2012</t>
  </si>
  <si>
    <t>Leese, Florian/0000-0002-5465-913X</t>
  </si>
  <si>
    <t>Genome Canada through the Ontario Genomics Institute; (Graduiertenstipendium; BayEFG); GeoBioCenterLMU; DFG [LE 2323/2, 1158]</t>
  </si>
  <si>
    <t>Genome Canada through the Ontario Genomics Institute(Genome Canada); (Graduiertenstipendium; BayEFG); GeoBioCenterLMU; DFG(German Research Foundation (DFG))</t>
  </si>
  <si>
    <t>First we must thank the Canadian Centre for Barcoding at the Department of Zoology, University of Guelph, Ontario, Canada (financed by Genome Canada through the Ontario Genomics Institute), for processing, coordination, and providing part of the sequence data. We thank Dr Claudia Arango for access to unreleased GenBank sequences for out-group species. Special thanks go to Miranda Lowe (Natural History Museum London) for making Hoek's type material available. We are also grateful to the following colleagues who kindly provided pycnogonid samples: Gunther Forsterra and Dr Verena Haussermann (Huinay Scientific Field Station, Chile), Dr Javier Sellanes Lopez (Universidad Catolica del Norte, Facultad de Ciencias del Mar, Coquimbo, Chile), Dr Vladimir Laptikhovsky (Falkland Islands Fisheries Department), and Michael Schrodl (ZSM). We thank Stefan Friedrich (ZSM) for expert technical assistance and collection management. Special thanks also go to the Yepayek crew: German Coronado, Don Victor Munoz Aguero, and Guillermo Igor Almonacid. In addition, we thank two anonymous referees for their helpful comments and suggestions. This study was supported by a graduate student stipend (Graduiertenstipendium; BayEFG) to A.Weis, travel funds from GeoBioCenterLMU to R.Melzer, and a grant by Sealife Center Munich. F.Leese was supported by DFG grant LE 2323/2 within the DFG priority programme 1158. This article is no.79 from the Huinay Scientific Field Station.</t>
  </si>
  <si>
    <t>0024-4082</t>
  </si>
  <si>
    <t>1096-3642</t>
  </si>
  <si>
    <t>ZOOL J LINN SOC-LOND</t>
  </si>
  <si>
    <t>Zool. J. Linn. Soc.</t>
  </si>
  <si>
    <t>10.1111/zoj.12097</t>
  </si>
  <si>
    <t>AA0JX</t>
  </si>
  <si>
    <t>WOS:000330782500004</t>
  </si>
  <si>
    <t>Everatt, MJ; Bale, JS; Convey, P; Worland, MR; Hayward, SAL</t>
  </si>
  <si>
    <t>Everatt, M. J.; Bale, J. S.; Convey, P.; Worland, M. R.; Hayward, S. A. L.</t>
  </si>
  <si>
    <t>The effect of acclimation temperature on thermal activity thresholds in polar terrestrial invertebrates (vol 59, pg 1057, 2013)</t>
  </si>
  <si>
    <t>JOURNAL OF INSECT PHYSIOLOGY</t>
  </si>
  <si>
    <t>[Everatt, M. J.; Bale, J. S.; Hayward, S. A. L.] Univ Birmingham, Sch Biosci, Birmingham B15 2TT, W Midlands, England; [Convey, P.; Worland, M. R.] British Antarctic Survey, Nat Environm Res Council, Cambridge CB3 0ET, England; [Convey, P.] Univ Malaya, Natl Antarctic Res Ctr, Kuala Lumpur 50603, Malaysia</t>
  </si>
  <si>
    <t>University of Birmingham; UK Research &amp; Innovation (UKRI); Natural Environment Research Council (NERC); NERC British Antarctic Survey; Universiti Malaya</t>
  </si>
  <si>
    <t>Everatt, MJ (corresponding author), Univ Birmingham, Sch Biosci, Birmingham B15 2TT, W Midlands, England.</t>
  </si>
  <si>
    <t>mxe746@bham.ac.uk</t>
  </si>
  <si>
    <t>Convey, Peter/0000-0001-8497-9903; Hayward, Scott/0000-0002-1899-6630</t>
  </si>
  <si>
    <t>0022-1910</t>
  </si>
  <si>
    <t>1879-1611</t>
  </si>
  <si>
    <t>J INSECT PHYSIOL</t>
  </si>
  <si>
    <t>J. Insect Physiol.</t>
  </si>
  <si>
    <t>10.1016/j.jinsphys.2013.11.001</t>
  </si>
  <si>
    <t>Entomology; Physiology; Zoology</t>
  </si>
  <si>
    <t>304KY</t>
  </si>
  <si>
    <t>WOS:000330747000019</t>
  </si>
  <si>
    <t>Kohrs, RA; Lazzara, MA; Robaidek, JO; Santek, DA; Knuth, SL</t>
  </si>
  <si>
    <t>Kohrs, Richard A.; Lazzara, Matthew A.; Robaidek, Jerrold O.; Santek, David A.; Knuth, Shelley L.</t>
  </si>
  <si>
    <t>Global satellite composites-20 years of evolution</t>
  </si>
  <si>
    <t>Satellites; Composite imagery; Algorithm; Parallax</t>
  </si>
  <si>
    <t>CLOUD IMAGERY; WINDS; DRIFT</t>
  </si>
  <si>
    <t>For two decades, the University of Wisconsin Space Science and Engineering Center (SSEC) and the Antarctic Meteorological Research Center (AMRC) have been creating global, regional and hemispheric satellite composites. These composites have proven useful in research, operational forecasting, commercial applications and educational outreach. Using the Man computer Interactive Data System (McIDAS) software developed at SSEC, infrared window composites were created by combining Geostationary Operational Environmental Satellite (GOES), and polar orbiting data from the SSEC Data Center and polar data acquired at McMurdo and Palmer stations, Antarctica. Increased computer processing speed has allowed for more advanced algorithms to address the decision making process for co-located pixels. The algorithms have evolved from a simplistic maximum brightness temperature to those that account for distance from the sub-satellite point, parallax displacement, pixel time and resolution. The composites are the state-of-the-art means for merging/mosaicking satellite imagery. (C) 2013 The Authors. Published by Elsevier B.V. All rights reserved.</t>
  </si>
  <si>
    <t>[Kohrs, Richard A.; Robaidek, Jerrold O.] Univ Wisconsin, Space Sci &amp; Engn Ctr, Madison, WI 53706 USA; [Lazzara, Matthew A.] Univ Wisconsin, Space Sci &amp; Engn Ctr, Antarctic Meteorol Res Ctr, Madison, WI 53706 USA; [Santek, David A.] Univ Wisconsin, Space Sci &amp; Engn Ctr, Cooperat Inst Meteorol Satellite Studies, Madison, WI 53706 USA; [Knuth, Shelley L.] Univ Colorado, Cooperat Inst Res Environm Sci, Boulder, CO 80309 USA</t>
  </si>
  <si>
    <t>University of Wisconsin System; University of Wisconsin Madison; University of Wisconsin System; University of Wisconsin Madison; University of Wisconsin System; University of Wisconsin Madison; University of Colorado System; University of Colorado Boulder</t>
  </si>
  <si>
    <t>Kohrs, RA (corresponding author), Univ Wisconsin, Space Sci &amp; Engn Ctr, 1225 W Dayton St, Madison, WI 53706 USA.</t>
  </si>
  <si>
    <t>Rick.Kohrs@ssec.wisc.edu</t>
  </si>
  <si>
    <t>Lazzara, Matthew/0000-0002-4343-498X; Knuth, Shelley/0000-0001-7249-4773</t>
  </si>
  <si>
    <t>Office of Polar Programs at the National Science Foundation [ANT-0537827, ANT-0838834, ANT-1141908, ARC-0713843]; NOAA [NA10NES4400013]</t>
  </si>
  <si>
    <t>Office of Polar Programs at the National Science Foundation(National Science Foundation (NSF)); NOAA(National Oceanic Atmospheric Admin (NOAA) - USA)</t>
  </si>
  <si>
    <t>The authors wish to thank Nick Bearson at SSEC, David Mikolajczyk at AMRC and the staff of the SSEC Data Center for their support of these endeavors. This material is based upon work supported by the Office of Polar Programs at the National Science Foundation ANT-0537827, ANT-0838834, ANT-1141908, and ARC-0713843, and NOAA grant NA10NES4400013.</t>
  </si>
  <si>
    <t>10.1016/j.atmosres.2013.07.023</t>
  </si>
  <si>
    <t>296RR</t>
  </si>
  <si>
    <t>WOS:000330203600002</t>
  </si>
  <si>
    <t>Gogliettino, M; Riccio, A; Balestrieri, M; Cocca, E; Facchiano, A; D'Arco, TM; Tesoro, C; Rossi, M; Palmieri, G</t>
  </si>
  <si>
    <t>Gogliettino, Marta; Riccio, Alessia; Balestrieri, Marco; Cocca, Ennio; Facchiano, Angelo; D'Arco, Teresa M.; Tesoro, Clara; Rossi, Mose; Palmieri, Gianna</t>
  </si>
  <si>
    <t>A novel class of bifunctional acylpeptide hydrolases - potential role in the antioxidant defense systems of the Antarctic fish Trematomus bernacchii</t>
  </si>
  <si>
    <t>FEBS JOURNAL</t>
  </si>
  <si>
    <t>acylpeptide hydrolase; Antarctic fish; antioxidant defense system; molecular modeling; protein homeostasis</t>
  </si>
  <si>
    <t>OXIDIZED PROTEIN HYDROLASE; ACYL PEPTIDE-HYDROLASE; PROLYL OLIGOPEPTIDASE; OXIDATIVE STRESS; TEMPERATURE; PURIFICATION; ADAPTATION; DEGRADES; POLAR; IDENTIFICATION</t>
  </si>
  <si>
    <t>Oxidative challenge is an important factor affecting the adaptive strategies of Antarctic fish, but data on antioxidant defenses in these organisms remain scarce. In this context, a key role could be played by acylpeptide hydrolase (APEH), which was recently hypothesized to participate in the degradation of oxidized and cytotoxic proteins, although its physiological function is still not fully clarified. This study represents the first report on piscine members of this enzyme family, specifically from the Antarctic teleost Trematomusbernacchii. The cDNAs corresponding to two apeh genes were isolated, and the respective proteins were functionally and structurally characterized with the aim of understanding the biological significance of these proteases in Antarctic fish. Both APEH isoforms (APEH-1(Tb) and APEH-2(Tb)) showed distinct temperature-kinetic behavior, with significant differences in the K-m values. Moreover, beside the typical acylpeptide hydrolase activity, APEH-2(Tb) showed remarkable oxidized protein endohydrolase activity towards oxidized BSA, suggesting that this isoform could play a homeostatic role in removing oxidatively damaged proteins, sustaining the antioxidant defense systems. The 3D structures of both APEHs were predicted, and a possible relationship was found between the substrate specificity/affinity and the marked changes in the number of charged residues and hydrophobicity properties surrounding their catalytic sites. Our results demonstrated the occurrence of two APEH isoforms in T.bernacchii, belonging to different phylogenetic clusters, identified for the first time, and showing distinct molecular and temperature-kinetic behaviors. In addition, we suggest that the members of the new cluster APEH-2' could participate in reactive oxygen species detoxification as phase3 antioxidant enzymes, enhancing the protein degradation machinery.</t>
  </si>
  <si>
    <t>[Gogliettino, Marta; Riccio, Alessia; Balestrieri, Marco; Cocca, Ennio; D'Arco, Teresa M.; Tesoro, Clara; Rossi, Mose; Palmieri, Gianna] Natl Res Council CNR IBP, Inst Prot Biochem, Naples, Italy; [Gogliettino, Marta; Riccio, Alessia; Balestrieri, Marco; Cocca, Ennio; D'Arco, Teresa M.; Tesoro, Clara; Rossi, Mose; Palmieri, Gianna] Natl Res Council CNR IBP, Inst Biosci &amp; BioResources, Naples, Italy; [Gogliettino, Marta; Riccio, Alessia; Balestrieri, Marco; Cocca, Ennio; D'Arco, Teresa M.; Tesoro, Clara; Rossi, Mose; Palmieri, Gianna] CNR IBBR, Naples, Italy; [Facchiano, Angelo] Natl Res Council CNR ISA, Inst Food Sci, Avellino, Italy</t>
  </si>
  <si>
    <t>Consiglio Nazionale delle Ricerche (CNR); Istituto di Biochimica delle Proteine (IBP-CNR); Consiglio Nazionale delle Ricerche (CNR); Istituto di Bioscienze e Biorisorse (IBBR-CNR); Istituto di Biochimica delle Proteine (IBP-CNR); Consiglio Nazionale delle Ricerche (CNR); Istituto di Bioscienze e Biorisorse (IBBR-CNR); Consiglio Nazionale delle Ricerche (CNR); Istituto di Scienze dell' Alimentazione (ISA-CNR)</t>
  </si>
  <si>
    <t>Cocca, E (corresponding author), CNR, IBP, Via Pietro Castellino 111, I-80131 Naples, Italy.</t>
  </si>
  <si>
    <t>ennio.cocca@ibbr.cnr.it</t>
  </si>
  <si>
    <t>Palmieri, Gianna/S-4872-2017; Facchiano, Angelo/IVH-4978-2023; Balestrieri, Marco/G-1847-2011; Palmieri, Gianna/AAW-6176-2020; Facchiano, Angelo/K-3375-2012; Cocca, Ennio/AAY-3817-2020</t>
  </si>
  <si>
    <t>Balestrieri, Marco/0000-0003-4343-2148; Palmieri, Gianna/0000-0002-9007-4075; Facchiano, Angelo/0000-0002-7077-4912; Cocca, Ennio/0000-0003-2432-9663</t>
  </si>
  <si>
    <t>project (PNRA) [2010/A1.08]; FLAGSHIP 'InterOmics' project [PB.P05]; Italian MIUR organization; Italian CNR organization</t>
  </si>
  <si>
    <t>project (PNRA); FLAGSHIP 'InterOmics' project; Italian MIUR organization; Italian CNR organization</t>
  </si>
  <si>
    <t>The authors wish to thank V. Carratore for expert assistance with protein sequencing, and G. Monti for technical support with the biological sample preparations. This study was conducted in the framework of the project (PNRA) 2010/A1.08 'Role of oxygen in evolution - genes and proteins of polar marine organisms'. We gratefully acknowledge the logistical support provided to our research team at Mario Zucchelli Station. A. Facchiano acknowledges the partial support of the FLAGSHIP 'InterOmics' project (PB.P05), funded by the Italian MIUR and CNR organizations.</t>
  </si>
  <si>
    <t>1742-464X</t>
  </si>
  <si>
    <t>1742-4658</t>
  </si>
  <si>
    <t>FEBS J</t>
  </si>
  <si>
    <t>FEBS J.</t>
  </si>
  <si>
    <t>10.1111/febs.12610</t>
  </si>
  <si>
    <t>302GO</t>
  </si>
  <si>
    <t>WOS:000330591100030</t>
  </si>
  <si>
    <t>Murray, SA; Hoppenrath, M; Orr, RJS; Bolch, C; John, U; Diwan, R; Yauwenas, R; Harwood, T; de Salas, M; Neilan, B; Hallegraeff, G</t>
  </si>
  <si>
    <t>Murray, Shauna A.; Hoppenrath, Mona; Orr, Russell J. S.; Bolch, Christopher; John, Uwe; Diwan, Rutuja; Yauwenas, Rouna; Harwood, Tim; de Salas, Miguel; Neilan, Brett; Hallegraeff, Gustaaf</t>
  </si>
  <si>
    <t>Alexandrium diversaporum sp. nov., a new non-saxitoxin producing species: Phylogeny, morphology and sxtA genes</t>
  </si>
  <si>
    <t>HARMFUL ALGAE</t>
  </si>
  <si>
    <t>Alexandrium diversaporum; Phylogenetics; PSP; PST; Saxitoxin; sxtA; Systematics</t>
  </si>
  <si>
    <t>PARALYTIC SHELLFISH TOXINS; DINOFLAGELLATE GENUS ALEXANDRIUM; HARMFUL ALGAL BLOOMS; GYMNODINIUM-CATENATUM; MINUTUM DINOPHYCEAE; COASTAL WATERS; DIVERSITY; CATENELLA; COMPLEX; BIOGEOGRAPHY</t>
  </si>
  <si>
    <t>Species of the PST producing planktonic marine dinoflagellate genus Alexandrium have been intensively scrutinised, and it is therefore surprising that new taxa can still be found. Here we report a new species, Alexandrium diversaporum nov. sp., isolated from spherical cysts found at two sites in Tasmania, Australia. This species differs in its morphology from all previously reported Alexandrium species, possessing a unique combination of morphological features: the presence of 2 size classes of thecal pores on the cell surface, a medium cell size, the size and shape of the 6 '', 1', 2'''' and Sp plates, the lack of a ventral pore, a lack of anterior and posterior connecting pores, and a lack of chain formation. We determined the relationship of the two strains to other species of Alexandrium based on an alignment of concatenated SSU-ITS1, 5.8S, ITS2 and partial LSU ribosomal RNA sequences, and found A. diversaporum to be a sister group to Alexandrium leei with high support. A. leei shares several morphological features, including the relative size and shapes of the 6 '', 1', 2'''' and Sp plates and the fact that some strains of A. leei have two size classes of thecal pores. We examined A. diversaporum strains for saxitoxin production and found them to be non-toxic. The species lacked sequences for the domain A4 of sxtA, as has been previously found for non-saxitoxin producing species of Alexandrium. (C) 2013 Elsevier B.V. All rights reserved.</t>
  </si>
  <si>
    <t>[Murray, Shauna A.; Diwan, Rutuja; Yauwenas, Rouna] Sydney Inst Marine Sci, Mosman, NSW, Australia; [Murray, Shauna A.; Neilan, Brett] Univ New S Wales, Sch Biotechnol &amp; Biomol Sci, Sydney, NSW 2052, Australia; [Hoppenrath, Mona] German Ctr Marine Biodivers Res DZMB, Senckenberg Res Inst, D-26382 Wilhelmshaven, Germany; [Orr, Russell J. S.] Univ Oslo, Dept Biosci, Microbial Evolut Res Grp, N-0316 Oslo, Norway; [Bolch, Christopher] Univ Tasmania, Australian Maritime Coll, Natl Ctr Marine Conservat &amp; Resource Sustainabil, Launceston, Tas 7250, Australia; [John, Uwe] Helmholtz Zentrum Polar &amp; Meeresforsch, Alfred Wegener Institut, Sect Ecol Chem, Bremerhaven, Germany; [Harwood, Tim] Cawthron Inst, Nelson 7042, New Zealand; [de Salas, Miguel] Univ Tasmania, Tasmanian Herbarium, Hobart, Tas 7001, Australia; [Hallegraeff, Gustaaf] Univ Tasmania, Inst Marine &amp; Antarctic Studies, Hobart, Tas 7001, Australia</t>
  </si>
  <si>
    <t>Sydney Institute of Marine Science; University of New South Wales Sydney; Senckenberg Gesellschaft fur Naturforschung (SGN); University of Oslo; University of Tasmania; Australian Maritime College; Helmholtz Association; Alfred Wegener Institute, Helmholtz Centre for Polar &amp; Marine Research; Cawthron Institute; University of Tasmania; University of Tasmania</t>
  </si>
  <si>
    <t>Murray, SA (corresponding author), Univ Technol Sydney, Plant Funct Biol &amp; Climate Change Cluster, Sydney, NSW 2007, Australia.</t>
  </si>
  <si>
    <t>s.murray@unsw.edu.au</t>
  </si>
  <si>
    <t>Murray, Shauna/K-5781-2015; Murray, Shauna/JAN-6668-2023; Bolch, Christopher J/J-7619-2014; Harwood, Tim/H-3636-2012; Neilan, Brett A/I-5767-2012; Hallegraeff, Gustaaf/C-8351-2013; John, Uwe/S-3009-2016</t>
  </si>
  <si>
    <t>Murray, Shauna/0000-0001-7096-1307; Neilan, Brett A/0000-0001-6113-772X; Hallegraeff, Gustaaf/0000-0001-8464-7343; John, Uwe/0000-0002-1297-4086</t>
  </si>
  <si>
    <t>Australian Research Council [DP120103199]</t>
  </si>
  <si>
    <t>This study was funded by the Australian Research Council Grants DP120103199 to SM and UJ. This is contribution number 113 from the Sydney Institute of Marine Science.[SS]</t>
  </si>
  <si>
    <t>1568-9883</t>
  </si>
  <si>
    <t>1878-1470</t>
  </si>
  <si>
    <t>Harmful Algae</t>
  </si>
  <si>
    <t>10.1016/j.hal.2013.09.005</t>
  </si>
  <si>
    <t>300XO</t>
  </si>
  <si>
    <t>WOS:000330497500007</t>
  </si>
  <si>
    <t>Wang, L; Zhuang, YY; Zhang, H; Lin, X; Lin, SJ</t>
  </si>
  <si>
    <t>Wang, Lu; Zhuang, Yunyun; Zhang, Huan; Lin, Xin; Lin, Senjie</t>
  </si>
  <si>
    <t>DNA barcoding species in Alexandrium tamarense complex using ITS and proposing designation of five species</t>
  </si>
  <si>
    <t>Alexandrium tamarense complex; ITS rDNA; DNA barcode; Polymorphism; Genetic distance; Phylogeny</t>
  </si>
  <si>
    <t>GENUS ALEXANDRIUM; MOLECULAR QUANTIFICATION; NORTH-AMERICAN; RIBOSOMAL DNA; DINOPHYCEAE; DIVERSITY; SEQUENCE; MORPHOLOGY; CATENELLA; TIME</t>
  </si>
  <si>
    <t>Alexandrium species can be very difficult to identify, with A. catenella, A. tamarense, and A. fundyense that compose Alexandrium tamarense species complex (Atama complex) as a distinct example. DNA barcoding is promising to offer a solution but remains to be established. In this study, we examined the utility of ITS in resolving the Atama species complex, by analyzing previously studied strains plus unstudied Chinese strains within the LSU- and SSU-rDNA based group/clade frameworks recently established. We further investigated the presence of intragenomic polymorphism and its implications in species delimitation. Similar to the previous SSU and LSU results, our ITS-based phylogenies divided the complex to five clusters, but with longer and evener branch lengths between the clusters. Based on the ITS region, the inter-cluster genetic distances (p = 0.134-0.216) were consistently and substantially greater than intra-cluster genetic distances (p = 0.000-0.066), with an average inter-cluster (species) distance (p = 0.167) 7.6-fold of the average intraspecific difference (p = 0.022), qualifying the approximately 510-520 bp ITS as a DNA barcode for Atama complex. We detected varying levels of intragenomic polymorphism in ITS but found that this did not impact the taxon-resolving power of this gene. With this DNA barcode, the new East and South China Sea strains and one Antarctic strain were placed in Clade IIC/Group IV, even though there were 7-10 polymorphic sites in their ITS, in contrast to none in SSU. Furthermore, our results suggest that the five clusters are recognizable as distinct species according to the phylogenetic species concept. Based on the phylogenetic placements of the type-locality strains of the existing three morphospecies and the dominant localities of other strains, we propose that Group I/Clade I be designated as A. fundyense, Group III/Clade IIB as A. tamarense, Group IV/Clade IIC as A. catenella, Group II/Clade IIA as A. mediterranis, and Group V/Clade IID as A. australis. (C) 2013 Elsevier B.V. All rights reserved.</t>
  </si>
  <si>
    <t>[Wang, Lu; Lin, Xin; Lin, Senjie] Xiamen Univ, Marine Biodivers &amp; Global Change Res Ctr, Xiamen 361005, Peoples R China; [Wang, Lu; Lin, Xin; Lin, Senjie] Xiamen Univ, State Key Lab Marine Environm Sci, Xiamen 361005, Peoples R China; [Zhuang, Yunyun; Zhang, Huan] Univ Connecticut, Dept Marine Sci, Groton, CT 06340 USA</t>
  </si>
  <si>
    <t>Xiamen University; Xiamen University; University of Connecticut</t>
  </si>
  <si>
    <t>Lin, SJ (corresponding author), Xiamen Univ, Marine Biodivers &amp; Global Change Res Ctr, Xiamen 361005, Peoples R China.</t>
  </si>
  <si>
    <t>senjie.lin@uconn.edu</t>
  </si>
  <si>
    <t>zhang, yaqun/J-8478-2014; Lin, Senjie/A-7466-2011; Guo, chentao/G-7320-2016</t>
  </si>
  <si>
    <t>1000-Talent-Plan award; Natural Science Foundation of China [41176091]</t>
  </si>
  <si>
    <t>1000-Talent-Plan award; Natural Science Foundation of China(National Natural Science Foundation of China (NSFC))</t>
  </si>
  <si>
    <t>We wish to thank the Collection Center of Marine Bacteria and Algae (CCMBA), Xiamen University, China for providing the new Asian strains of Atama complex. Dr. Haifeng Gu from the Third Institution of Oceanology, State Oceanographic Administration, China kindly provided help on the early data analysis. We are also indebted to the two anonymous reviewers for their constructive critical comments that resulted in significant improvement of the manuscript. The work was supported by the 1000-Talent-Plan award and the Natural Science Foundation grant 41176091 of China. The sequences obtained in this study have been deposited in GenBank under the accession numbers KF646307-646520 [SS].</t>
  </si>
  <si>
    <t>10.1016/j.hal.2013.10.013</t>
  </si>
  <si>
    <t>WOS:000330497500012</t>
  </si>
  <si>
    <t>Wright, AK; Ponganis, KV; McDonald, BI; Ponganis, PJ</t>
  </si>
  <si>
    <t>Wright, Alexandra K.; Ponganis, Katherine V.; McDonald, Birgitte I.; Ponganis, Paul J.</t>
  </si>
  <si>
    <t>Heart rates of emperor penguins diving at sea: implications for oxygen store management</t>
  </si>
  <si>
    <t>Aerobic dive limit; Diving physiology; Electrocardiogram; ECG; Emperor penguin; Gas exchange; Heart rate; Oxygen store management; Peripheral perfusion</t>
  </si>
  <si>
    <t>AEROBIC DIVE LIMIT; KING PENGUINS; METABOLIC-RATE; STROKE RATES; DEPLETION; EXERCISE; PERFORMANCE; ANTARCTICA; SATURATION; ENERGETICS</t>
  </si>
  <si>
    <t>Heart rate (f(H)) contributes to control of blood oxygen (O-2) depletion through regulation of the magnitude of pulmonary gas exchange and of peripheral blood flow in diving vertebrates such as penguins. Therefore, we measured H during foraging trip dives of emperor penguins Aptenodytes forsteri equipped with digital electrocardiogram (ECG) recorders and time depth recorders (TDRs). Median dive f(H) (total heartbeats/duration, 64 beats min(-1)) was higher than resting H (56 beats min(-1)) and was negatively related to dive duration. Median dive f(H) in dives greater than the 5.6 min aerobic dive limit (ADL; dive duration associated with the onset of a net accumulation of lactic acid above resting levels) was significantly less than the median dive f(H) of dives less than the ADL (58 vs. 66 beats min(-1)). f(H) profile patterns differed between shallow (&lt;50 m) and deep dives (&gt;250 m), with values usually declining to levels near resting f(H) in shallow, short-duration dives, and to levels as low as 10 beats min(-1) during the deepest segments of deep dives. The total number of heartbeats in a dive was variable in shallow dives and consistently high in deep dives. A true bradycardia (f(H) below resting levels) during segments of 31% of shallow and deep dives of emperor penguins is consistent with reliance on myoglobin-bound O-2 stores for aerobic muscle metabolism that is especially accentuated during the severe bradycardias of deep dives. Although f(H) is low during the deepest segments of deep dives, the total number and distribution of heartbeats in deep, long dives suggest that pulmonary gas exchange and peripheral blood flow primarily occur at shallow depths.</t>
  </si>
  <si>
    <t>[Wright, Alexandra K.; Ponganis, Katherine V.; McDonald, Birgitte I.; Ponganis, Paul J.] Univ Calif San Diego, Scripps Inst Oceanog, Ctr Marine Biotechnol &amp; Biomed, La Jolla, CA 92093 USA</t>
  </si>
  <si>
    <t>Wright, AK (corresponding author), Univ Calif San Diego, Scripps Inst Oceanog, Ctr Marine Biotechnol &amp; Biomed, La Jolla, CA 92093 USA.</t>
  </si>
  <si>
    <t>awright@ucsd.edu</t>
  </si>
  <si>
    <t>McDonald, Birgitte I/I-3602-2019</t>
  </si>
  <si>
    <t>McDonald, Birgitte I/0000-0001-5028-066X; Wright, Alexandra/0000-0002-7794-5008</t>
  </si>
  <si>
    <t>National Science Foundation [09-44220]; NSF Graduate Research Fellowship Program; Office of Polar Programs (OPP); Directorate For Geosciences [0944220] Funding Source: National Science Foundation</t>
  </si>
  <si>
    <t>National Science Foundation(National Science Foundation (NSF)); NSF Graduate Research Fellowship Program(National Science Foundation (NSF)); Office of Polar Programs (OPP); Directorate For Geosciences(National Science Foundation (NSF)NSF - Directorate for Geosciences (GEO))</t>
  </si>
  <si>
    <t>Acknowledgements. We thank G.L. Kooyman, G. Marshall, J. Goldbogen, M. Tift, and M. Fowler for assistance in the field, and J.U. Meir for use of H data from the isolated dive hole study. We greatly appreciate the support of the United States Antarctic Program and McMurdo Station staff, and in particular, the efforts of the Berg Field Center, Fixed Wing Operations, and the pilots/ crew of Ken Borek Air. This work was supported by National Science Foundation grant 09-44220. A. K. W. was supported by the NSF Graduate Research Fellowship Program.</t>
  </si>
  <si>
    <t>10.3354/meps10592</t>
  </si>
  <si>
    <t>298WZ</t>
  </si>
  <si>
    <t>WOS:000330356500007</t>
  </si>
  <si>
    <t>Shi, YL; Wang, QF; Hou, YH; Hong, YY; Han, X; Yi, JL; Qu, JJ; Lu, Y</t>
  </si>
  <si>
    <t>Shi, Yonglei; Wang, Quanfu; Hou, Yanhua; Hong, Yanyan; Han, Xiao; Yi, Jiali; Qu, Junjie; Lu, Yi</t>
  </si>
  <si>
    <t>Molecular cloning, expression and enzymatic characterization of glutathione S-transferase from Antarctic sea-ice bacteria Pseudoalteromonas sp ANT506</t>
  </si>
  <si>
    <t>MICROBIOLOGICAL RESEARCH</t>
  </si>
  <si>
    <t>Glutathione S-transferase; Sea-ice; Antarctic; Expression; Characterization</t>
  </si>
  <si>
    <t>ESCHERICHIA-COLI; PROTEUS-MIRABILIS; OXIDATIVE STRESS; PURIFICATION; OVEREXPRESSION; SUPERFAMILY; TEMPERATURE; INHIBITION; PROTECTION; GROWTH</t>
  </si>
  <si>
    <t>A glutathione S-transferase (GST) gene from Antarctic sea-ice bacteria Pseudoalteromonas sp. ANT506 (namely PsGST), was cloned and expressed in Escherichia coli. The open reading frame of PsGST comprised 654 bp encoding a protein of 217 amino acids with a calculated molecular size of 24.3 kDa. The rPsGST possesses the conserved amino acid defining the binding sites of glutathione (G-site) and substrate binding pocket (H-site) in GST N_3 family. PsGST was expressed in E. coli and the recombinant PsGST (rPsGST) was purified by Ni-affinity chromatography with a high specific activity of 74.21 U/mg. The purified rPsGST showed maximum activity at 40 degrees C and exhibited 14.2% activity at 0 degrees C. It was completely inactivated at 50 degrees C for 40 mm. These results indicated that rPsGST was a typical cold active GST with low thermostability. The enzyme was little affected by H2O2 and Triton X-100, and 50.2% of the remaining activity was detected in the presence of high salt concentrations (2 M NaCl). The enzymatic K-m values for CDNB and GSH was 0.22 mM and 1.01 mM, respectively. These specific enzyme properties may be related to the survival environment of Antarctic sea ice bacteria. (C) 2013 Elsevier GmbH. All rights reserved.</t>
  </si>
  <si>
    <t>[Shi, Yonglei; Wang, Quanfu; Hou, Yanhua; Hong, Yanyan; Han, Xiao; Yi, Jiali; Qu, Junjie; Lu, Yi] Harbin Inst Technol, Sch Marine &amp; Technol, Weihai 264209, Peoples R China</t>
  </si>
  <si>
    <t>Harbin Institute of Technology</t>
  </si>
  <si>
    <t>Wang, QF (corresponding author), Harbin Inst Technol, Sch Marine &amp; Technol, Weihai 264209, Peoples R China.</t>
  </si>
  <si>
    <t>wangquanfu2000@126.com</t>
  </si>
  <si>
    <t>瞿俊杰, WWOX/ISU-6460-2023; wang, quan fu/K-9703-2018</t>
  </si>
  <si>
    <t>wang, quan fu/0000-0002-3885-5464</t>
  </si>
  <si>
    <t>National Natural Science Foundation of China [31100037]; Natural Science Foundation of Shandong Province [ZR2011CM003]; Natural Scientific Research Innovation Foundation in Harbin Institute of Technology [HIT-NSRIF201011]</t>
  </si>
  <si>
    <t>National Natural Science Foundation of China(National Natural Science Foundation of China (NSFC)); Natural Science Foundation of Shandong Province(Natural Science Foundation of Shandong Province); Natural Scientific Research Innovation Foundation in Harbin Institute of Technology(Harbin Institute of Technology)</t>
  </si>
  <si>
    <t>This study was supported by National Natural Science Foundation of China (31100037), the Natural Science Foundation of Shandong Province (ZR2011CM003), and Natural Scientific Research Innovation Foundation in Harbin Institute of Technology (HIT-NSRIF201011).</t>
  </si>
  <si>
    <t>0944-5013</t>
  </si>
  <si>
    <t>MICROBIOL RES</t>
  </si>
  <si>
    <t>Microbiol. Res.</t>
  </si>
  <si>
    <t>2-3</t>
  </si>
  <si>
    <t>10.1016/j.micres.2013.06.012</t>
  </si>
  <si>
    <t>298PC</t>
  </si>
  <si>
    <t>WOS:000330335600009</t>
  </si>
  <si>
    <t>Zhang, ZW; Zhong, YS; Tian, JW; Yang, QX; Zhao, W</t>
  </si>
  <si>
    <t>Zhang Zhiwei; Zhong Yisen; Tian Jiwei; Yang Qingxuan; Zhao Wei</t>
  </si>
  <si>
    <t>Estimation of eddy heat transport in the global ocean from Argo data</t>
  </si>
  <si>
    <t>ACTA OCEANOLOGICA SINICA</t>
  </si>
  <si>
    <t>eddy heat transport; Argo; mesoscale eddy; global ocean</t>
  </si>
  <si>
    <t>NORTH PACIFIC; FLUXES; TEMPERATURE; VARIABILITY; EDDIES; FLOW</t>
  </si>
  <si>
    <t>The Argo data are used to calculate eddy (turbulence) heat transport (EHT) in the global ocean and analyze its horizontal distribution and vertical structure. We calculate the EHT by averaging all the v', T' profiles within each 20 x 2 bin. The velocity and temperature anomalies are obtained by removing their climatological values from the Argo instantaneous values respectively. Through the Student's t-test and an error evaluation, we obtained a total of 87% Argo bins with significant depth-integrated EHTs (D-EHTs). The results reveal a positive-and-negative alternating D-EHT pattern along the western boundary currents (WBC) and Antarctic Circumpolar Current (ACC). The zonally-integrated D-EHT (ZI-EHT) of the global ocean reaches 0.12 PW in the northern WBC band and -0.38 PW in the ACC band respectively. The strong ZI-EHT across the ACC in the global ocean is mainly caused by the southern Indian Ocean. The ZI-EHT in the above two bands accounts for a large portion of the total oceanic heat transport, which may play an important role in regulating the climate. The analysis of vertical structures of the EHT along the 35 degrees N and 45 degrees S section reveals that the oscillating EHT pattern can reach deep in the northern WBC regions and the Agulhas Return Current (ARC) region. It also shows that the strong EHT could reach 600 m in the WBC regions and 1 000 m in the ARC region, with the maximum mainly located between 100 and 400 m depth. The results would provide useful information for improving the parameterization scheme in models. Keywords: eddy heat transport, Argo, mesoscale eddy, global ocean</t>
  </si>
  <si>
    <t>[Zhang Zhiwei; Tian Jiwei; Yang Qingxuan; Zhao Wei] Ocean Univ China, Key Lab Phys Oceanog, Qingdao 266100, Peoples R China; [Zhong Yisen] Georgia Inst Technol, Sch Earth &amp; Atmospher Sci, Atlanta, GA 30332 USA</t>
  </si>
  <si>
    <t>Ocean University of China; University System of Georgia; Georgia Institute of Technology</t>
  </si>
  <si>
    <t>Zhang, ZW (corresponding author), Ocean Univ China, Key Lab Phys Oceanog, Qingdao 266100, Peoples R China.</t>
  </si>
  <si>
    <t>zwzhangouc@gmail.com</t>
  </si>
  <si>
    <t>The Major Program of the National Natural Science Foundation of China [40890153]; The National High Technology Research and Development Program of China (863 Program) [2008AA09A402]</t>
  </si>
  <si>
    <t>The Major Program of the National Natural Science Foundation of China(National Natural Science Foundation of China (NSFC)); The National High Technology Research and Development Program of China (863 Program)(National High Technology Research and Development Program of China)</t>
  </si>
  <si>
    <t>Foundation item: The Major Program of the National Natural Science Foundation of China under contact No. 40890153; The National High Technology Research and Development Program of China (863 Program) under contact No. 2008AA09A402.</t>
  </si>
  <si>
    <t>0253-505X</t>
  </si>
  <si>
    <t>1869-1099</t>
  </si>
  <si>
    <t>ACTA OCEANOL SIN</t>
  </si>
  <si>
    <t>Acta Oceanol. Sin.</t>
  </si>
  <si>
    <t>10.1007/s13131-014-0421-x</t>
  </si>
  <si>
    <t>295BT</t>
  </si>
  <si>
    <t>WOS:000330092300005</t>
  </si>
  <si>
    <t>Björk, MM; Fransson, A; Torstensson, A; Chierici, M</t>
  </si>
  <si>
    <t>Bjork, M. Mattsdotter; Fransson, A.; Torstensson, A.; Chierici, M.</t>
  </si>
  <si>
    <t>Ocean acidification state in western Antarctic surface waters: controls and interannual variability</t>
  </si>
  <si>
    <t>M-CRESOL PURPLE; CARBON-DIOXIDE; AMUNDSEN SEA; SEAWATER; MARINE; SATELLITE; IRON; CO2; PH; UNDERSATURATION</t>
  </si>
  <si>
    <t>During four austral summers (December to January) from 2006 to 2010, we investigated the surface-water carbonate system and its controls in the western Antarctic Ocean. Measurements of total alkalinity (A(T)), pH and total inorganic carbon (C-T) were investigated in combination with high-frequency measurements on sea-surface temperature (SST), salinity and Chl a. In all parameters we found large interannual variability due to differences in sea-ice concentration, physical processes and primary production. The main result from our observations suggests that primary production was the major control on the calcium carbonate saturation state (Omega) in austral summer for all years. This was mainly reflected in the covariance of pH and Chl a. In the sea-ice-covered parts of the study area, pH and Omega were generally low, coinciding with low Chl a concentrations. The lowest pH in situ and lowest aragonite saturation (Omega(Ar) similar to 1.0) were observed in December 2007 in the coastal Amundsen and Ross seas near marine outflowing glaciers. These low Omega and high pH values were likely influenced by freshwater dilution. Comparing 2007 and 2010, the largest Omega(Ar) difference was found in the eastern Ross Sea, where Omega(Ar) was about 1.2 units lower in 2007 than in 2010. This was mainly explained by differences in Chl a (i.e primary production). In 2010 the surface water along the Ross Sea shelf was the warmest and most saline, indicating upwelling of nutrient and CO2-rich sub-surface water, likely promoting primary production leading to high Omega and pH. Results from multivariate analysis agree with our observations showing that changes in Chl a had the largest influence on the Omega(Ar) variability. The future changes of Omega(Ar) were estimated using reported rates of the oceanic uptake of anthropogenic CO2, combined with our data on total alkalinity, SST and salinity (summer situation). Our study suggests that the Amundsen Sea will become undersaturated with regard to aragonite about 40 yr sooner than predicted by models.</t>
  </si>
  <si>
    <t>[Bjork, M. Mattsdotter; Chierici, M.] Univ Gothenburg, Dept Chem &amp; Mol Biol, S-41296 Gothenburg, Sweden; [Fransson, A.] Norwegian Polar Res Inst, Fram Ctr, Tromso, Norway; [Fransson, A.] Univ Gothenburg, Dept Earth Sci, Gothenburg, Sweden; [Torstensson, A.] Univ Gothenburg, Dept Biol &amp; Environm Sci, S-40530 Gothenburg, Sweden; [Chierici, M.] Inst Marine Res, Tromso, Norway</t>
  </si>
  <si>
    <t>University of Gothenburg; Norwegian Polar Institute; University of Gothenburg; University of Gothenburg; Institute of Marine Research - Norway</t>
  </si>
  <si>
    <t>Chierici, M (corresponding author), Univ Gothenburg, Dept Chem &amp; Mol Biol, S-41296 Gothenburg, Sweden.</t>
  </si>
  <si>
    <t>melissa@chem.gu.se</t>
  </si>
  <si>
    <t>Torstensson, Anders/0000-0002-8283-656X</t>
  </si>
  <si>
    <t>Swedish Research Council [2009-2994, 2008-6228]; Swedish Research Council Formas; Swedish National Space Board</t>
  </si>
  <si>
    <t>Swedish Research Council(Swedish Research Council); Swedish Research Council Formas(Swedish Research Council Formas); Swedish National Space Board(Swedish National Space Agency (SNSA))</t>
  </si>
  <si>
    <t>This is a contribution to the Remote Sensing Carbon UptakeE, RESCUE, (dnrs: 96/05 and 100/09) projects funded by the Swedish National Space Board, Swedish Research Council projects (2009-2994; 2008-6228; 2009-2994), and the Swedish Research Council Formas. We thank the three anonymous reviewers for constructive comments, which have greatly improved the manuscript. We are also grateful for the excellent support given by the captain and crew onboard the IB Oden. We thank the Swedish Polar Research Secretariat and the US National Science Foundation for preparative and logistical support for the Oden Southern Ocean expeditions.</t>
  </si>
  <si>
    <t>10.5194/bg-11-57-2014</t>
  </si>
  <si>
    <t>292VM</t>
  </si>
  <si>
    <t>WOS:000329930700004</t>
  </si>
  <si>
    <t>Suen, JY; Fang, MT; Lubin, PM</t>
  </si>
  <si>
    <t>Suen, Jonathan Y.; Fang, Michael T.; Lubin, Philip M.</t>
  </si>
  <si>
    <t>Global Distribution of Water Vapor and Cloud Cover-Sites for High-Performance THz Applications</t>
  </si>
  <si>
    <t>IEEE TRANSACTIONS ON TERAHERTZ SCIENCE AND TECHNOLOGY</t>
  </si>
  <si>
    <t>Atmospheric modeling; radio astronomy; satellite communication; satellite ground station; submillimeter wave communication; submillimeter wave propagation</t>
  </si>
  <si>
    <t>Absorption of terahertz radiation by atmospheric water vapor is a serious impediment for radio astronomy and for long-distance communications. Transmission in the THz regime is dependent almost exclusively on atmospheric precipitable water vapor (PWV). Though much of the Earth has PWV that is too high for good transmission above 200 GHz, there are a number of dry sites with very low attenuation. We performed a global analysis of PWV with high-resolution measurements from the Moderate Resolution Imaging Spectrometer (MODIS) on two NASA Earth Observing System (EOS) satellites over the year of 2011. We determined PWV and cloud cover distributions and then developed a model to find transmission and atmospheric radiance as well as necessary integration times in the various windows. We produced global maps over the common THz windows for astronomical and satellite communications scenarios. Notably, we show that, up through 1 THz, systems could be built in excellent sites of Chile, Greenland, and the Tibetan Plateau, while Antarctic performance is good to 1.6 THz. For a ground-to-space communication link up through 847 GHz, we found several sites in the Continental United States where mean atmospheric attenuation is less than 40 dB, which is not an insurmountable challenge for a link.</t>
  </si>
  <si>
    <t>[Suen, Jonathan Y.] Univ Calif Santa Barbara, Dept Elect &amp; Comp Engn, Santa Barbara, CA 93106 USA; [Fang, Michael T.; Lubin, Philip M.] Univ Calif Santa Barbara, Dept Phys, Santa Barbara, CA 93106 USA</t>
  </si>
  <si>
    <t>University of California System; University of California Santa Barbara; University of California System; University of California Santa Barbara</t>
  </si>
  <si>
    <t>Suen, JY (corresponding author), Univ Calif Santa Barbara, Dept Elect &amp; Comp Engn, Santa Barbara, CA 93106 USA.</t>
  </si>
  <si>
    <t>jsuen@ece.ucsb.edu; mfang@umail.ucsb.edu; lubin@deepspace.ucsb.edu</t>
  </si>
  <si>
    <t>Suen, Jonathan/W-8377-2019</t>
  </si>
  <si>
    <t>Suen, Jonathan/0000-0002-9803-5900</t>
  </si>
  <si>
    <t>NASA [NNX10AT93H]; Center for Scientific Computing at the CNSI; MRL [NSF MRSEC DMR-1121053, NSF CNS-0960316]</t>
  </si>
  <si>
    <t>NASA(National Aeronautics &amp; Space Administration (NASA)); Center for Scientific Computing at the CNSI; MRL</t>
  </si>
  <si>
    <t>This work was supported in part by NASA under California Space Grant NNX10AT93H, the Center for Scientific Computing at the CNSI and MRL under Grant NSF MRSEC DMR-1121053 and Grant NSF CNS-0960316.</t>
  </si>
  <si>
    <t>2156-342X</t>
  </si>
  <si>
    <t>IEEE T THZ SCI TECHN</t>
  </si>
  <si>
    <t>IEEE Trans. Terahertz Sci. Technol.</t>
  </si>
  <si>
    <t>10.1109/TTHZ.2013.2294018</t>
  </si>
  <si>
    <t>Engineering, Electrical &amp; Electronic; Optics; Physics, Applied</t>
  </si>
  <si>
    <t>Engineering; Optics; Physics</t>
  </si>
  <si>
    <t>296FR</t>
  </si>
  <si>
    <t>WOS:000330171100012</t>
  </si>
  <si>
    <t>Figuerola, B; Gordon, DP; Polonio, V; Cristobo, J; Avila, C</t>
  </si>
  <si>
    <t>Figuerola, Blanca; Gordon, Dennis P.; Polonio, Virginia; Cristobo, Javier; Avila, Conxita</t>
  </si>
  <si>
    <t>Cheilostome bryozoan diversity from the southwest Atlantic region: Is Antarctica really isolated?</t>
  </si>
  <si>
    <t>Antarctic Polar Front; Falkland/Malvinas Current; Spatial Patterns; Species Richness; Zoogeography; Marine Invertebrates</t>
  </si>
  <si>
    <t>SOUTHERN-OCEAN; MARINE LIFE; SCOTIA ARC; BIODIVERSITY; BIOGEOGRAPHY; PATTERNS; COLONIZATION; AMERICA; ISLANDS; FRONTS</t>
  </si>
  <si>
    <t>During the Cenozoic, the break-up of Gondwana was accompanied by a gradual separation of its components and the subsequent establishment of the Antarctic Circumpolar Current, leading to a relative thermal and biogeographic isolation of the Antarctic fauna. However, the zoogeographical affinities of several taxa from South America and Antarctica have been subject to debate, bringing into question the extent of Antarctic isolation. Here we present new data on bryozoan species and their spatial distribution in the Argentine Patagonian (AP) region, as well as an analysis of the biyozoological similarities between deep ranges from Argentina and neighboring regions. A total of 108 species of cheilostome bryozoans (378 samples), belonging to 59 genera was found. Five new genera and 36 new species were found in the AP region, while 71 species were reported for the first time from Argentina. The bathymetric ranges of 94 species (87%) were expanded and a high proportion of the identified species (44.4%) also had an Antarctic distribution. The bryozoological affinities found in the current study between the nearest geographical neighbors are in agreement with the hypothesis of the sequential separation of Gondwana during the Cenozoic. Moreover, a high number of shared species, mainly from the slope, were found in this study between the AP region and Antarctica, thus supporting the idea that the Southern Ocean may have been less isolated over geological time than once thought. (C) 2013 Elsevier B.V. All rights reserved.</t>
  </si>
  <si>
    <t>[Figuerola, Blanca; Avila, Conxita] Univ Barcelona, Anim Biol Dept Invertebrates, E-08028 Barcelona, Catalunya, Spain; [Figuerola, Blanca; Avila, Conxita] Univ Barcelona, Biodivers Res Inst IrBIO, Fac Biol, E-08028 Barcelona, Catalunya, Spain; [Gordon, Dennis P.] Natl Inst Water &amp; Atmospher Res, Wellington 6021, New Zealand; [Polonio, Virginia; Cristobo, Javier] Spanish Inst Oceanog IEO, Oceanog Ctr Gijon, Gijon 33212, Asturias, Spain</t>
  </si>
  <si>
    <t>University of Barcelona; University of Barcelona; National Institute of Water &amp; Atmospheric Research (NIWA) - New Zealand</t>
  </si>
  <si>
    <t>Figuerola, B (corresponding author), Univ Barcelona, Anim Biol Dept Invertebrates, Av Diagonal 643, E-08028 Barcelona, Catalunya, Spain.</t>
  </si>
  <si>
    <t>bfiguerola@gmail.com</t>
  </si>
  <si>
    <t>Avila, Conxita/B-9466-2008; Cristobo, Javier/M-1949-2014; Figuerola, Blanca/C-6252-2015</t>
  </si>
  <si>
    <t>Avila, Conxita/0000-0002-5489-8376; Figuerola, Blanca/0000-0003-4731-9337</t>
  </si>
  <si>
    <t>Spanish Government [CGL2007-65453/ANT, CTM2010-17415/ANT]</t>
  </si>
  <si>
    <t>Spanish Government(Spanish Government)</t>
  </si>
  <si>
    <t>The authors wish to thank Dr. Lopez Gappa (Museo Argentino de Ciencias Naturales) for his help with the bibliography, Dr. Maceda for statistic advice and E. Szocs for comments on the Vegan package. We are also very grateful for the helpful suggestions of the anonymous reviewers. We wish to thank the crew of the R.V. Miguel Oliver (owned by the Spanish Secretariat of the Sea [SGM]) and SGM for ship time and technical support and the members of the Spanish Oceanography Institute (IEO) who participated in the cruises. The research stage of the first author during her PhD at the National Institute of Water and Atmospheric Research in New Zealand was funded by the Spanish Government (projects ACTIQUIM I and II; CGL2007-65453/ANT, CTM2010-17415/ANT).</t>
  </si>
  <si>
    <t>10.1016/j.seares.2013.09.003</t>
  </si>
  <si>
    <t>292EJ</t>
  </si>
  <si>
    <t>WOS:000329884700001</t>
  </si>
  <si>
    <t>Schukat, A; Auel, H; Teuber, L; Lahajnar, N; Hagen, W</t>
  </si>
  <si>
    <t>Schukat, Anna; Auel, Holger; Teuber, Lena; Lahajnar, Niko; Hagen, Wilhelm</t>
  </si>
  <si>
    <t>Complex trophic interactions of calanoid copepods in the Benguela upwelling system</t>
  </si>
  <si>
    <t>Zooplankton; Fatty acids; Stable isotopes; Biomarkers; Trophic level; Food web</t>
  </si>
  <si>
    <t>NITROGEN ISOTOPE FRACTIONATION; FOOD-WEB; WAX ESTERS; ANTARCTIC COPEPODS; LIPID STORAGE; FATTY-ACIDS; HERBIVOROUS COPEPODS; CARINATUS COPEPODA; TEMORA-LONGICORNIS; MARINE</t>
  </si>
  <si>
    <t>Life-cycle adaptations, dietary preferences and trophic levels of calanoid copepods from the northern Benguela Current off Namibia were determined via lipid classes, marker fatty acids and stable isotope analyses, respectively. Trophic levels of copepod species were compared to other zooplankton and top consumers. Lipid class analyses revealed that three of the dominant calanoid copepod species stored wax esters, four accumulated triacylglycerols and another three species were characterised by high phospholipid levels. The two biomarker approaches (via fatty adds and stable isotopes) revealed a complex pattern of trophic positions for the various copepod species, but also highlighted the dietary importance of diatoms and dinoflagellates. Calanoides carinatus and Nannocalanus minor occupied the lowest trophic level (predominantly herbivorous) corresponding to high amounts of fatty acid markers for diatoms (e.g. 16:1(n-7)) and dinoflagellates (e.g. 18:4(n-3)). These two copepod species represent the classical link between primary production and higher trophic levels. All other copepods belonged to secondary or even tertiary (some deep-sea copepods) consumers. The calanoid copepod species cover the entire range of delta N-15 ratios, as compared to delta N-15 ratios of all non-calanoid taxa investigated, from salps to adult fish. These data emphasise that the trophic roles of calanoid copepods are far more complex than just interlinking primary producers with pelagic fish, which should also be considered in the process of developing realistic food-web models of coastal upwelling systems. (C) 2013 Elsevier B.V. All rights reserved.</t>
  </si>
  <si>
    <t>[Schukat, Anna; Auel, Holger; Teuber, Lena; Hagen, Wilhelm] Univ Bremen, BreMarE Bremen Marine Ecol, Marine Zool, D-28334 Bremen, Germany; [Lahajnar, Niko] Univ Hamburg, Inst Biogeochem &amp; Marine Chem, D-20146 Hamburg, Germany</t>
  </si>
  <si>
    <t>University of Bremen; University of Hamburg</t>
  </si>
  <si>
    <t>Schukat, A (corresponding author), Univ Bremen, BreMarE Bremen Marine Ecol, Marine Zool, POB 330440, D-28334 Bremen, Germany.</t>
  </si>
  <si>
    <t>schukat@uni-bremen.de</t>
  </si>
  <si>
    <t>Ronn, Lena/0009-0009-9789-5763; Hagen, Wilhelm/0000-0002-7462-9931; Schukat, Anna/0000-0003-2703-1029</t>
  </si>
  <si>
    <t>German Federal Ministry of Education and Research (BMBF)</t>
  </si>
  <si>
    <t>German Federal Ministry of Education and Research (BMBF)(Federal Ministry of Education &amp; Research (BMBF))</t>
  </si>
  <si>
    <t>We thank the captains and crews of RV Maria S. Merian and FRS Africana for their skilful support during cruises. Special thanks go to Anja Hansen and Norbert Wasmund for helpful information on the phytoplankton. We are grateful to Simon Geist for assistance in the collection of phytoplankton samples and we thank Catherine Borrek and Sandra Maier for their assistance during lipid analyses. The chlorophyll a data cited in the discussion were acquired as part of the NASA's Earth-Sun System Division and archived and distributed by the Goddard Earth Sciences (GES), Data Information Services Center (DISC) and Distributed Active Archive Center (DAAC). This study is embedded in the GENUS project (Geochemistry and Ecology of the Namibian Upwelling System), which is funded by the German Federal Ministry of Education and Research (BMBF).</t>
  </si>
  <si>
    <t>10.1016/j.seares.2013.04.018</t>
  </si>
  <si>
    <t>WOS:000329884700018</t>
  </si>
  <si>
    <t>Meissner, K; Fiorentino, D; Schnurr, S; Arbizu, PM; Huettmann, F; Holst, S; Brix, S; Svavarsson, J</t>
  </si>
  <si>
    <t>Meissner, Karin; Fiorentino, Dario; Schnurr, Sarah; Arbizu, Pedro Martinez; Huettmann, Falk; Holst, Sabine; Brix, Saskia; Svavarsson, Jorundur</t>
  </si>
  <si>
    <t>Distribution of benthic marine invertebrates at northern latitudes - An evaluation applying multi-algorithm species distribution models</t>
  </si>
  <si>
    <t>GIF Ridge; Iceland; Marine benthos; North Atlantic Ocean; Species distribution models</t>
  </si>
  <si>
    <t>ICELANDIC WATERS; ATLANTIC-OCEAN; BIOICE PROJECT; ABYSSAL DEPTHS; DIFFERENT SEAS; POLYCHAETA; ISOPODA; CRUSTACEA; ASELLOTA; DIVERSITY</t>
  </si>
  <si>
    <t>Different techniques of species distribution modeling were applied to evaluate the distribution of eight benthic marine species in Icelandic waters. The species examined were Symplectoscyphus tricuspidatus, Stegopoma plicatile (both Hydrozoa), Prionospio cirrifera, Amphicteis gunneri (both Polychaeta), Desmosoma strombergi, Eurycope producta (both Isopoda), Andaniella pectinata and Harpinia crenulata (both Amphipoda). Information on 13 environmental variables (temperature mean, temperature mean SD, temperature Minimum, temperature maximum, salinity mean, salinity mean SD, oxygen content, particulate organic carbon, seasonal variation index, bottom roughness, sediment thickness, acidification) and records of occurrences of these eight species was collated in an ArcGIS project. Modeling methods applied were MARS, TreeNet, and MaxENT. According to area under the receiver operating curve (AUC) model assessment values, models with moderate to outstanding discriminatory power were found for all species. There was a good overlap in the overall pattern of prediction for most species independent on the modeling technique. Among the three applied techniques MARS seemed to generalize most whereas TreeNet predictions very precisely reflected information from the training data set. The distribution of the selected benthic invertebrate species in Icelandic waters could be linked to a variety of environmental factors related to oceanography, seabed topography and human impact. Their multivariate interactions acted as a structuring force of species distribution, instead of just their one by one individual influence. The selected predictors varied between the different models for the same species. They substituted each other in different models. The expected distribution of the examined species was mapped for a seascape of known environmental settings. Such maps will serve as excellent references in future impact studies and enable the detection of changes in the distribution of benthic marine invertebrates. (C) 2013 Elsevier B.V. All rights reserved.</t>
  </si>
  <si>
    <t>[Meissner, Karin; Schnurr, Sarah; Holst, Sabine; Brix, Saskia] Deutsch Zentrum Marine Biodiversitatsforsch, Forsch Inst, Biozentrum Grindel, D-20146 Hamburg, Germany; [Meissner, Karin; Schnurr, Sarah; Holst, Sabine; Brix, Saskia] Deutsch Zentrum Marine Biodiversitatsforsch, Nat Museen Senckenberg, Biozentrum Grindel, D-20146 Hamburg, Germany; [Fiorentino, Dario] Univ Hamburg, Zool Museum, Biozentrum Grindel, D-20146 Hamburg, Germany; [Arbizu, Pedro Martinez] Deutsch Zentrum Marine Biodiversitatsforsch, Forsch Inst, D-26382 Wilhelmshaven, Germany; [Arbizu, Pedro Martinez] Deutsch Zentrum Marine Biodiversitatsforsch, Nat Museen Senckenberg, D-26382 Wilhelmshaven, Germany; [Huettmann, Falk] Univ Alaska Fairbanks, Inst Arctic Biol, Dept Biol &amp; Wildlife, EWHALE Lab, Fairbanks, AK 99775 USA; [Svavarsson, Jorundur] Univ Iceland, Inst Biol, IS-101 Reykjavik, Iceland</t>
  </si>
  <si>
    <t>University of Hamburg; University of Hamburg; University of Hamburg; University of Alaska System; University of Alaska Fairbanks; University of Iceland</t>
  </si>
  <si>
    <t>Meissner, K (corresponding author), Deutsch Zentrum Marine Biodiversitatsforsch, Forsch Inst, Biozentrum Grindel, Martin Luther King Pl 3, D-20146 Hamburg, Germany.</t>
  </si>
  <si>
    <t>karin.meissner@senckenberg.de</t>
  </si>
  <si>
    <t>Svavarsson, Jorundur/0000-0003-1842-7515; Martinez-Arbizu, Pedro/0000-0002-0891-1154; Fiorentino, Dario/0000-0003-1097-4784</t>
  </si>
  <si>
    <t>German Science Foundation [BR 3843/2-1, BR 3843/3-1]; Salford Systems Ltd.; University of Alaska-Fairbanks; EWHALE lab</t>
  </si>
  <si>
    <t>German Science Foundation(German Research Foundation (DFG)); Salford Systems Ltd.; University of Alaska-Fairbanks; EWHALE lab</t>
  </si>
  <si>
    <t>Thanks to all individuals and agencies that shared data in public and online. Further, we would like to thank Hans-Georg Andres, Hamburg, for giving access to his unpublished amphipod data. Also, we are grateful to Dr. Marina Malyutina who helped with the identification of Isopoda. The NISE data were kindly provided by the Marine Research Institute (Iceland), the Institute of Marine Research (Norway), the Faroese Fisheries Laboratory, the Arctic and Antarctic Research Institute (Russia), and the Geophysical Institute, University of Bergen (Norway). Also, we thank Prof. Dr. Detlef Quadfasel and Dr. Kerstin Jochumsen for their support in producing layers out of the NISE data. The Sandgeroi Marine Centre and the University of Iceland kindly hosted people associated with this project during several workshops. Salford Systems Ltd., University of Alaska-Fairbanks, the EWHALE lab and L. Strecker and S. Linke are thanked for their support during this study. Financial support was also provided by the German Science Foundation under contracts BR 3843/2-1 and BR 3843/3-1.</t>
  </si>
  <si>
    <t>10.1016/j.seares.2013.05.007</t>
  </si>
  <si>
    <t>WOS:000329884700024</t>
  </si>
  <si>
    <t>Kuklinski, P; Balazy, P</t>
  </si>
  <si>
    <t>Kuklinski, Piotr; Balazy, Piotr</t>
  </si>
  <si>
    <t>Scale of temperature variability in the maritime Antarctic intertidal zone</t>
  </si>
  <si>
    <t>Temperature; Intertidal; King George Island; Antarctic</t>
  </si>
  <si>
    <t>CLIMATE-CHANGE; SOUTHERN-OCEAN; THERMAL TOLERANCE; NACELLA-CONCINNA; BIODIVERSITY; BIOGEOGRAPHY; COMMUNITIES; GRADIENT; LIMPETS; BENTHOS</t>
  </si>
  <si>
    <t>The Antarctic Peninsula is currently considered as one of the fastest changing regions on Earth yet temperature variability in some of its environments and habitats is not well-documented. Given the increased glacier retreat, summer melts, sea level rise and ozone losses the intertidal zone is likely to be one of the most rapidly altering of environments but also one of the least investigated in polar waters. This study aims to quantify summer temperature variability in some habitats of the intertidal zone at King George Island. Three transects were selected across tidal flat. Four temperature loggers were deployed at each of them from extreme low water spring tide level to extreme high water spring tide level between 07.12.2010 and 18.03.2011. All the loggers were deployed at the rocky substratum. The temperature range across the study tidal flat was between -2.26 degrees C and +21.18 degrees C. The average (summer) temperature obtained from 12 loggers varied from +1.89 to +3.26 degrees C. In all the three transects average temperature increased with tidal height. Much higher temperature variability was recorded at higher than at lower tide locations. Differences in temperature between the three study transects existed. Results obtained from the studied tidal flat show that several factors combined altogether, including: water movement by tidal forces, wave action, air temperature, sun light intensity, shore lithology and the presence of ice and snow in the area, seem to influence its temperature. (C) 2013 Elsevier B.V. All rights reserved.</t>
  </si>
  <si>
    <t>[Kuklinski, Piotr; Balazy, Piotr] Polish Acad Sci, Inst Oceanol, PL-81712 Sopot, Poland; [Kuklinski, Piotr] Nat Hist Museum, Dept Life Sci, London SW7 5BD, England</t>
  </si>
  <si>
    <t>Polish Academy of Sciences; Institute of Oceanology of the Polish Academy of Sciences; Natural History Museum London</t>
  </si>
  <si>
    <t>Kuklinski, P (corresponding author), Polish Acad Sci, Inst Oceanol, Ul Powstancow Watszawy 55, PL-81712 Sopot, Poland.</t>
  </si>
  <si>
    <t>kuki@iopan.gda.pl</t>
  </si>
  <si>
    <t>Balazy, Piotr/D-2949-2018</t>
  </si>
  <si>
    <t>Balazy, Piotr/0000-0002-1126-3151; Kuklinski, Piotr/0000-0002-1507-215X</t>
  </si>
  <si>
    <t>Polish Ministry of Science and Higher Education [606/MOB/2011/0]; [539/N-CAML/2009/0]</t>
  </si>
  <si>
    <t>Polish Ministry of Science and Higher Education(Ministry of Science and Higher Education, Poland);</t>
  </si>
  <si>
    <t>We would like to address special thanks to Tadeusz Stryjek for help during each step of the expedition. We would like also to thank Andrzej Tatur, Tomasz Janecki and Anna Kidawa for help in expedition organization. Jaroslaw Roszczyk, Mateusz Bagnicki, Lech Wisniewski and the rest of the Polish Antarctic Station Arctowski crew including Kazimierz Pole, Tadeusz Markowicz, Wieslaw Sienkiewicz, Kazimierz Warowicki, Wlodzimierz Tkaczyk, Waldemar Kowalski, Michal Guzniczak, Piotr Horzela are thanked for help with logistics and great company during field work. David K.A. Barnes and two anonymous reviewers are thanked for comments and corrections leading to an improved manuscript. The study has been funded by grant (539/N-CAML/2009/0) and completed thanks to the programme Mobilnosc Plus (606/MOB/2011/0) of the Polish Ministry of Science and Higher Education which provided financial support to PK.</t>
  </si>
  <si>
    <t>10.1016/j.seares.2013.09.002</t>
  </si>
  <si>
    <t>WOS:000329884700056</t>
  </si>
  <si>
    <t>Parrondo, MC; Gil, M; Yela, M; Johnson, BJ; Ochoa, HA</t>
  </si>
  <si>
    <t>Parrondo, M. C.; Gil, M.; Yela, M.; Johnson, B. J.; Ochoa, H. A.</t>
  </si>
  <si>
    <t>Antarctic ozone variability inside the polar vortex estimated from balloon measurements</t>
  </si>
  <si>
    <t>HEMISPHERE CLIMATE-CHANGE; SOUTHERN-HEMISPHERE; INTERANNUAL VARIABILITY; NORTHERN-HEMISPHERE; SEPTEMBER 2002; STRATOSPHERE; TRENDS; DEPLETION; TRANSPORT; RECOVERY</t>
  </si>
  <si>
    <t>Thirteen years of ozone soundings at the Antarctic Belgrano II station (78 degrees S, 34.6 degrees W) have been analysed to establish a climatology of stratospheric ozone and temperature over the area. The station is inside the polar vortex during the period of development of chemical ozone depletion. Weekly periodic profiles provide a suitable database for seasonal characterization of the evolution of stratospheric ozone, especially valuable during wintertime, when satellites and ground-based instruments based on solar radiation are not available. The work is focused on ozone loss rate variability (August-October) and its recovery (November-December) at different layers identified according to the severity of ozone loss. The time window selected for the calculations covers the phase of a quasi-linear ozone reduction, around day 220 (mid-August) to day 273 (end of September). Decrease of the total ozone column over Belgrano during spring is highly dependent on the meteorological conditions. Largest depletions (up to 59 %) are reached in coldest years, while warm winters exhibit significantly lower ozone loss (20 %). It has been found that about 11 % of the total 03 loss, in the layer where maximum depletion occurs, takes place before sunlight has arrived, as a result of transport to Belgrano of air from a somewhat lower latitude, near the edge of the polar vortex, providing evidence of mixing inside the vortex. Spatial homogeneity of the vortex has been examined by comparing Belgrano results with those previously obtained for South Pole station (SPS) for the same altitude range and for 9 yr of overlapping data. Results show more than 25 % higher ozone loss rate at SPS than at Belgrano. The behaviour can be explained taking into account (i) the transport to both stations of air from a somewhat lower latitude, near the edge of the polar vortex, where sunlight reappears sooner, resulting in earlier depletion of ozone, and (ii) the accumulated hours of sunlight, which become much greater at the South Pole after the spring equinox. According to the variability of the ozone hole recovery, a clear connection between the timing of the breakup of the vortex and the monthly ozone content was found. Minimum ozone concentration of 57 DU in the 12-24 km layer remained in November, when the vortex is more persistent, while in years when the final stratospheric warming took place very early, mean integrated ozone rose by up to 160-180 DU.</t>
  </si>
  <si>
    <t>[Parrondo, M. C.; Gil, M.; Yela, M.] Natl Inst Aerosp Technol, Atmospher Res &amp; Instrumentat Branch, Torrejon De Ardoz, Spain; [Johnson, B. J.] NOAA, Global Monitoring Div, Earth Syst Res Lab, Boulder, CO USA; [Ochoa, H. A.] IAA, DNA, Buenos Aires, DF, Argentina</t>
  </si>
  <si>
    <t>National Oceanic Atmospheric Admin (NOAA) - USA</t>
  </si>
  <si>
    <t>Parrondo, MC (corresponding author), Natl Inst Aerosp Technol, Atmospher Res &amp; Instrumentat Branch, Torrejon De Ardoz, Spain.</t>
  </si>
  <si>
    <t>parrondosc@inta.es</t>
  </si>
  <si>
    <t>Yela Gonzalez, Margarita/J-7346-2016</t>
  </si>
  <si>
    <t>Yela Gonzalez, Margarita/0000-0003-3775-3156</t>
  </si>
  <si>
    <t>Spanish Polar Program [CICYT-ANT97-0433, REN2000-0245-C02-01, CGL2004-05419-C02-01/ANT, POL2006-0382, CGL2010-20353]; EU [EVK2-2001-00129]</t>
  </si>
  <si>
    <t>Spanish Polar Program; EU(European Union (EU))</t>
  </si>
  <si>
    <t>We thank the different ozone sounding operational teams at Belgrano station. We also would like to thank to ECMWF for providing potential vorticity and temperature data. This work has been partially funded by Spanish Polar Program (CICYT-ANT97-0433, REN2000-0245-C02-01, CGL2004-05419-C02-01/ANT, POL2006-0382 and CGL2010-20353) and EU 5th Framework Programme (QUOBI project, EVK2-2001-00129).</t>
  </si>
  <si>
    <t>10.5194/acp-14-217-2014</t>
  </si>
  <si>
    <t>292VL</t>
  </si>
  <si>
    <t>WOS:000329930600015</t>
  </si>
  <si>
    <t>Xiong, ZQ; Wang, XD; Li, XW; Liang, L</t>
  </si>
  <si>
    <t>Xiong Zhangqiang; Wang Xingdong; Li Xinwu; Liang Lei</t>
  </si>
  <si>
    <t>Antarctic Ice-Sheet Freeze-Thaw Detection Based on Improved Physical Model</t>
  </si>
  <si>
    <t>CHINESE JOURNAL OF ELECTRONICS</t>
  </si>
  <si>
    <t>Ice-sheet freeze-thaw detection; Microwave radiometer; Physical model; Generalized Gaussian model</t>
  </si>
  <si>
    <t>On the basis of the simple ice-sheet freeze-thaw physical model, a new algorithm of Antarctic ice-sheet freeze-thaw detection was proposed for the automatic threshold segmentation, which did not depend on the priori freeze-thaw distribution. That was the histogram statistics for the data of ice-sheet freeze-thaw physical model by the use of generalized Gaussian model to automatically get the optimal threshold of the dry snow and the wet snow, so as to get the Antarctic freeze-thaw areas. The algorithm improves the computational efficiency, usability and operability of the ice-sheet freeze-thaw detection because the algorithm does not rely on the actual melt information and can automatically select many samples. To some extent, the algorithm also improves the accuracy of the ice-sheet freeze-thaw detection.</t>
  </si>
  <si>
    <t>[Wang Xingdong; Li Xinwu; Liang Lei] Chinese Acad Sci, Inst Remote Sensing &amp; Digital Earth, Beijing 100094, Peoples R China; [Xiong Zhangqiang; Wang Xingdong] Cent S Univ, Sch Geosci &amp; Infophys, Minist Educ, Key Lab Metallogen Predict Nonferrous Met, Changsha 410083, Peoples R China</t>
  </si>
  <si>
    <t>Chinese Academy of Sciences; The Institute of Remote Sensing &amp; Digital Earth, CAS; Central South University</t>
  </si>
  <si>
    <t>Xiong, ZQ (corresponding author), Cent S Univ, Sch Geosci &amp; Infophys, Minist Educ, Key Lab Metallogen Predict Nonferrous Met, Changsha 410083, Peoples R China.</t>
  </si>
  <si>
    <t>xzq666@163.com; zkywxd@163.com; xwli@ceode.ac.cn</t>
  </si>
  <si>
    <t>National Natural Science Foundation of China [41076129]; National High Technology Research and Development Program (863 Program) [2008AA121702]</t>
  </si>
  <si>
    <t>National Natural Science Foundation of China(National Natural Science Foundation of China (NSFC)); National High Technology Research and Development Program (863 Program)(National High Technology Research and Development Program of China)</t>
  </si>
  <si>
    <t>This work is supported by the National Natural Science Foundation of China (No.41076129), the National High Technology Research and Development Program (863 Program) (No.2008AA121702).</t>
  </si>
  <si>
    <t>TECHNOLOGY EXCHANGE LIMITED HONG KONG</t>
  </si>
  <si>
    <t>BLDG#13, PUHUINANLI, SOUTH YUYUANTAN RD, HAIDIAN DIST, BEIJING, 00000, PEOPLES R CHINA</t>
  </si>
  <si>
    <t>1022-4653</t>
  </si>
  <si>
    <t>2075-5597</t>
  </si>
  <si>
    <t>CHINESE J ELECTRON</t>
  </si>
  <si>
    <t>Chin. J. Electron.</t>
  </si>
  <si>
    <t>Engineering, Electrical &amp; Electronic</t>
  </si>
  <si>
    <t>295AU</t>
  </si>
  <si>
    <t>WOS:000330089800039</t>
  </si>
  <si>
    <t>Segniagbeto, GH; Van Waerebeek, K; Bowessidjaou, JE; Ketoh, K; Kpatcha, TK; Okoumassou, K; Ahoedo, K</t>
  </si>
  <si>
    <t>Segniagbeto, Gabriel H.; Van Waerebeek, Koen; Bowessidjaou, Joseph E.; Ketoh, Koffivi; Kpatcha, Takouda K.; Okoumassou, Kotchikpa; Ahoedo, Kossi</t>
  </si>
  <si>
    <t>Annotated checklist and fisheries interactions of cetaceans in Togo, with evidence of Antarctic minke whale in the Gulf of Guinea</t>
  </si>
  <si>
    <t>INTEGRATIVE ZOOLOGY</t>
  </si>
  <si>
    <t>bycatches; capture; cetacean bushmeat; dolphin; Gulf of Guinea; stranding; whale</t>
  </si>
  <si>
    <t>WEST-AFRICA; WATERS</t>
  </si>
  <si>
    <t>Based on strandings and captures, 9 cetacean species, including 6 odontocetes and 3 mysticetes, are documented (photos and specimens) in Togo's coastal waters (newly-recorded species marked with an asterisk): Antarctic minke whale (Balaenoptera bonaerensis*), Bryde's whale (Balaenoptera brydei or B. edeni), humpback whale (Megaptera novaeangliae), sperm whale (Physeter macrocephalus), pygmy sperm whale (Kogia breviceps*), short-finned pilot whale (Globicephala macrorhynchus*), pantropical spotted dolphin (Stenella attenuata*), common bottlenose dolphin (Tursiops truncatus) and common dolphin Delphinus sp. An anecdotal sighting record for killer whale (Orcinus orca) is considered reliable. The lack of Sousa teuszii records in Togo is consistent with its apparent contemporaneous absence in Ghana. The B. bonaerensis specimen, entangled in a purse seine set on small pelagics, is a first record for the Gulf of Guinea. The occurrence of this Southern Ocean species north of the equator underscores the severe gaps in our understanding of cetacean distribution off western Africa. The majority of artisanal fishermen operating in Togolese coastal waters are of Ghanaian origin and are thought to promote trade and consumption of cetacean bushmeat. Because captures are illegal, enforced with some success in the main fishing centers, covert landings of cetaceans are exceedingly difficult to monitor, quantify or sample. Concern is expressed about pollution of Togo's coastal waters with heavy metals due to phosphorite mining and export from the coastal basin near Hahotoe and Kpogame.</t>
  </si>
  <si>
    <t>[Segniagbeto, Gabriel H.; Bowessidjaou, Joseph E.; Ketoh, Koffivi; Kpatcha, Takouda K.] Univ Lome, Dept Zool &amp; Anim Biol, Lome, Togo; [Segniagbeto, Gabriel H.; Van Waerebeek, Koen] Togolese Soc Nat Conservat, Agbo Zegue, Lome, Togo; [Van Waerebeek, Koen] Univ Ghana, Conservat &amp; Res West African Aquat Mammals COREWA, Dept Marine &amp; Fisheries Sci, Legon, Ghana; [Van Waerebeek, Koen] Peruvian Ctr Cetacean Res, Lima, Peru; [Okoumassou, Kotchikpa] Minist Environm &amp; Forest Resources, Dept Fauna &amp; Hunting, Lome, Togo; [Ahoedo, Kossi] Minist Agr Anim Breeding &amp; Fisheries, Dept Fisheries &amp; Aquaculture, Lome, Togo</t>
  </si>
  <si>
    <t>University of Lome; University of Ghana</t>
  </si>
  <si>
    <t>Van Waerebeek, K (corresponding author), Univ Ghana, Conservat &amp; Res West African Aquat Mammals COREWA, Dept Marine &amp; Fisheries Sci, POB LG99, Legon, Ghana.</t>
  </si>
  <si>
    <t>corewam@yandex.com</t>
  </si>
  <si>
    <t>UNEP/CMS WAFCET-3 Project; International Fund for Animal Welfare; Columbus Zoo Conservation Fund</t>
  </si>
  <si>
    <t>We extend our warm thanks to the many people who generously contributed to produce this first publication on Togo's cetaceans. Village chiefs, fishermen and other members of coastal communities shared expertise and access to specimens. Franck Barbe, Kossi Sedzro, Sophie Durlot, Sampoguili Gambe, Amegome Kokou, Jan Vlaar and members of NGO Agbo-Zegue kindly provided information, institutional support or helped with data collection. Commandant de Brigade of Lome Port, Issifou Minkail Yamoussa, assisted with stranded cetaceans. Field research in Togo was greatly facilitated by the backing of the Ministere de l'Environnement et des Ressources Forestieres, Ministere de l'Agriculture, de l'Elevage et de la Peche, the Police Maritime and village chiefs. Field work was supported by UNEP/CMS WAFCET-3 Project (to G. Segniagbeto, K. Van Waerebeek, K. Okoumassou), International Fund for Animal Welfare (K. Van Waerebeek, G. H. Segniagbeto) and the Columbus Zoo Conservation Fund (G. H. Segniagbeto).</t>
  </si>
  <si>
    <t>1749-4877</t>
  </si>
  <si>
    <t>1749-4869</t>
  </si>
  <si>
    <t>INTEGR ZOOL</t>
  </si>
  <si>
    <t>Integr. Zool.</t>
  </si>
  <si>
    <t>10.1111/1749-4877.12011</t>
  </si>
  <si>
    <t>292QQ</t>
  </si>
  <si>
    <t>WOS:000329917600002</t>
  </si>
  <si>
    <t>Fossette, S; Heide-Jorgensen, MP; Jensen, MV; Kiszka, J; Bérnbé, M; Bertrand, N; Vély, M</t>
  </si>
  <si>
    <t>Fossette, Sabrina; Heide-Jorgensen, Mads-Peter; Jensen, Mikkel Villum; Kiszka, Jeremy; Bernbe, Martine; Bertrand, Nils; Vely, Michel</t>
  </si>
  <si>
    <t>Humpback whale (Megaptera novaeangliae) post breeding dispersal and southward migration in the western Indian Ocean</t>
  </si>
  <si>
    <t>JOURNAL OF EXPERIMENTAL MARINE BIOLOGY AND ECOLOGY</t>
  </si>
  <si>
    <t>Marine mammals; Migration; Satellite telemetry; Connectivity; Antarctica; International Whaling Commission</t>
  </si>
  <si>
    <t>CLIMATE-CHANGE; SEA-TURTLES; POPULATION-STRUCTURE; SATELLITE TELEMETRY; ELEPHANT SEALS; CROZET ISLANDS; BALEEN WHALES; MOVEMENTS; ATLANTIC; DISTANCE</t>
  </si>
  <si>
    <t>Investigating movement patterns of marine migratory species is critical to understand habitat use and population structure, and help inform conservation and management planning. Little is known about humpback whale (Megaptera novaeangliae) dispersal and migration in the western Indian Ocean. In October 2011 and 2012, eleven satellite transmitters were deployed on wintering humpback whales from the south-western Indian Ocean breeding stock at the Comoros islands (Moheli, n = 6 and Mayotte, n = 5). Eight individuals were successfully tracked for 243 +/- 12.4 days (range = 8749 days) and travelled between 146 km and 5804 km in total. Whales either remained at their wintering site for several weeks (n = 3) or dispersed along the west coast (n = 4) or east (n = 1) coast of Madagascar where two main stop-over sites were identified. In addition, two individuals travelled along straight paths to distant, potential, foraging areas. One whale reached the French sub-Antarctic islands while the other travelled to one of the supposed Antarctic foraging areas for humpback whales of this breeding stock. This is the first time movements of humpback whales from this area are being described and their potential foraging areas in the Southern Ocean identified. Identification of these dispersal patterns is important for delineation of breeding regions and for allocating abundance estimates to stocks. (C) 2013 Elsevier B.V. All rights reserved.</t>
  </si>
  <si>
    <t>[Fossette, Sabrina] Swansea Univ, Coll Sci, Dept Biosci, Swansea SA2 8PP, W Glam, Wales; [Heide-Jorgensen, Mads-Peter] Greenland Inst Nat Resources, Nuuk 3900, Greenland; [Kiszka, Jeremy] Florida Int Univ, Dept Biol Sci, Marine Sci Program, North Miami, FL 33181 USA; [Bernbe, Martine] Univ Groningen, Ctr Ecol &amp; Evolutionary Studies, NL-9747 AG Groningen, Netherlands; [Bertrand, Nils] Sea Blue Safari, F-97600 Mamoudzou, Mayotte, France; [Vely, Michel] Megaptera, F-75011 Paris, France</t>
  </si>
  <si>
    <t>Swansea University; Greenland Institute of Natural Resources; State University System of Florida; Florida International University; University of Groningen</t>
  </si>
  <si>
    <t>Fossette, S (corresponding author), NOAA, Southwest Fisheries Sci Ctr, Div Environm Res, Pacific Grove, CA 93950 USA.</t>
  </si>
  <si>
    <t>Sabrina.fossette@googlemail.com</t>
  </si>
  <si>
    <t>Jensen, Mikkel Holm Hjortshoej/JXX-7815-2024; Berube, Martine/IWU-4585-2023; Kiszka, Jeremy J./AAH-2588-2020; Heide-Jørgensen, Mads Peter/F-6464-2011</t>
  </si>
  <si>
    <t>Kiszka, Jeremy J./0000-0003-1095-8979; Berube, Martine/0000-0002-1831-2657; Fossette, Sabrina/0000-0001-8580-9084</t>
  </si>
  <si>
    <t>Megaptera; Greenland Institute of Natural Resources; Axa Research Fund; Exagone; Sea Blue Safari; Mikkels Vaerksted; Fondation Nature et Decouverte; National Geographic Society Waitt Grant Program</t>
  </si>
  <si>
    <t>Megaptera; Greenland Institute of Natural Resources; Axa Research Fund(AXA Research Fund); Exagone; Sea Blue Safari; Mikkels Vaerksted; Fondation Nature et Decouverte; National Geographic Society Waitt Grant Program(National Geographic Society)</t>
  </si>
  <si>
    <t>The authors thank the Secretary-General of the Union of the Comoros Mr. Said Mohamed Ali Said and Direction de l'Environnement, de l'Amenagement et du Logement de Mayotte for issuing the scientific permits for this research. We are also very grateful to the ecovolunteers and eco-tourists for their most valuable help in the field. Financial and logistical support was provided by Megaptera, its members and friends, the Greenland Institute of Natural Resources, Axa Research Fund, Exagone, Sea Blue Safari, Mikkels Vaerksted, Fondation Nature et Decouverte and the National Geographic Society Waitt Grant Program. The authors also thank Peter J Ersts for his comments on an earlier version of this manuscript. The authors also wish to acknowledge the use of the Maptool programme for analysis and graphics in this paper. Maptool is a product of SEATURTLE.ORG (information is available at www.seaturtle.org). This work was conducted under the permits no. 11-101/VP/MPEEIA:SG and no. 12100/VP/MPEEIA:SG issued by the Secretary-General of the Union of the Comoros in September 2011 and June 2012, the permits no. 105/DEAL//SEPR/2012 and no. 148/DEAL/SEPR/2012 issued by Direction de l'Environnement, de l'Amenagement et du Logement de Mayotte in July and August 2012 and the permit no. FR1397600001-E issued by DEAL Mayotte in October 2013. SF, MPHJ and MV conceived the project and designed the study with contributions from MVJ and NB. SF, MVJ, MV and NB performed the fieldwork; SF led the data analysis and wrote the manuscript with contributions from all authors. [SS]</t>
  </si>
  <si>
    <t>0022-0981</t>
  </si>
  <si>
    <t>1879-1697</t>
  </si>
  <si>
    <t>J EXP MAR BIOL ECOL</t>
  </si>
  <si>
    <t>J. Exp. Mar. Biol. Ecol.</t>
  </si>
  <si>
    <t>10.1016/j.jembe.2013.10.014</t>
  </si>
  <si>
    <t>294XR</t>
  </si>
  <si>
    <t>WOS:000330081700002</t>
  </si>
  <si>
    <t>Banks, J; Lea, MA; Wall, S; McMahon, GR; Hindell, MA</t>
  </si>
  <si>
    <t>Banks, Janaya; Lea, Mary-Anne; Wall, Stephen; McMahon, Give R.; Hindell, Mark A.</t>
  </si>
  <si>
    <t>Combining bio-logging and fatty acid signature analysis indicates spatio-temporal variation in the diet of the southern elephant seal, Mirounga leonina</t>
  </si>
  <si>
    <t>Annual variation; Blubber; Fatty acids; Foraging; Spatial variation</t>
  </si>
  <si>
    <t>STABLE-ISOTOPE ANALYSES; ANTARCTIC FUR SEALS; KING-GEORGE ISLAND; FORAGING ECOLOGY; TROPHIC ECOLOGY; MARINE MAMMALS; JUVENILE SOUTHERN; CEPHALOPOD DIET; HARBOR SEALS; BLUBBER</t>
  </si>
  <si>
    <t>Quantifying the foraging ecology of apex predators is crucial for understanding the predator-prey interactions in marine ecosystems. This is particularly important in the Southern Ocean ecosystem, where year-round studies are logistically and financially impractical. Detailed investigations into the diet of wide-ranging southern hemisphere marine predators, therefore, need to be quantified spatio-temporally. We coupled tracking data with fatty acid signature analysis (FASA) to investigate the foraging ecology of a wide-ranging Southern Ocean marine predator, the southern elephant seal (Mirounga leonina). Seal foraging areas varied spatially and over time, but seals concentrated their activities in three broad geographic regions (i) off the East Antarctic Continental Shelf (S-ACC), (ii) at the edge of the pack ice north of the Ross Sea (SE-RS) and (iii) north of the Sub-Antarctic Front (SE-SAF). There were significant differences in the fatty acid (FA) composition of the blubber from the seals that used these different regions. Seals foraging in the SE-SAF had blubber high in short chained mono-unsaturated fatty acids (SC-MUFAs), compared to those from the S-ACC and SE-RS habitats, which contained more poly-unsaturated fatty acids (PUFAs). Comparisons with FAs of known prey species in the region indicated that blubber collected from seals using the shelf and pelagic habitats (i.e. S-ACC and SE-SAP) were likely to have higher proportions of fish in the diet and, conversely, those from the pack-ice habitat (i.e. SE-RS) were more likely to have a cosmopolitan diet, i.e. an evenly mixed diet of fish and squid. Seal diet also varied annually, within the shelf and pelagic habitats changing from a diet relatively high in fish, to a diet relatively high in squid. Coupling tracking data with FASA is a powerful technique to investigate the spatio-temporal variations in the diet of wide-ranging marine predators. (C) 2013 Elsevier B.V. All rights reserved.</t>
  </si>
  <si>
    <t>[Banks, Janaya; Lea, Mary-Anne; McMahon, Give R.; Hindell, Mark A.] Univ Tasmania, Inst Marine &amp; Antarctic Studies, Hobart, Tas 7001, Australia; [Wall, Stephen] Australian Antarctic Div, Kingston, Tas 7050, Australia</t>
  </si>
  <si>
    <t>Banks, J (corresponding author), Univ Tasmania, Inst Marine &amp; Antarctic Studies, Hobart, Tas 7001, Australia.</t>
  </si>
  <si>
    <t>jclbanks@utas.edu.au</t>
  </si>
  <si>
    <t>Hindell, Mark A/K-1131-2013; Lea, Mary-Anne/E-9054-2013</t>
  </si>
  <si>
    <t>Hindell, Mark/0000-0002-7823-7185; Lea, Mary-Anne/0000-0001-8318-9299</t>
  </si>
  <si>
    <t>Antarctic Science Advisory Committee (ASAC); Australian Research Council (ARC); Natural Sciences and Engineering Research Council of Canada (NSRC); Fisheries Research and Development Corporation (FRDC); World Research and Rescue Foundation; University of Tasmania</t>
  </si>
  <si>
    <t>Antarctic Science Advisory Committee (ASAC); Australian Research Council (ARC)(Australian Research Council); Natural Sciences and Engineering Research Council of Canada (NSRC)(Natural Sciences and Engineering Research Council of Canada (NSERC)); Fisheries Research and Development Corporation (FRDC)(Fisheries R&amp;D Corp); World Research and Rescue Foundation; University of Tasmania</t>
  </si>
  <si>
    <t>We thank members of the 51st to 54th Australian National Antarctic Research Exhibitions (ANARE) for their logistic support, and H. Achurch, M. Biuw, C. Bradshaw, H. Burton, I. Field, J. Gibson, J. Harrington, D. Holdsworth, B. Mooney, R Munro, M. Nelson, M. Pauza, C.F. Phleger, M. Thums, J. van den Hoff, M. Webb, K. Wertz and K Wheatley for the assistance in the field and logistic or analytical support. Samples and data were collected with Australian Antarctic Animal Ethics Committee approval. Funding for this project was provided by the Antarctic Science Advisory Committee (ASAC), the Australian Research Council (ARC), the Natural Sciences and Engineering Research Council of Canada (NSRC), P. Rowsthorn, the Fisheries Research and Development Corporation (FRDC), the Sea World Research and Rescue Foundation and the University of Tasmania. [SS]</t>
  </si>
  <si>
    <t>10.1016/j.jembe.2013.10.024</t>
  </si>
  <si>
    <t>WOS:000330081700010</t>
  </si>
  <si>
    <t>Cleeland, JB; Lea, MA; Hindell, MA</t>
  </si>
  <si>
    <t>Cleeland, J. B.; Lea, M. -A.; Hindell, M. A.</t>
  </si>
  <si>
    <t>Use of the Southern Ocean by breeding Short-tailed shearwaters (Puffinus tenuirostris)</t>
  </si>
  <si>
    <t>Foraging behaviour; Geolocation; Tracking; Procelladiformes; Activity patterns; At-sea distribution</t>
  </si>
  <si>
    <t>SEA-ICE; PHYTOPLANKTON PRODUCTION; EUPHAUSIA-SUPERBA; ANIMAL MOVEMENT; BODY CONDITION; SEABIRDS; CONSTRAINTS; VARIABILITY; ALBATROSSES; PENGUINS</t>
  </si>
  <si>
    <t>During the breeding season, seabirds act as central place foragers, constrained to foraging locations nearer to the breeding colony. Variability in energetic demands during phases of the breeding period has the capacity to shape foraging behaviour and influence at-sea foraging behaviour of seabirds due to the changing requirements of the young. Short-tailed shearwaters (Puffinus tenuirostris) (STSH) are a migratory species that migrates between foraging grounds in the northern Pacific Ocean and breeding colonies in south-east Australia. They are known to traverse large sectors of the Southern Ocean to find prey; however the at-sea foraging locations of this species are not spatially and temporally well defined during the breeding season, when energetic requirements are at their peak. We aimed to define key foraging areas of STSH over the pre-laying, incubation and chick-rearing phases of the breeding cycle and identify associations with broad scale oceanographic features. Using lightlevel geolocation archival tag technology, 27 adults from a southern Tasmanian colony were tracked from their arrival in October to March (2010-2011), providing information on a total of 77 pre-laying exodus, incubation and chick-rearing flights throughout the Southern Ocean. During the pre-laying exodus and incubation phases, the birds visited waters of the sub-Antarctic Front and Polar Frontal Zone. After hatching, the birds made direct flights to the Marginal Ice Zone between 155E and 90 E. The Antarctic pack ice is a key nursery ground for Antarctic krill (Euphasia superba) over the winter months, and as the ice retreats they become more accessible to STSH when energetic demands, due to chick provisioning, are at their greatest. During late chick-rearing, the birds used waters in the region of the Antarctic Divergence. A foraging index created from activity data collected by the tags indicated that adults spent the greatest amount of time foraging at the furthest extent of each trip. This study has shown that STSH alter their foraging movements over the course of the breeding season, using areas that are likely to provide predictable food resources. (C) 2013 Elsevier B.V. All rights reserved.</t>
  </si>
  <si>
    <t>[Cleeland, J. B.; Lea, M. -A.; Hindell, M. A.] Univ Tasmania, Inst Marine &amp; Antarctic Studies, Hobart, Tas 7001, Australia</t>
  </si>
  <si>
    <t>Cleeland, JB (corresponding author), Univ Tasmania, Inst Marine &amp; Antarctic Studies, Private Bag 129, Hobart, Tas 7001, Australia.</t>
  </si>
  <si>
    <t>Jaimie.Cleeland@utas.edu.au</t>
  </si>
  <si>
    <t>Hindell, Mark/0000-0002-7823-7185; Lea, Mary-Anne/0000-0001-8318-9299; Cleeland, Jaimie/0000-0003-2196-3968</t>
  </si>
  <si>
    <t>University of Tasmania; Australian Geographic Society; Wildcare Tasmania; Royal Naval Bird Watching Society; Birdlife Tasmania</t>
  </si>
  <si>
    <t>The authors would like to thank P. Vertigan, C.Vertigan, O. Daniel, S. Griggs, L Einoder, J. Lavers and volunteers from Wildcare Tasmania. Our appreciation goes to M. Sumner and B. Raymond for their analytical advice and support and to the Australian Antarctic Data Centre for the access to oceanographic data. We also wish to acknowledge A. Stephens, R. Holmes, S. Talbot and Tassal Pty Ltd for the field support and assistance accessing the research site. Funding and equipment for this research was provided by the University of Tasmania, the Australian Geographic Society, the Wildcare Tasmania, the Royal Naval Bird Watching Society and the Birdlife Tasmania. The research was conducted under Animal Ethics Permit A0011338 from the University of Tasmania and wildlife permit FA10212 from the Department of Primary Industries, Parks, Water and Environment Tasmania. The authors also wish to thank the two anonymous reviewers whose comments greatly improved the quality of this manuscript. [SS]</t>
  </si>
  <si>
    <t>10.1016/j.jembe.2013.10.012</t>
  </si>
  <si>
    <t>WOS:000330081700013</t>
  </si>
  <si>
    <t>Morrow, R; Kestenare, E</t>
  </si>
  <si>
    <t>Morrow, Rosemary; Kestenare, Elodie</t>
  </si>
  <si>
    <t>Nineteen-year changes in surface salinity in the Southern Ocean south of Australia</t>
  </si>
  <si>
    <t>Surface salinity; Seasonal variations; Interannual variations; Sea ice cover</t>
  </si>
  <si>
    <t>GLOBAL PRECIPITATION</t>
  </si>
  <si>
    <t>A 19-year time series of underway sea surface salinity (SSS) data from the SURVOSTRAL line between Hobart, Australia and Adelie Land, Antarctica has revealed the distinct patterns of seasonal and interannual variability in two key zones of the Southern Ocean: in the Subantarctic Zone and in the Antarctic Zone. Both regions show a weak seasonal freshening of the surface waters over the summer months, with surface waters becoming shallower, warmer and fresher during the summer heating cycle. In the region north of the Subantarctic Front, interannual variations in the summer SSS signature are linked to the latitudinal movements of the Subtropical Front. When this front shifts southward, more high salinity subtropical waters are brought into the domain. Rather than responding to local wind stress forcing, the interannual SSS variability is strongly linked to southward flow from eastern Tasmania (the Tasman outflow), whose decadal variability responds with a 2-3 year delay to remote wind forcing in the South Pacific (Hill et al., 2008). Over this period, variations in the local surface freshwater forcing make a minor contribution to the SURVOSTRAL SSS signature. There appears to be a regime shift in the surface forcing and the SSS response, before and after the large perturbation in 2001-2002. In the Antarctic Zone, the summer SSS signature shows distinct biannual variations that are correlated with upstream sea-ice coverage in the preceding spring. There is no significant correlation between local precipitation changes and the SURVOSTRAL SSS time series. Rather, the integrated effects of upstream sea-ice melt dominate the interannual variations in SSS at the SURVOSTRAL line. Finally, a simple 2D Lagrangian particle analysis shows that in some years the surface waters circulate for a longer time in the northern part of the domain, where their freshwater content may be reduced by mixing with the surrounding waters. (C) 2013 Elsevier B.V. All rights reserved.</t>
  </si>
  <si>
    <t>Univ Toulouse 3 OMP, LEGOS, F-31062 Toulouse, France; IRD, Toulouse, France</t>
  </si>
  <si>
    <t>Universite de Toulouse; Universite Toulouse III - Paul Sabatier; Centre National de la Recherche Scientifique (CNRS); Institut de Recherche pour le Developpement (IRD); Laboratoire d'Etudes en Geophysique et oceanographie spatiales; Institut de Recherche pour le Developpement (IRD)</t>
  </si>
  <si>
    <t>Morrow, R (corresponding author), CNES CNRS IRD UPS, LEGOS, UMR5566, 14 Ave Edouard Belin, F-31400 Toulouse, France.</t>
  </si>
  <si>
    <t>Rosemary.Morrow@legos.obs-mip.fr</t>
  </si>
  <si>
    <t>KESTENARE, Elodie/0000-0002-6665-2146</t>
  </si>
  <si>
    <t>CNES</t>
  </si>
  <si>
    <t>CNES(Centre National D'etudes Spatiales)</t>
  </si>
  <si>
    <t>We benefited from numerous datasets made freely available. Those which are used in this manuscript include the ECMWF ERA interim (www.ecmwEint/research/era), the NCEP and NCEP/DOE2 reanalysis, the CMAP and GPCP V2.2 precipitation data provided by the NOAA/OAR/ESRL PSD, Boulder, Colorado, USA (www.esrl.noaa.gov/psd/), Woods Hole Institute OAFlux evaporation dataset (ftp://ftp.whoi.edu/pub/science/oaflux/data_v3), and the French Sea Surface Salinity Observation Service (www.legos.obs-mip.fr/observations/sss/). 3D temperature and salinities were collected and made freely available by the Coriolis project and programs that contribute to it (www.coriolis.eu.org). The SSMI data were obtained from the Centre de Recherche et d'Exploitation Satellitaire (CERSAT, http://cersatiftemer.fr), at IFREMER, Plouzane (France) using data from the NSIDC (Boulder, Colorado). The altimeter geostrophic current products were produced by Ssalto/Duacs and distributed by AVISO, with support from CNES (www.aviso.oceanobs.com/duacs). Finally, the authors would like to thank Ken Ridgway for his help in providing an updated Maria Island time series, and our two reviewers who provided interesting and constructive comments.</t>
  </si>
  <si>
    <t>10.1016/j.jmarsys.2013.09.011</t>
  </si>
  <si>
    <t>292DE</t>
  </si>
  <si>
    <t>WOS:000329881600041</t>
  </si>
  <si>
    <t>Cocito, S; Sgorbini, S</t>
  </si>
  <si>
    <t>Cocito, S.; Sgorbini, S.</t>
  </si>
  <si>
    <t>Long-term trend in substratum occupation by a clonal, carbonate bryozoan in a temperate rocky reef in times of thermal anomalies</t>
  </si>
  <si>
    <t>NATURAL CO2 VENTS; MASS-MORTALITY; PENTAPORA-FASCIALIS; CORAL-REEFS; MEDITERRANEAN BRYOZOAN; ANTARCTIC BRYOZOANS; OCEAN ACIDIFICATION; MYRIAPORA-TRUNCATA; MODULAR ORGANISMS; CARIBBEAN REEF</t>
  </si>
  <si>
    <t>Studies over time provide opportunities to detect variations in the spatial and temporal patterns of clonal organisms and measure changes on their population dynamics related to extreme events. We assessed population dynamics for a bryozoan species dominating a subtidal rocky reef at Tino Island, in the eastern Ligurian Sea (NW Mediterranean). Using 9 years of annual photosurveys (1997-2005), rapid decline in Pentapora fascialis colony cover was shown at 11 and 22 m depths following the anomalous warming events in 1999 and 2003. An 86 % reduction in live colony portion was found after the 1999 warming event (2.3 A degrees C higher than normal), with larger colonies being most affected. Effects from the 2003 event were delayed, and gradual cover decline occurred during the following 2 years. At the Shallow photostations, none of the larger colonies (&gt; 1,000 cm(2)) survived after the first cover decline. Availability of new substrate after the 1999 disturbance resulted in enhanced recovery through new colony production. At the Deep photostations, the population structure did not change over the duration of the monitoring period showing the same monomodal structure and same dominant size class (50-500 cmA(2)). In the 4 years following the first cover decline, the deeper population regained colony cover to levels similar to pre-disturbance level, showing a good resilience. This 9-year monitoring analysis provided the temporal resolution needed to detect changes occurring in the P. fascialis population and will contribute to the assessment of long-term changes on benthic populations suffering during recent decades from dramatic increases in extreme events.</t>
  </si>
  <si>
    <t>[Cocito, S.; Sgorbini, S.] ENEA, Marine Environm Res Ctr, I-19100 La Spezia, Italy</t>
  </si>
  <si>
    <t>Italian National Agency New Technical Energy &amp; Sustainable Economics Development</t>
  </si>
  <si>
    <t>Cocito, S (corresponding author), ENEA, Marine Environm Res Ctr, POB 224, I-19100 La Spezia, Italy.</t>
  </si>
  <si>
    <t>silvia.cocito@enea.it</t>
  </si>
  <si>
    <t>Cocito, Silvia/0000-0002-5607-7002</t>
  </si>
  <si>
    <t>10.1007/s00227-013-2310-9</t>
  </si>
  <si>
    <t>290XU</t>
  </si>
  <si>
    <t>WOS:000329792700003</t>
  </si>
  <si>
    <t>Guerrero-Feijóo, E; Nieto-Cid, M; Alvarez, M; Alvarez-Salgado, XA</t>
  </si>
  <si>
    <t>Guerrero-Feijoo, E.; Nieto-Cid, M.; Alvarez, M.; Alvarez-Salgado, X. A.</t>
  </si>
  <si>
    <t>Dissolved organic matter cycling in the confluence of the Atlantic and Indian oceans south of Africa</t>
  </si>
  <si>
    <t>Optimum multiparameter analysis (OMP); Apparent oxygen utilization (AOU); Dissolved organic carbon (DOC); Southern Ocean</t>
  </si>
  <si>
    <t>ANTARCTIC CIRCUMPOLAR CURRENT; APPARENT OXYGEN UTILIZATION; WATER MASSES; NORTH-ATLANTIC; DRAKE PASSAGE; DEEP-WATER; FLOW PATTERNS; ROSS SEA; CARBON; CIRCULATION</t>
  </si>
  <si>
    <t>The boundary between the Atlantic and Indian sectors of the Southern Ocean is a key spot of the thermohaline circulation, where the following water masses mix up: Indian Central water (ICW), South Atlantic Central Water (SACW), Antarctic Intermediate Water (AAIW), Circumpolar Deep Water (CDW), North Atlantic Deep Water (NADW), Weddell Sea Deep Water (WSDW) and Antarctic Winter Water (WW). An optimum multiparameter analysis based on the distributions of potential temperature, salinity, NO (=O-2+9.3 x NO3) and silicate during the GoodHope 2004 (GH04) cruise allowed us to (i) define the realms of these water masses: (ii) obtain the water mass proportion weighted-average (archetypal) apparent oxygen utilization (AOU) and dissolved organic carbon (DOC) concentrations of each water mass; and (iii) estimate the contribution of DOC to the oxygen demand of the study area. WW represented only 5.2% of the water volume sampled during GH04, followed by WSDW with 10.8%, NADW with 12.7%, SACW with 15.3%, AAIW with 23.1% and CDW with 32.8%. The distributions of DOC and AOU were mainly explained by the mixing of archetypal concentrations of these variables, 75 +/- 5% and 65 +/- 3% respectively, which retained the variability due to the basin-scale mineralization from the formation area to the barycentre of each water mass along the GH04 line. DOC accounted for 26 +/- 2% and 12 +/- 5% of the oxygen demand of the meso- and bathypelagic ocean, respectively. Conversely, local mineralization processes, retained by the residuals of the archetypal concentrations of DOC and AOU, did not contribute to improve significantly the mixing model of DOC. (C) 2013 Elsevier Ltd. All rights reserved.</t>
  </si>
  <si>
    <t>[Guerrero-Feijoo, E.; Nieto-Cid, M.; Alvarez-Salgado, X. A.] CSIC, IIM, Vigo 36208, Spain; [Alvarez, M.] Ctr Oceanogrof Coruna, IE0, Coruna 15080, Spain</t>
  </si>
  <si>
    <t>Consejo Superior de Investigaciones Cientificas (CSIC); CSIC - Instituto de Investigaciones Marinas (IIM)</t>
  </si>
  <si>
    <t>Alvarez-Salgado, XA (corresponding author), CSIC, IIM, Eduardo Cabello 6, Vigo 36208, Spain.</t>
  </si>
  <si>
    <t>xsalgado@iim.csic.es</t>
  </si>
  <si>
    <t>Álvarez, Marta/D-4367-2009; Alvarez-Salgado, Xose Anton/A-8365-2012; Nieto Cid, M. Mar/M-2734-2014</t>
  </si>
  <si>
    <t>Álvarez, Marta/0000-0002-5075-9344; Alvarez-Salgado, X. Anton/0000-0002-2387-9201; Nieto Cid, M. Mar/0000-0001-7614-4076; Guerrero-Feijoo, Elisa/0000-0002-9524-6059</t>
  </si>
  <si>
    <t>Spanish Ministry of Education and Science [CGL2005-23776-E]</t>
  </si>
  <si>
    <t>Spanish Ministry of Education and Science(Spanish Government)</t>
  </si>
  <si>
    <t>The authors wish to express their gratitude to the captain and crew of R/V Akademik Vavilov and the chief scientist, S. Gladyshev, and the participants in the GoodHope 2004 cruise. S. Speich was the project leader, V. Zuvarevich performed the inorganic nutrient and P. Branellec the dissolved oxygen analyses. Financial support for this work came from the Spanish Ministry of Education and Science Grant no. CGL2005-23776-E. This work constituted the Master thesis of E.G.-F. to get the Master in Oceanography from the University of Vigo.</t>
  </si>
  <si>
    <t>10.1016/j.dsr.2013.08.008</t>
  </si>
  <si>
    <t>290OT</t>
  </si>
  <si>
    <t>WOS:000329768900002</t>
  </si>
  <si>
    <t>Zhang, R; Zheng, MF; Chen, M; Ma, Q; Cao, JP; Qiu, YS</t>
  </si>
  <si>
    <t>Zhang, Run; Zheng, Minfang; Chen, Min; Ma, Qiang; Cao, Jianping; Qiu, Yusheng</t>
  </si>
  <si>
    <t>An isotopic perspective on the correlation of surface ocean carbon dynamics and sea ice melting in Prydz Bay (Antarctica) during austral summer</t>
  </si>
  <si>
    <t>delta C-13(POC); Ra-226; Meltwater fraction; CO2; Carbon biogeochemistry; Prydz Bay; Antarctica</t>
  </si>
  <si>
    <t>PARTICULATE ORGANIC-CARBON; SOUTHERN-OCEAN; INORGANIC CARBON; INDIAN-OCEAN; ARCTIC-OCEAN; WEDDELL SEA; ROSS SEA; PHYTOPLANKTON; MATTER; DELTA-C-13</t>
  </si>
  <si>
    <t>The stable carbon isotope composition of particulate organic carbon (delta C-13(POC)) and naturally occurring long-lived radionuclide Ra-226 (T-1/2=1600 a) were applied to study the variations of upper ocean ( &lt; 100 m) carbon dynamics in response to sea ice melting in Prydz Bay, East Antarctica during austral summer 2006. Surface delta C-13(POC) values ranged from -27.4 parts per thousand to -19.0 parts per thousand and generally decreased from inner bay (south of 67 5) toward the Antarctic Divergence. Surface water 226Ra activity concentration ranged from 0.92 to 2.09 Bq/m(3) (average 1.65 +/- 0.32 Bq/m(3), n=20) and increased toward the Antarctic Divergence, probably reflecting the influence of Ra-226-depleted meltwater and upwelled Ra-226-replete deep water. The fraction of meltwater, f(i) was estimated from 226Ra activity concentration and salinity using a three-component (along with Antarctic Summer Surface Water, and Prydz Bay Deep Water) mixing model. Although the fraction of meltwater is relatively minor (1.6-11.9%, average 4.1 +/- 2.7%, n=20) for the surface waters (sampled at similar to 6 m), a positive correlation between surface delta C-13(POC) and f(i) (delta C-13(POC)=0.94 x f(i) - 28.44, n=20, r(2)=0.66, p &lt; 0.0001) was found, implying that sea ice melting may have contributed to elevated delta C-13(POC) values in the inner Prydz Bay compared to the open oceanic waters. This is the first time for a relationship between delta C-13(POC) and meltwater fraction to be reported in polar oceans to our knowledge. We propose that sea ice melting may have affected surface ocean delta C-13(POC) by enhancing water column stability and providing a more favorable light environment for phytoplankton photosynthesis, resulting in drawdown of seawater CO2 availability, likely reducing the magnitude of isotope fractionation during biological carbon fixation. Our results highlight the linkage of ice melting and delta C-13(POC), providing insights into understanding the carbon cycling in the highly productive Antarctic waters. (C) 2013 Elsevier Ltd. All rights reserved.</t>
  </si>
  <si>
    <t>[Zhang, Run; Zheng, Minfang; Chen, Min; Ma, Qiang; Cao, Jianping; Qiu, Yusheng] Xiamen Univ, Coll Ocean &amp; Earth Sci, Xiamen 361005, Peoples R China; [Chen, Min; Qiu, Yusheng] Xiamen Univ, State Key Lab Marine Environm Sci, Xiamen 361005, Peoples R China</t>
  </si>
  <si>
    <t>Xiamen University; Xiamen University</t>
  </si>
  <si>
    <t>Chen, M (corresponding author), Xiamen Univ, Coll Ocean &amp; Earth Sci, Xiamen 361005, Peoples R China.</t>
  </si>
  <si>
    <t>mchen@xmu.edu.cn</t>
  </si>
  <si>
    <t>Ma, Qiang/ABB-2372-2020; ma, qiang/HCI-1013-2022; Chen, Min/B-7763-2012; Cao, Jianping/AFL-5468-2022; Zhang, Run/E-3534-2015</t>
  </si>
  <si>
    <t>Chen, Min/0000-0003-0369-694X; Cao, Jianping/0000-0002-1974-0047; Zhang, Run/0000-0002-7143-6077</t>
  </si>
  <si>
    <t>National Natural Science Foundation of China [41125020]; Chinese Arctic and Antarctic Administration [CHINARE2013-01-04-03, CHINARE2013-04-01-06]; State Oceanic Administration [201105022-4]</t>
  </si>
  <si>
    <t>National Natural Science Foundation of China(National Natural Science Foundation of China (NSFC)); Chinese Arctic and Antarctic Administration; State Oceanic Administration</t>
  </si>
  <si>
    <t>The authors gratefully acknowledge Chinese Arctic and Antarctic Administration (CAA) for organizing field work, the captain and crew of RN Xuelong for shipboard assistance, and the scientists of 22nd Chinese Antarctic Research Expedition team for support of sampling. We thank Gao Z., Mao H., Yang W., Zheng X., and Lin S. for helpful discussions. The anonymous reviewers provided valuable comments to improve the manuscript. This work was supported, in part, by a National Natural Science Foundation of China (41125020), a polar environment investigation and assessment supported by Chinese Arctic and Antarctic Administration (CHINARE2013-01-04-03, CHINARE2013-04-01-06), and special scientific research projects for public welfare supported by the State Oceanic Administration (201105022-4).</t>
  </si>
  <si>
    <t>10.1016/j.dsr.2013.08.006</t>
  </si>
  <si>
    <t>WOS:000329768900003</t>
  </si>
  <si>
    <t>Ma, H; Zeng, Z; He, JH; Han, ZB; Lin, WH; Chen, LQ; Cheng, JP; Zeng, S</t>
  </si>
  <si>
    <t>Ma, Hao; Zeng, Zhi; He, Jianhua; Han, Zhengbing; Lin, Wuhui; Chen, Liqi; Cheng, Jianping; Zeng, Shi</t>
  </si>
  <si>
    <t>234Th-derived particulate organic carbon export in the Prydz Bay, Antarctica</t>
  </si>
  <si>
    <t>Prydz Bay; Antarctica; Th-234; Particulate organic carbon</t>
  </si>
  <si>
    <t>UPPER OCEAN EXPORT; SOUTHERN-OCEAN; PARTICLE EXPORT; BIOGENIC SILICA; SPRING BLOOM; POLAR FRONT; TH-234; SEA; FLUX; URANIUM</t>
  </si>
  <si>
    <t>Th-234 activities in sea water were measured using Fe(OH)(3) co-precipitation and beta counting at six stations in Prydz Bay in March 2008 during the 24th Chinese National Antarctic Research Expedition. Total Th-234 activities ranged from 0.96 to 2.44 dpm L-1 with an average of 1.61 dpm L-1, showing an apparent deficit with respect to U-238 due to scavenging and export with particles. With a one-dimensional steady state model, Th-234 export fluxes were converted to particulate organic carbon (POC) export using bottle ratios of POC concentrations to particulate Th-234 activities on suspended particles. POC fluxes at the depth of 100 m varied between 33 and 297 mmol m(-2) day(-1), comparable to prior work in the same region and higher than those of some other sea areas in the Southern Ocean, and indicated efficient running of biological pump in Prydz Bay. The results could be helpful to expand the knowledge of carbon cycle in seasonally ice-covered coastal regions around Antarctica.</t>
  </si>
  <si>
    <t>[Ma, Hao; Zeng, Zhi; Lin, Wuhui; Cheng, Jianping; Zeng, Shi] Tsinghua Univ, Dept Engn Phys, Beijing 100084, Peoples R China; [Ma, Hao; Zeng, Zhi; Cheng, Jianping] Tsinghua Univ, Key Lab Particle &amp; Radiat Imaging, Minist Educ, Beijing 100084, Peoples R China; [He, Jianhua; Lin, Wuhui; Chen, Liqi] State Ocean Adm, Key Lab Global Change &amp; Marine Atmospher Chem, Inst Oceanog 3, Xiamen 361005, Peoples R China; [Han, Zhengbing] State Ocean Adm, Lab Marine Ecosyst &amp; Biogeochem, Inst Oceanog 2, Hangzhou 310012, Zhejiang, Peoples R China</t>
  </si>
  <si>
    <t>Tsinghua University; Tsinghua University; Third Institute of Oceanography, Ministry of Natural Resources</t>
  </si>
  <si>
    <t>Ma, H (corresponding author), Tsinghua Univ, Dept Engn Phys, Beijing 100084, Peoples R China.</t>
  </si>
  <si>
    <t>mahao@tsinghua.edu.cn</t>
  </si>
  <si>
    <t>Ma, Hao/B-7439-2018; Zeng, Zhi/ADI-3767-2022</t>
  </si>
  <si>
    <t>Ma, Hao/0000-0001-8585-6665; Zeng, Zhi/0000-0003-1243-7675</t>
  </si>
  <si>
    <t>National Nature Science Foundation of China [11205094, 41106167, 41076134]; Tsinghua University Initiative Scientific Research Program [2010Z07108]</t>
  </si>
  <si>
    <t>National Nature Science Foundation of China(National Natural Science Foundation of China (NSFC)); Tsinghua University Initiative Scientific Research Program</t>
  </si>
  <si>
    <t>This work was supported by the National Nature Science Foundation of China (11205094, 41106167 and 41076134) and Tsinghua University Initiative Scientific Research Program (2010Z07108). We appreciate the assistance of Jiuxin Shi, Renfeng Ge, Chuanyu Hu and other colleagues of 24th Chinese National Antarctic Research Expedition with CTD data and sample collection. We also give thanks to Wenliang Wei and Quan Shen along with the crew of the R/V Xuelong for their help during the cruise. We are grateful to two anonymous reviewers for their constructive comments on manuscript.</t>
  </si>
  <si>
    <t>10.1007/s10967-013-2842-y</t>
  </si>
  <si>
    <t>284EP</t>
  </si>
  <si>
    <t>WOS:000329299200080</t>
  </si>
  <si>
    <t>Gulin, SB</t>
  </si>
  <si>
    <t>Gulin, S. B.</t>
  </si>
  <si>
    <t>234Th-based measurements of particle flux in surface water of the Bransfield Strait, western Antarctica</t>
  </si>
  <si>
    <t>Thorium-234; Particle flux; Bransfield Strait; Antarctica</t>
  </si>
  <si>
    <t>THORIUM ISOTOPES; SCAVENGING RATES; ORGANIC-CARBON; SPRING BLOOM; POLAR FRONT; EXPORT; CIRCULATION; OCEAN; SUMMER; TRANSPORT</t>
  </si>
  <si>
    <t>Measurements of particulate and dissolved Th-234 were carried out in March 2002 in the Bransfield Strait located between the Antarctic Peninsula and the South Shetland Islands. The Th-234/U-238 disequilibrium found in the upper water column has allowed evaluation of downward particle fluxes across a frontal zone, which divides water masses coming from the Bellingshausen Sea and the Weddell Sea. The highest particle flux has been found in this mixing zone, where it was 3-5 times greater than in the adjacent waters. Total mass fluxes in the upper 150-m water column were estimated as about 2.2 g m(-2) day(-1) in the eastern part of the Strait and 3.1 g m(-2) day(-1) in the western area.</t>
  </si>
  <si>
    <t>[Gulin, S. B.] Sevastopol Natl Univ Nucl Energy &amp; Ind, UA-99015 Sevastopol, Autonomous Repu, Ukraine; [Gulin, S. B.] Natl Acad Sci Ukraine, AO Kovalevskiy Inst Biol Southern Seas, UA-99011 Sevastopol, Autonomous Repu, Ukraine</t>
  </si>
  <si>
    <t>National Academy of Sciences Ukraine; Russian Academy of Sciences; AO Kovalevsky Institute of Biology of the Southern Seas of RAS (IBSS)</t>
  </si>
  <si>
    <t>Gulin, SB (corresponding author), Natl Acad Sci Ukraine, AO Kovalevskiy Inst Biol Southern Seas, Nakhimov Av 2, UA-99011 Sevastopol, Autonomous Repu, Ukraine.</t>
  </si>
  <si>
    <t>s.gulin@ibss.org.ua</t>
  </si>
  <si>
    <t>Gulin, Sergey/0000-0001-8692-4666</t>
  </si>
  <si>
    <t>10.1007/s10967-013-2725-2</t>
  </si>
  <si>
    <t>WOS:000329299200106</t>
  </si>
  <si>
    <t>Pietroni, I; Argentini, S; Petenko, I</t>
  </si>
  <si>
    <t>Pietroni, Ilaria; Argentini, Stefania; Petenko, Igor</t>
  </si>
  <si>
    <t>One Year of Surface-Based Temperature Inversions at Dome C, Antarctica</t>
  </si>
  <si>
    <t>BOUNDARY-LAYER METEOROLOGY</t>
  </si>
  <si>
    <t>Antarctic plateau; Microwave radiometer; Temperature inversion; Temperature profiles</t>
  </si>
  <si>
    <t>ENERGY BALANCE; SOUTH-POLE; SITE; SIMULATIONS; VARIABILITY; GREENLAND; PROFILES; HUMIDITY; PLATEAU; SUMMER</t>
  </si>
  <si>
    <t>In 2005 the Study of Stable Boundary Layer Environment at Dome C (STABLEDC) experimental campaign was conducted at the plateau station of Concordia at Dome C, Antarctica. Temperature profiles measured with a microwave radiometer were used to study the characteristics of surface-based temperature inversions over the course of a year. Statistics of temperature profiles for every month are discussed; the difference between daytime and nocturnal cases observed during the summer months disappears during winter. Surface-based temperature inversions occurred in 70 % of the time during summer, and almost all of the time during winter. During winter the occurrence of warming events leads to a decrease in the temperature difference between the top and the base of the inversion (i.e. the inversion strength). The inversion strength maxima ranged between (December) and (August) corresponding to gradients of 0.1 and , respectively. The average surface-based inversion height presents a daily cycle during the summer months with values up to 200 m in the morning hours, while it affects a layer always deeper than 100 m during the winter months. The relationships between inversion strength and the downward longwave radiative flux, absolute temperature, and wind speed are examined. The inversion strength decreases as the longwave radiation increases. A clear anti-correlation between inversion strength and near-surface temperature is evident throughout the year. During the winter, the largest inversion strength values were observed under low wind-speed conditions; in contrast, a clear dependence was not found during the summer.</t>
  </si>
  <si>
    <t>[Pietroni, Ilaria; Argentini, Stefania; Petenko, Igor] CNR, ISAC, Inst Atmospher Sci &amp; Climate, I-00133 Rome, Italy; [Petenko, Igor] RAS, AM Obukhov Inst Atmospher Phys, Moscow 119017, Russia</t>
  </si>
  <si>
    <t>Consiglio Nazionale delle Ricerche (CNR); Istituto di Scienze dell'Atmosfera e del Clima (ISAC-CNR); Russian Academy of Sciences; Obukhov Institute of Atmospheric Physics of Russian Academy of Sciences</t>
  </si>
  <si>
    <t>Pietroni, I (corresponding author), CNR, ISAC, Inst Atmospher Sci &amp; Climate, Via Fosso Cavaliere 100, I-00133 Rome, Italy.</t>
  </si>
  <si>
    <t>ilaria.pietroni@artov.isac.cnr.it</t>
  </si>
  <si>
    <t>ARGENTINI, STEFANIA/0000-0002-7939-0309; PETENKO, IGOR/0000-0002-8475-5018</t>
  </si>
  <si>
    <t>Italian Antarctic Research Programme (PNRA)</t>
  </si>
  <si>
    <t>This research was supported by the Italian Antarctic Research Programme (PNRA) in the framework of the French-Italian Dome C project. The authors wish to thank the logistics staff at Concordia for their support during the experimental fieldwork and everyone who contributed to the field experiments. The authors thank the RMO staff for providing radiosoundings at Concordia. Special thanks are due to Dr. G. Dargaud who spent the winter 2005 at Concordia station. The authors also wish to thank Dr. G. Mastrantonio, Dr. A. Viola and Mr. A. Conidi for their contributions in the realization of STABLEDC.</t>
  </si>
  <si>
    <t>0006-8314</t>
  </si>
  <si>
    <t>1573-1472</t>
  </si>
  <si>
    <t>BOUND-LAY METEOROL</t>
  </si>
  <si>
    <t>Bound.-Layer Meteor.</t>
  </si>
  <si>
    <t>10.1007/s10546-013-9861-7</t>
  </si>
  <si>
    <t>284WD</t>
  </si>
  <si>
    <t>WOS:000329351300007</t>
  </si>
  <si>
    <t>de la Mare, WK</t>
  </si>
  <si>
    <t>de la Mare, William K.</t>
  </si>
  <si>
    <t>Estimating relative abundance of whales from historical Antarctic whaling records</t>
  </si>
  <si>
    <t>CANADIAN JOURNAL OF FISHERIES AND AQUATIC SCIENCES</t>
  </si>
  <si>
    <t>Catch per unit effort (CPUE) is often the only data available from historical fisheries for inferring distribution and abundance of exploited populations. CPUE underestimates variations in relative abundance when gross effort data are only measured in total operating days. Gross effort includes both searching time and handling time, but only searching time is useful for an index of abundance. A method is developed for estimating searching time by subtracting a maximum likelihood estimate of handling time from the gross effort. An expectation maximization (E-M) algorithm is used to combine maximum likelihood estimates of the handling time with the expected additional operating time due to handling the last catch of each day. Simulation tests show that the estimates of catch per unit of searching time (C/CSW) are much closer to proportionally related to local density than gross CPUE. Estimates of handling time are not unbiased, and some nonlinearity between local density and C/CSW may persist. The methods may be useful for other fisheries where historic gross catch and effort data involve both searching and handling.</t>
  </si>
  <si>
    <t>Australian Antarctic Div, Kingston, Tas 7050, Australia</t>
  </si>
  <si>
    <t>de la Mare, WK (corresponding author), Australian Antarctic Div, Channel Highway, Kingston, Tas 7050, Australia.</t>
  </si>
  <si>
    <t>bill.delamare@aad.gov.au</t>
  </si>
  <si>
    <t>1200 MONTREAL ROAD, BUILDING M-55, OTTAWA, ON K1A 0R6, CANADA</t>
  </si>
  <si>
    <t>0706-652X</t>
  </si>
  <si>
    <t>1205-7533</t>
  </si>
  <si>
    <t>CAN J FISH AQUAT SCI</t>
  </si>
  <si>
    <t>Can. J. Fish. Aquat. Sci.</t>
  </si>
  <si>
    <t>10.1139/cjfas-2013-0016</t>
  </si>
  <si>
    <t>283AZ</t>
  </si>
  <si>
    <t>WOS:000329217900010</t>
  </si>
  <si>
    <t>Haigh, ID; Wijeratne, EMS; MacPherson, LR; Pattiaratchi, CB; Mason, MS; Crompton, RP; George, S</t>
  </si>
  <si>
    <t>Haigh, Ivan D.; Wijeratne, E. M. S.; MacPherson, Leigh R.; Pattiaratchi, Charitha B.; Mason, Matthew S.; Crompton, Ryan P.; George, Steve</t>
  </si>
  <si>
    <t>Estimating present day extreme water level exceedance probabilities around the coastline of Australia: tides, extra-tropical storm surges and mean sea level</t>
  </si>
  <si>
    <t>Extreme water levels; Storm surges; Tides; Extra-tropical cyclones; Tropical cyclones; Hurricanes; Return levels; Return periods; Australia</t>
  </si>
  <si>
    <t>CLIMATE-CHANGE; NUMERICAL-MODEL; REANALYSIS; UK; VARIABILITY; DEPENDENCE; FREQUENCY; SCENARIO; WIND</t>
  </si>
  <si>
    <t>The occurrence of extreme water levels along low-lying, highly populated and/or developed coastlines can lead to considerable loss of life and billions of dollars of damage to coastal infrastructure. Therefore it is vitally important that the exceedance probabilities of extreme water levels are accurately evaluated to inform risk-based flood management, engineering and future land-use planning. This ensures the risk of catastrophic structural failures due to under-design or expensive wastes due to over-design are minimised. This paper estimates for the first time present day extreme water level exceedence probabilities around the whole coastline of Australia. A high-resolution depth averaged hydrodynamic model has been configured for the Australian continental shelf region and has been forced with tidal levels from a global tidal model and meteorological fields from a global reanalysis to generate a 61-year hindcast of water levels. Output from this model has been successfully validated against measurements from 30 tide gauge sites. At each numeric coastal grid point, extreme value distributions have been fitted to the derived time series of annual maxima and the several largest water levels each year to estimate exceedence probabilities. This provides a reliable estimate of water level probabilities around southern Australia; a region mainly impacted by extra-tropical cyclones. However, as the meteorological forcing used only weakly includes the effects of tropical cyclones, extreme water level probabilities are underestimated around the western, northern and north-eastern Australian coastline. In a companion paper we build on the work presented here and more accurately include tropical cyclone-induced surges in the estimation of extreme water level. The multi-decadal hindcast generated here has been used primarily to estimate extreme water level exceedance probabilities but could be used more widely in the future for a variety of other research and practical applications.</t>
  </si>
  <si>
    <t>[Haigh, Ivan D.] Univ Southampton, Natl Oceanog Ctr, Southampton SO14 3Z, Hants, England; [Haigh, Ivan D.; Wijeratne, E. M. S.; MacPherson, Leigh R.; Pattiaratchi, Charitha B.] Univ Western Australia, Sch Environm Syst Engn, Crawley, WA 6009, Australia; [Haigh, Ivan D.; Wijeratne, E. M. S.; MacPherson, Leigh R.; Pattiaratchi, Charitha B.] Univ Western Australia, UWA Oceans Inst, Crawley, WA 6009, Australia; [Mason, Matthew S.; Crompton, Ryan P.] Macquarie Univ, Nat Hazards Res Ctr, Sydney, NSW 2109, Australia; [George, Steve] Antarctic Climate &amp; Ecosyst Cooperat Res Ctr, Hobart, Tas 7001, Australia</t>
  </si>
  <si>
    <t>University of Southampton; NERC National Oceanography Centre; University of Western Australia; University of Western Australia; Macquarie University; Antarctic Climate &amp; Ecosystems Cooperative Research Centre (ACE CRC)</t>
  </si>
  <si>
    <t>Haigh, ID (corresponding author), Univ Southampton, Natl Oceanog Ctr, European Way, Southampton SO14 3Z, Hants, England.</t>
  </si>
  <si>
    <t>I.D.Haigh@soton.ac.uk; wijeratn@sese.uwa.edu.au; leigh.macpherson@uwa.edu.au; pattiara@sese.uwa.edu.au; matthew.mason@mq.edu.au; ryan.crompton@mq.edu.au; steve.george@utas.edu.au</t>
  </si>
  <si>
    <t>Mason, Matthew S/HPF-5216-2023; Haigh, Ivan D/A-6575-2010; Pattiaratchi, Charitha/E-6916-2011</t>
  </si>
  <si>
    <t>Mason, Matthew S/0000-0003-4622-693X; George, Steve/0000-0002-0396-0299; Pattiaratchi, Charitha/0000-0003-2229-6183</t>
  </si>
  <si>
    <t>Australian Department of Climate Change and Energy Efficiency; Western Australian Department of Transport; Western Australian Marine Science Institution</t>
  </si>
  <si>
    <t>Australian Department of Climate Change and Energy Efficiency(Australian Government); Western Australian Department of Transport; Western Australian Marine Science Institution</t>
  </si>
  <si>
    <t>We would like to thank the Australian National Tidal Centre, Western Australian Department of Transport, Sydney Ports Corporation and Fremantle Ports for supplying the tide-gauge datasets, Tessa Jakszewicz for managing the project, and Matthew Eliot for useful discussions regarding the study. We would also like to acknowledge Kathleen McInnes, Robert Nicholls, Thomas Wahl and an anonymous reviewer whose helpful comments and suggestions greatly improved the final paper. This study was funded by the Australian Department of Climate Change and Energy Efficiency and the Western Australian Department of Transport, and builds on an earlier study funded by the Western Australian Marine Science Institution.</t>
  </si>
  <si>
    <t>10.1007/s00382-012-1652-1</t>
  </si>
  <si>
    <t>283HY</t>
  </si>
  <si>
    <t>WOS:000329238300008</t>
  </si>
  <si>
    <t>Haigh, ID; MacPherson, LR; Mason, MS; Wijeratne, EMS; Pattiaratchi, CB; Crompton, RP; George, S</t>
  </si>
  <si>
    <t>Haigh, Ivan D.; MacPherson, Leigh R.; Mason, Matthew S.; Wijeratne, E. M. S.; Pattiaratchi, Charitha B.; Crompton, Ryan P.; George, Steve</t>
  </si>
  <si>
    <t>Estimating present day extreme water level exceedance probabilities around the coastline of Australia: tropical cyclone-induced storm surges</t>
  </si>
  <si>
    <t>CLIMATE-CHANGE; WIND; FREQUENCY; IMPACT; MODEL; RISK</t>
  </si>
  <si>
    <t>The incidence of major storm surges in the last decade have dramatically emphasized the immense destructive capabilities of extreme water level events, particularly when driven by severe tropical cyclones. Given this risk, it is vitally important that the exceedance probabilities of extreme water levels are accurately evaluated to inform risk-based flood and erosion management, engineering and for future land-use planning and to ensure the risk of catastrophic structural failures due to under-design or expensive wastes due to over-design are minimised. Australia has a long history of coastal flooding from tropical cyclones. Using a novel integration of two modeling techniques, this paper provides the first estimates of present day extreme water level exceedance probabilities around the whole coastline of Australia, and the first estimates that combine the influence of astronomical tides, storm surges generated by both extra-tropical and tropical cyclones, and seasonal and inter-annual variations in mean sea level. Initially, an analysis of tide gauge records has been used to assess the characteristics of tropical cyclone-induced surges around Australia. However, given the dearth (temporal and spatial) of information around much of the coastline, and therefore the inability of these gauge records to adequately describe the regional climatology, an observationally based stochastic tropical cyclone model has been developed to synthetically extend the tropical cyclone record to 10,000 years. Wind and pressure fields derived for these synthetically generated events have then been used to drive a hydrodynamic model of the Australian continental shelf region with annual maximum water levels extracted to estimate exceedance probabilities around the coastline. To validate this methodology, selected historic storm surge events have been simulated and resultant storm surges compared with gauge records. Tropical cyclone induced exceedance probabilities have been combined with estimates derived from a 61-year water level hindcast described in a companion paper to give a single estimate of present day extreme water level probabilities around the whole coastline of Australia. Results of this work are freely available to coastal engineers, managers and researchers via a web-based tool (www.sealevelrise.info). The described methodology could be applied to other regions of the world, like the US east coast, that are subject to both extra-tropical and tropical cyclones.</t>
  </si>
  <si>
    <t>[Haigh, Ivan D.] Univ Southampton, Natl Oceanog Ctr, Southampton SO14 3Z, Hants, England; [Haigh, Ivan D.; MacPherson, Leigh R.; Wijeratne, E. M. S.; Pattiaratchi, Charitha B.] Univ Western Australia, Sch Environm Syst Engn, Crawley, WA 6009, Australia; [Haigh, Ivan D.; MacPherson, Leigh R.; Wijeratne, E. M. S.; Pattiaratchi, Charitha B.] Univ Western Australia, UWA Oceans Inst, Crawley, WA 6009, Australia; [Mason, Matthew S.; Crompton, Ryan P.] Macquarie Univ, Nat Hazards Res Ctr, Sydney, NSW 2109, Australia; [George, Steve] Antarctic Climate &amp; Ecosyst Cooperat Res Ctr, Hobart, Tas 7001, Australia</t>
  </si>
  <si>
    <t>MacPherson, LR (corresponding author), Univ Western Australia, Sch Environm Syst Engn, M470,35 Stirling Highway, Crawley, WA 6009, Australia.</t>
  </si>
  <si>
    <t>I.D.Haigh@soton.ac.uk; leigh.macpherson@uwa.edu.au; matthew.mason@mq.edu.au; wijeratn@sese.uwa.edu.au; pattiara@sese.uwa.edu.au; ryan.crompton@mq.edu.au; steve.george@utas.edu.au</t>
  </si>
  <si>
    <t>We would like to thank the Australian National Tidal Centre, Western Australian Department of Transport, Sydney Ports Corporation and Fremantle Ports for supplying the tide-gauge datasets, Tessa Jakszewicz for managing the project, and Matthew Eliot for useful discussions regarding the study. We would also like to acknowledge Kathleen McInnes, Robert Nicholls, Thomas Wahl and Phil Watson whose helpful comments and suggestions greatly improved the final paper. This study was funded by the Australian Department of Climate Change and Energy Efficiency and the Western Australian Department of Transport, and builds on an earlier study funded by the Western Australian Marine Science Institution.</t>
  </si>
  <si>
    <t>10.1007/s00382-012-1653-0</t>
  </si>
  <si>
    <t>WOS:000329238300009</t>
  </si>
  <si>
    <t>Cimatoribus, AA; Drijfhout, SS; Dijkstra, HA</t>
  </si>
  <si>
    <t>Cimatoribus, Andrea A.; Drijfhout, Sybren S.; Dijkstra, Henk A.</t>
  </si>
  <si>
    <t>Meridional overturning circulation: stability and ocean feedbacks in a box model</t>
  </si>
  <si>
    <t>Atlantic; Meridional overturning circulation; Stability; Freshwater; Salt-advection feedback; Southern subtropical gyre</t>
  </si>
  <si>
    <t>THERMOHALINE CIRCULATION; ATLANTIC; BOUNDARY; DRIVEN; BALANCE</t>
  </si>
  <si>
    <t>A box model of the inter-hemispheric Atlantic meridional overturning circulation is developed, including a variable pycnocline depth for the tropical and subtropical regions. The circulation is forced by winds over a periodic channel in the south and by freshwater forcing at the surface. The model is aimed at investigating the ocean feedbacks related to perturbations in freshwater forcing from the atmosphere, and to changes in freshwater transport in the ocean. These feedbacks are closely connected with the stability properties of the meridional overturning circulation, in particular in response to freshwater perturbations. A separate box is used for representing the region north of the Antarctic circumpolar current in the Atlantic sector. The density difference between this region and the north of the basin is then used for scaling the downwelling in the north. These choices are essential for reproducing the sensitivity of the meridional overturning circulation observed in general circulation models, and therefore suggest that the southernmost part of the Atlantic Ocean north of the Drake Passage is of fundamental importance for the stability of the meridional overturning circulation. With this configuration, the magnitude of the freshwater transport by the southern subtropical gyre strongly affects the response of the meridional overturning circulation to external forcing. The role of the freshwater transport by the overturning circulation (M (ov) ) as a stability indicator is discussed. It is investigated under which conditions its sign at the latitude of the southern tip of Africa can provide information on the existence of a second, permanently shut down, state of the overturning circulation in the box model. M (ov) will be an adequate indicator of the existence of multiple equilibria only if salt-advection feedback dominates over other processes in determining the response of the circulation to freshwater anomalies. M (ov) is a perfect indicator if feedbacks other than salt-advection are negligible.</t>
  </si>
  <si>
    <t>[Cimatoribus, Andrea A.; Drijfhout, Sybren S.] Royal Netherlands Meteorol Inst, NL-3730 AE De Bilt, Netherlands; [Dijkstra, Henk A.] Univ Utrecht, Inst Marine &amp; Atmospher Res Utrecht, Utrecht, Netherlands</t>
  </si>
  <si>
    <t>Royal Netherlands Meteorological Institute; Utrecht University</t>
  </si>
  <si>
    <t>Cimatoribus, AA (corresponding author), Royal Netherlands Meteorol Inst, POB 201, NL-3730 AE De Bilt, Netherlands.</t>
  </si>
  <si>
    <t>cimatori@knmi.nl</t>
  </si>
  <si>
    <t>Dijkstra, Henk A./H-2559-2016; Drijfhout, Sybren/I-4230-2016</t>
  </si>
  <si>
    <t>Drijfhout, Sybren/0000-0001-5325-7350</t>
  </si>
  <si>
    <t>Netherlands Organization for Scientific Research (NWO)</t>
  </si>
  <si>
    <t>Netherlands Organization for Scientific Research (NWO)(Netherlands Organization for Scientific Research (NWO))</t>
  </si>
  <si>
    <t>A.A.C. acknowledges the Netherlands Organization for Scientific Research (NWO) for funding in the ALW program. The authors would like to thank three anonymous reviewers for their constructive, insightful and very useful comments.</t>
  </si>
  <si>
    <t>10.1007/s00382-012-1576-9</t>
  </si>
  <si>
    <t>WOS:000329238300019</t>
  </si>
  <si>
    <t>Oliver, ECJ</t>
  </si>
  <si>
    <t>Oliver, Eric C. J.</t>
  </si>
  <si>
    <t>Intraseasonal variability of sea level and circulation in the Gulf of Thailand: the role of the Madden-Julian Oscillation</t>
  </si>
  <si>
    <t>Madden-Julian Oscillation; Predictability; Wind-driven circulation; Shelf circulation</t>
  </si>
  <si>
    <t>EQUATORIAL INDIAN-OCEAN; PACIFIC; WIND; TEMPERATURE</t>
  </si>
  <si>
    <t>Intraseasonal variability of the tropical Indo-Pacific ocean is strongly related to the Madden-Julian Oscillation (MJO). Shallow seas in this region, such as the Gulf of Thailand, act as amplifiers of the direct ocean response to surface wind forcing by efficient setup of sea level. Intraseasonal ocean variability in the Gulf of Thailand region is examined using statistical analysis of local tide gauge observations and surface winds. The tide gauges detect variability on intraseasonal time scales that is related to the MJO through its effect on local wind. The relationship between the MJO and the surface wind is strongly seasonal, being most vigorous during the monsoon, and direction-dependent. The observations are then supplemented with simulations of sea level and circulation from a fully nonlinear barotropic numerical ocean model (Princeton Ocean Model). The numerical model reproduces well the intraseasonal sea level variability in the Gulf of Thailand and its seasonal modulations. The model is then used to map the wind-driven response of sea level and circulation in the entire Gulf of Thailand. Finally, the predictability of the setup and setdown signal is discussed by relating it to the, potentially predictable, MJO index.</t>
  </si>
  <si>
    <t>Univ Tasmania, Inst Marine &amp; Antarctic Studies, Hobart, Tas, Australia</t>
  </si>
  <si>
    <t>Oliver, ECJ (corresponding author), Univ Tasmania, Inst Marine &amp; Antarctic Studies, Hobart, Tas, Australia.</t>
  </si>
  <si>
    <t>Oliver, Eric/G-5118-2014</t>
  </si>
  <si>
    <t>Oliver, Eric/0000-0002-4006-2826</t>
  </si>
  <si>
    <t>10.1007/s00382-012-1595-6</t>
  </si>
  <si>
    <t>WOS:000329238300024</t>
  </si>
  <si>
    <t>Oliver, ECJ; Holbrook, NJ</t>
  </si>
  <si>
    <t>Oliver, Eric C. J.; Holbrook, Neil J.</t>
  </si>
  <si>
    <t>A Statistical Method for Improving Continental Shelf and Nearshore Marine Climate Predictions</t>
  </si>
  <si>
    <t>Australia; Continental shelf; slope; Statistical techniques; Ocean models; Regional models; Oceanic variability</t>
  </si>
  <si>
    <t>GENERAL-CIRCULATION MODEL; EAST AUSTRALIAN CURRENT; REGIONAL CLIMATE; OCEAN MODEL; TEMPERATURE; PRECIPITATION; SIMULATION; RESOLUTION; SCENARIOS; RAINFALL</t>
  </si>
  <si>
    <t>Spatially and temporally homogeneous measurements of ocean temperature variability at high resolution on the continental shelf are scarce. Daily estimates of large-scale ocean properties are readily available from global ocean reanalysis products. However, the ocean models that underpin these reanalysis products tend not to have been designed for the simulation of complex coastal ocean variability. Hence, across-shelf values are often poorly represented. This study involved developing a statistical approach to more accurately and robustly represent SST on the continental shelf informed by large-scale satellite observations and reanalysis data or model output. Using the southeastern Australian shelf region as a case study, this paper demonstrates that this statistical model approach generates more accurate estimates of the inshore SST using (i) offshore SST from Bluelink Reanalysis (BRAN) and (ii) the statistical relationship between inshore and offshore SST in observations from the Advanced Very High Resolution Radiometer. SST is separated into the mean, seasonal cycle, and residual variability, and separate models are developed for each component. The offshore locations used to inform the model are determined by taking into account (i) the quality of BRAN at each location, (ii) the strength between the inshore and offshore variability, and (iii) the proximity of the inshore and offshore locations. Model predictions are made for the continental shelf around southeastern Australia. The role of the mean circulation in providing connectivity between the shelf and the offshore regions is discussed, and how this information can be used to better inform the choice of model predictor locations, leading to a hybrid statistical-connectivity model.</t>
  </si>
  <si>
    <t>[Oliver, Eric C. J.; Holbrook, Neil J.] Univ Tasmania, Inst Marine &amp; Antarctic Studies, Hobart, Tas 7001, Australia; [Holbrook, Neil J.] Australian Res Council Ctr Excellence Climate Sys, Hobart, Tas 7001, Australia</t>
  </si>
  <si>
    <t>Holbrook, Neil/M-7544-2013; Oliver, Eric/G-5118-2014</t>
  </si>
  <si>
    <t>Holbrook, Neil/0000-0002-3523-6254; Oliver, Eric/0000-0002-4006-2826</t>
  </si>
  <si>
    <t>The AVHRR data were provided by the Group for High Resolution SST (GHRSST) and the U.S. National Oceanographic Data Center. The authors thank Matthew Chamberlain and Simon Wotherspoon for the helpful discussions. The authors acknowledge funding from the Australian Research Council Super Science Fellowship (Grant FS110200029). The authors also acknowledge the two anonymous reviewers for their helpful and insightful comments.</t>
  </si>
  <si>
    <t>10.1175/JTECH-D-13-00052.1</t>
  </si>
  <si>
    <t>287LZ</t>
  </si>
  <si>
    <t>Green Accepted, Bronze, Green Submitted</t>
  </si>
  <si>
    <t>WOS:000329544600009</t>
  </si>
  <si>
    <t>Sriver, RL; Timmermann, A; Mann, ME; Keller, K; Goosse, H</t>
  </si>
  <si>
    <t>Sriver, Ryan L.; Timmermann, Axel; Mann, Michael E.; Keller, Klaus; Goosse, Hugues</t>
  </si>
  <si>
    <t>Improved Representation of Tropical Pacific Ocean-Atmosphere Dynamics in an Intermediate Complexity Climate Model</t>
  </si>
  <si>
    <t>Atmosphere-ocean interaction; Climate variability; ENSO; Climate models</t>
  </si>
  <si>
    <t>EL-NINO; EQUATORIAL PACIFIC; PART II; ENSO; FEEDBACKS; SYSTEM; VARIABILITY; CIRCULATION; CONVECTION; EVOLUTION</t>
  </si>
  <si>
    <t>A new anomaly coupling technique is introduced into a coarse-resolution dynamic climate model [the Liege Ocean Carbon Heteronomous model (LOCH)-Vegetation Continuous Description model (VECODE)-Earth System Models of Intermediate Complexity Climate deBilt (ECBILT)-Coupled Large-Scale Ice-Ocean model (CLIO)-Antarctic and Greenland Ice Sheet Model (AGISM) ensemble (LOVECLIM)], improving the model's representation of eastern equatorial Pacific surface temperature variability. The anomaly coupling amplifies the surface diabatic atmospheric forcing within a Gaussian-shaped patch applied in the tropical Pacific Ocean. It is implemented with an improved predictive cloud scheme based on empirical relationships between cloud cover and key state variables. Results are presented from a perturbed physics ensemble systematically varying the parameters controlling the anomaly coupling patch size, location, and amplitude. The model's optimal parameter combination is chosen through calibration against the observed power spectrum of monthly-mean surface temperature anomalies in the Nino-3 region. The calibrated model exhibits substantial improvement in equatorial Pacific interannual surface temperature variability and robustly reproduces El Nino-Southern Oscillation (ENSO)-like variability. The authors diagnose some of the key atmospheric and oceanic feedbacks in the model important for simulating ENSO-like variability, such as the positive Bjerknes feedback and the negative heat flux feedback, and analyze the recharge-discharge of the equatorial Pacific ocean heat content. They find LOVECLIM robustly captures important ocean dynamics related to thermocline adjustment and equatorial Kelvin waves. The calibrated model demonstrates some improvement in simulating atmospheric feedbacks, but the coupling between ocean and atmosphere is relatively weak. Because of the tractability of LOVECLIM and its consequent utility in exploring long-term climate variability and large ensemble perturbed physics experiments, improved representation of tropical Pacific ocean-atmosphere dynamics in the model may more readily allow for the investigation of the role of tropical Pacific ocean-atmosphere dynamics in past climate changes.</t>
  </si>
  <si>
    <t>[Sriver, Ryan L.] Univ Illinois, Dept Atmospher Sci, Urbana, IL 61801 USA; [Timmermann, Axel] Univ Hawaii Manoa, Dept Oceanog, Honolulu, HI 96822 USA; [Mann, Michael E.] Penn State Univ, Dept Meteorol, University Pk, PA 16802 USA; [Mann, Michael E.; Keller, Klaus] Penn State Univ, Dept Geosci, University Pk, PA 16802 USA; [Mann, Michael E.; Keller, Klaus] Penn State Univ, Earth &amp; Environm Syst Inst, University Pk, PA 16802 USA; [Goosse, Hugues] Georges Lemaitre Ctr Earth &amp; Climate Res, Earth &amp; Life Inst, Louvain, Belgium</t>
  </si>
  <si>
    <t>University of Illinois System; University of Illinois Urbana-Champaign; University of Hawaii System; University of Hawaii Manoa; 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</si>
  <si>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Sriver, RL (corresponding author), Univ Illinois, Dept Atmospher Sci, 105 S Gregory St, Urbana, IL 61801 USA.</t>
  </si>
  <si>
    <t>rsriver@illinois.edu</t>
  </si>
  <si>
    <t>Timmermann, Axel/Y-2799-2019; Keller, Klaus/A-6742-2013; Mann, Michael E/B-8472-2017</t>
  </si>
  <si>
    <t>Timmermann, Axel/0000-0003-0657-2969; Mann, Michael E/0000-0003-3067-296X</t>
  </si>
  <si>
    <t>National Science Foundation [ATM-0902133]; Div Atmospheric &amp; Geospace Sciences; Directorate For Geosciences [0902551] Funding Source: National Science Foundation</t>
  </si>
  <si>
    <t>National Science Foundation(National Science Foundation (NSF)); Div Atmospheric &amp; Geospace Sciences; Directorate For Geosciences(National Science Foundation (NSF)NSF - Directorate for Geosciences (GEO))</t>
  </si>
  <si>
    <t>MEM, KK, and AT acknowledge support for this work from the ATM program of the National Science Foundation (Grant ATM-0902133). HG is Senior Research Associate with the Fonds National de la Recherche Scientifique (FRS-FNRS-Belgium).; AT enjoyed numerous insightful discussions with Fei-Fei Jin on balance equations, which are gratefully acknowledged. The authors also wish to acknowledge the World Climate Research Programme's Working Group on Coupled Modelling, which is responsible for CMIP, and we thank all the climate modeling groups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CMIP5 model output was downloaded via the Royal Netherlands Meteorological Office (KNMI) climate explorer (http://climexp.knmi.nl http://climexp.knmi.nl). We gratefully acknowledge the ECMWF in creating the ocean (ORA-S3) and atmosphere (ERA-40) reanalysis products. The ISCCP D2 data were obtained from the International Satellite Cloud Climatology Project web site (http://www.w3.org/1999/xlink http://isccp.giss.nasa.gov http://isccp.giss.nasa.gov), maintained by the ISCCP research group at the NASA Goddard Institute for Space Studies, New York, New York. Reanalysis and satellite products were downloaded via the Asia-Pacific Data-Research Center (APDRC) of the International Pacific Research Center (IPRC) (http://www.w3.org/1999/xlink http://apdrc.soest.hawaii.eduhttp://apdrc.soest.hawaii.edu). The authors acknowledge the use of the NCAR Command Language (NCL) in the data analysis and visualization herein. We are grateful to Sonya Miller and Audine Laurian for additional LOVECLIM code support. Any opinions, findings, and conclusions or recommendations expressed in this material are those of the authors and do not necessarily reflect the views of the funding entities.</t>
  </si>
  <si>
    <t>45 BEACON ST, BOSTON, MA 02108-3693, UNITED STATES</t>
  </si>
  <si>
    <t>10.1175/JCLI-D-12-00849.1</t>
  </si>
  <si>
    <t>283VV</t>
  </si>
  <si>
    <t>WOS:000329276000011</t>
  </si>
  <si>
    <t>Dencausse, G; Morrow, R; Rogé, M; Fleury, S</t>
  </si>
  <si>
    <t>Dencausse, Guillaume; Morrow, Rosemary; Roge, Marine; Fleury, Sara</t>
  </si>
  <si>
    <t>Lateral stirring of large-scale tracer fields by altimetry</t>
  </si>
  <si>
    <t>OCEAN DYNAMICS</t>
  </si>
  <si>
    <t>Mesoscale; Submesoscale; Lagrangian advection; Sea surface temperature; Sea surface salinity; Antarctic circumpolar current; Oceanic fronts</t>
  </si>
  <si>
    <t>MIXED-LAYER; OCEAN; PARAMETERIZATION; MESOSCALE; PHYTOPLANKTON; FRONTOGENESIS; FRONTS; IMPACT</t>
  </si>
  <si>
    <t>Ocean surface fronts and filaments have a strong impact on the global ocean circulation and biogeochemistry. Surface Lagrangian advection with time-evolving altimetric geostrophic velocities can be used to simulate the submesoscale front and filament structures in large-scale tracer fields. We study this technique in the Southern Ocean region south of Tasmania, a domain marked by strong meso- to submesoscale features such as the fronts of the Antarctic Circumpolar Current (ACC). Starting with large-scale surface tracer fields that we stir with altimetric velocities, we determine 'advected' fields which compare well with high-resolution in situ or satellite tracer data. We find that fine scales are best represented in a statistical sense after an optimal advection time of similar to 2 weeks, with enhanced signatures of the ACC fronts and better spectral energy. The technique works best in moderate to high EKE regions where lateral advection dominates. This technique may be used to infer the distribution of unresolved small scales in any physical or biogeochemical surface tracer that is dominated by lateral advection. Submesoscale dynamics also impact the subsurface of the ocean, and the Lagrangian advection at depth shows promising results. Finally, we show that climatological tracer fields computed from the advected large-scale fields display improved fine-scale mean features, such as the ACC fronts, which can be useful in the context of ocean modelling.</t>
  </si>
  <si>
    <t>[Dencausse, Guillaume; Morrow, Rosemary; Roge, Marine; Fleury, Sara] LEGOS, F-31400 Toulouse, France</t>
  </si>
  <si>
    <t>Universite de Toulouse; Universite Toulouse III - Paul Sabatier; Centre National de la Recherche Scientifique (CNRS); Institut de Recherche pour le Developpement (IRD); Laboratoire d'Etudes en Geophysique et oceanographie spatiales</t>
  </si>
  <si>
    <t>Dencausse, G (corresponding author), LEGOS, 14 Ave Edouard Belin, F-31400 Toulouse, France.</t>
  </si>
  <si>
    <t>Guillaume.Dencausse@ifremer.fr</t>
  </si>
  <si>
    <t>Fleury, Sara/AAD-1070-2019</t>
  </si>
  <si>
    <t>Fleury, Sara/0000-0002-3751-1387</t>
  </si>
  <si>
    <t>European Community [283367]</t>
  </si>
  <si>
    <t>European Community</t>
  </si>
  <si>
    <t>The research leading to these results has received funding from the European Community's Seventh Framework Programme FP7/ 2007-2013 under grant agreement no283367 (MyOcean2). We gratefully acknowledge the help from Francesco D'Ovidio for the advection code and early assistance with the project. We are also indebted to Elodie Kestenare for her assistance with the SURVOSTRAL TSG data and matlab support, and to Renaud Dussurget of the CTOH/LEGOS for assistance with the altimeter data and code. Two anonymous reviewers also provided helpful and constructive comments.</t>
  </si>
  <si>
    <t>1616-7341</t>
  </si>
  <si>
    <t>1616-7228</t>
  </si>
  <si>
    <t>OCEAN DYNAM</t>
  </si>
  <si>
    <t>Ocean Dyn.</t>
  </si>
  <si>
    <t>10.1007/s10236-013-0671-8</t>
  </si>
  <si>
    <t>283LV</t>
  </si>
  <si>
    <t>WOS:000329248500005</t>
  </si>
  <si>
    <t>Singh, SM; Singh, PN; Singh, SK; Sharma, PK</t>
  </si>
  <si>
    <t>Singh, Shiv M.; Singh, Paras N.; Singh, Sanjay K.; Sharma, Prabhat K.</t>
  </si>
  <si>
    <t>Pigment, fatty acid and extracellular enzyme analysis of a fungal strain Thelebolus microsporus from Larsemann Hills, Antarctica</t>
  </si>
  <si>
    <t>HETEROTROPHIC BACTERIA; GENUS THELEBOLUS; COLD ADAPTATION; PURIFICATION; TEMPERATURE; MICROFUNGI; GROWTH; LIPIDS</t>
  </si>
  <si>
    <t>A cold-tolerant fungal strain Thelebolus microsporus was investigated for the first time for its pigment and fatty acid production. High-performance liquid chromatography analysis confirmed the presence of carotenoid pigment. Gas chromatography observations showed the presence of major fatty acids: myristic acid (14:0), palmitic acid (16:0), stearic acid (18:0), heptadecanoic acid (17:0), linolenic acid (18:3) and linoleic acid (18:2). Of these, linolenic acid, a polyunsaturated fatty acid, was present in substantial quantity, suggesting that it may have a role in adapting the fungus to low Antarctic temperatures by modulating membrane fluidity. The commercial application of linolenic acid is as a food supplement for humans suffering from eczema, cardiovascular disease and diabetic neuropathy. Another fatty acid, linoleic acid, a precursor of 1-octen-3-ol, is the principal aromatic compound in most fungi and has also been documented in this strain. Screening of the fungal culture for extracellular enzyme activity for amylase, protease, lipase, chitinase and cellulase was carried out. The isolate showed maximum -amylase activity at 20 degrees C, suggesting effective applications as a detergent additive, in textile processing and in the food industry.</t>
  </si>
  <si>
    <t>[Singh, Shiv M.] Natl Ctr Antarctic &amp; Ocean Res, Vasco Da Gama 403804, Goa, India; [Singh, Paras N.; Singh, Sanjay K.] Agharkar Res Inst, Pune 411004, Maharashtra, India; [Sharma, Prabhat K.] Goa Univ, Dept Bot, Taleigao Plateau 403206, Goa, India</t>
  </si>
  <si>
    <t>Ministry of Earth Sciences (MoES) - India; National Centre for Polar and Ocean Research (NCPOR); Department of Science &amp; Technology (India); Agharkar Research Institute (ARI); Goa University</t>
  </si>
  <si>
    <t>Singh, SM (corresponding author), Natl Ctr Antarctic &amp; Ocean Res, Vasco Da Gama 403804, Goa, India.</t>
  </si>
  <si>
    <t>smsingh@ncaor.org</t>
  </si>
  <si>
    <t>Singh, Sanjay Prithviraj/IQV-1492-2023; SINGH, SANJAY K/HIR-6999-2022</t>
  </si>
  <si>
    <t>Singh, Sanjay Prithviraj/0000-0001-5043-8762; Sharma, Prabhat/0000-0001-5303-1693</t>
  </si>
  <si>
    <t>10.1017/S0032247412000563</t>
  </si>
  <si>
    <t>272PG</t>
  </si>
  <si>
    <t>WOS:000328472100002</t>
  </si>
  <si>
    <t>Donoghue, S; Jacka, TH; Morgan, V; Lazer, E</t>
  </si>
  <si>
    <t>Donoghue, Shavawn; Jacka, Tim H.; Morgan, Vin; Lazer, Estelle</t>
  </si>
  <si>
    <t>The microclimate of Mawson's Hut based on snow and ice core analysis</t>
  </si>
  <si>
    <t>We report the oxygen isotope ratio (O-18) and structural analysis of four 2m long firn cores collected in 1997 from inside Mawson's Hut (consisting of a Main Hut and a Workshop), Commonwealth Bay, Antarctica, and 25 snow samples collected in 2001 in the vicinity of the huts. Our aim is to examine the microclimate within the huts. Structural analyses of the cores and snow samples indicate there were no significant melt and refreeze events, however there is evidence of water seepage into the huts from the roof. Oxygen isotope data from the two cores from the Main Hut indicate that the hut filled slowly after being abandoned in 1914. Two cores adjacent to the Workshop suggest comparatively rapid snow filling after it was cleared of snow in 1978. Oxygen isotope analysis of individual samples collected outside Mawson's Hut suggests snow, accumulated south of Cape Denison, is deposited by katabatic winds.</t>
  </si>
  <si>
    <t>[Donoghue, Shavawn; Jacka, Tim H.; Morgan, Vin] Univ Tasmania, Antarctic Climate &amp; Ecosyst Cooperat Res Ctr, Hobart, Tas 7001, Australia; [Lazer, Estelle] Univ Sydney, Fac Architecture Design &amp; Planning, Sydney, NSW 2006, Australia</t>
  </si>
  <si>
    <t>University of Tasmania; Antarctic Climate &amp; Ecosystems Cooperative Research Centre (ACE CRC); University of Sydney</t>
  </si>
  <si>
    <t>Donoghue, S (corresponding author), Univ Tasmania, Antarctic Climate &amp; Ecosyst Cooperat Res Ctr, Hobart, Tas 7001, Australia.</t>
  </si>
  <si>
    <t>sdonoghu@utas.edu.au</t>
  </si>
  <si>
    <t>10.1017/S0032247412000423</t>
  </si>
  <si>
    <t>WOS:000328472100003</t>
  </si>
  <si>
    <t>Weber, M</t>
  </si>
  <si>
    <t>Weber, Melissa</t>
  </si>
  <si>
    <t>Comparing the robustness of Arctic and Antarctic governance through the continental shelf submission process</t>
  </si>
  <si>
    <t>The processes undertaken by Arctic states and Antarctic claimant states to submit data to the Commission on the Limits of the Continental Shelf (CLCS) demonstrates the robustness of polar governance. The robustness of a governing system reflects its capacity to deal with emerging issues. For the purposes of this article, robustness comprises the effective protection of rights in the absence of prejudice and participant confidence. In the Arctic, unilateral assertion of continental shelf entitlement can proceed due to the nature of the CLCS process and recognition of sovereignty. Combined with the voluntary nature of Arctic governance, the process does not hamper cooperation in scientific research, boundary delimitation or engagement in initiatives such as the Arctic Council. In the Antarctic, a coordinated approach to continental shelf delimitation protected claimant states' entitlement to a continental shelf and the right of other states not to recognise sovereignty. States demonstrated commitment to the Antarctic Treaty and acted according to accepted norms. Though different in structure, each polar governing system has its own characteristics of robustness. State authority drives participant confidence and regional cooperation in the Arctic. In the Antarctic, norms of behaviour foster system legitimacy and resilience is reinforced by the consequences of abandoning the system. With continued acceptance of the individual governing-system dynamics, emerging issues can be accommodated in both polar regions.</t>
  </si>
  <si>
    <t>Univ Tasmania, Hobart, Tas, Australia</t>
  </si>
  <si>
    <t>Weber, M (corresponding author), Univ Tasmania, Hobart, Tas, Australia.</t>
  </si>
  <si>
    <t>mweber@utas.edu.au</t>
  </si>
  <si>
    <t>10.1017/S0032247412000496</t>
  </si>
  <si>
    <t>WOS:000328472100004</t>
  </si>
  <si>
    <t>Haward, M; Cooper, N</t>
  </si>
  <si>
    <t>Haward, Marcus; Cooper, Nicholas</t>
  </si>
  <si>
    <t>Australian interests, bifocalism, bipartisanship, and the Antarctic Treaty System</t>
  </si>
  <si>
    <t>This article explores the character of domestic political support for the Australian Antarctic Territory and Australia's involvement in the Antarctic Treaty System, using the linked frames of bifocalism and bipartisanship. After first unpacking these concepts it explores how they have shaped the extent and form of Australia's Antarctic endeavours from the 1930s to the present day. It is argued that the analysis shows that bipartisan commitment to Australian interests in Antarctica is framed through bifocalism: first, Australian national interests are closely linked to maintenance of the Antarctic Treaty and Antarctic Treaty System, and second, presentation of these national interests is not inimical to commitments to the Antarctic Treaty and Antarctic Treaty System.</t>
  </si>
  <si>
    <t>[Haward, Marcus; Cooper, Nicholas] Univ Tasmania, Inst Marine &amp; Antarctic Studies, Hobart, Tas 7001, Australia</t>
  </si>
  <si>
    <t>Haward, M (corresponding author), Univ Tasmania, Inst Marine &amp; Antarctic Studies, Private Bag 129, Hobart, Tas 7001, Australia.</t>
  </si>
  <si>
    <t>m.g.haward@utas.edu.au</t>
  </si>
  <si>
    <t>10.1017/S0032247412000459</t>
  </si>
  <si>
    <t>WOS:000328472100005</t>
  </si>
  <si>
    <t>Ainley, DG; Pauly, D</t>
  </si>
  <si>
    <t>Ainley, David G.; Pauly, Daniel</t>
  </si>
  <si>
    <t>Fishing down the food web of the Antarctic continental shelf and slope</t>
  </si>
  <si>
    <t>BALEEN WHALES; FUR SEALS; ROSS SEA; MARINE; FISHERIES; KRILL; EXPLOITATION; IMPACTS; ISLANDS; OCEAN</t>
  </si>
  <si>
    <t>The history of biotic exploitation for the continental margin (shelf and slope) of the Antarctic Large Marine Ecosystem (LME) is reviewed, with emphasis on the period from 1970 to 2010. In the Antarctic Peninsula portion, marine mammals were decimated by the 1970s and groundfish by the early 1980s. Fishing for Antarctic krill Euphausia superba began upon the demise of groundfish and now is the only fishing that remains in this region. Surveys show that cetacean and most groundfish stocks remain severely depressed, harvest of which is now prohibited by the International Whaling Commission and the Commission for the Conservation of Antarctic Marine Living Resources (CCAMLR). On the other hand, krill fishing in this region is underway and in recent years has contributed up to 72% of the Southern Ocean catch, depending on fishing conditions and the CCAMLR conservation measures in force. Elsewhere along the Antarctic continental margin, marine mammals were also severely depleted by the 1970s, followed directly by relatively low-level fisheries for krill that continued until the early 1990s. Recently in these areas, where fin-fishing is still allowed, fisheries for Antarctic toothfish Dissostichus mawsoni have been initiated, with one of this fish's main prey, grenadiers Macrourus spp., being taken significantly as by-catch. Continental margin fishing currently accounts for similar to 25% of the total toothfish catch of the Southern Ocean. Fishing along the Antarctic continental margin, especially the Antarctic Peninsula region, is a clear case of both the tragedy of the commons and fishing down the food web'.</t>
  </si>
  <si>
    <t>[Ainley, David G.] HT Harvey &amp; Associates, Los Gatos, CA 95032 USA; [Pauly, Daniel] Univ British Columbia, Fisheries Ctr, Sea Us Project, Vancouver, BC V6T 1Z4, Canada</t>
  </si>
  <si>
    <t>University of British Columbia</t>
  </si>
  <si>
    <t>Ainley, DG (corresponding author), HT Harvey &amp; Associates, Los Gatos, CA 95032 USA.</t>
  </si>
  <si>
    <t>dainley@penguinscience.com</t>
  </si>
  <si>
    <t>Pauly, Daniel Marc/AAY-2316-2021</t>
  </si>
  <si>
    <t>Pauly, Daniel/0000-0003-3756-4793</t>
  </si>
  <si>
    <t>NSF [ANT-0944411]; University of British Columbia; Pew Environment Group; Directorate For Geosciences; Office of Polar Programs (OPP) [0944411] Funding Source: National Science Foundation</t>
  </si>
  <si>
    <t>NSF(National Science Foundation (NSF)); University of British Columbia; Pew Environment Group; Directorate For Geosciences; Office of Polar Programs (OPP)(National Science Foundation (NSF)NSF - Directorate for Geosciences (GEO))</t>
  </si>
  <si>
    <t>This summary was prepared under NSF grant ANT-0944411; views expressed here do not necessarily represent those of NSF. The authors acknowledge support from The Sea Around Us, a research collaboration between the University of British Columbia and the Pew Environment Group. They thank A. Ulman for her assistance in preparing figures and tables, and P. Penhale, P. Trathan, T. Branch and an anonymous reviewer for very helpful comments that improved the article greatly.</t>
  </si>
  <si>
    <t>10.1017/S0032247412000757</t>
  </si>
  <si>
    <t>WOS:000328472100009</t>
  </si>
  <si>
    <t>Scott, SV</t>
  </si>
  <si>
    <t>Scott, Shirley V.</t>
  </si>
  <si>
    <t>Australia's decision to initiate Whaling in the Antarctic: winning the case versus resolving the dispute</t>
  </si>
  <si>
    <t>AUSTRALIAN JOURNAL OF INTERNATIONAL AFFAIRS</t>
  </si>
  <si>
    <t>International Court of Justice; International Whaling Commission; Japan; litigation; Southern Ocean; whaling</t>
  </si>
  <si>
    <t>On May 31, 2010, Australia instituted proceedings before the International Court of Justice in the case of Whaling in the Antarctic (Australia v. Japan). Although Australian politicians had for some time threatened such a course of action, the decision to proceed with international litigation took many observers by surprise, most basically because Japan appeared to be in a strong legal position and the risks associated with the case appeared greater than Australia's prospects for success. This article examines the background to the whaling dispute and suggests two ways in which litigation in the World Court may contribute to resolution of the dispute no matter the legal outcome of the case.</t>
  </si>
  <si>
    <t>Univ New S Wales, Sch Social Sci, Sydney, NSW 2052, Australia</t>
  </si>
  <si>
    <t>Scott, SV (corresponding author), Univ New S Wales, Sch Social Sci, Sydney, NSW 2052, Australia.</t>
  </si>
  <si>
    <t>s.scott@unsw.edu.au</t>
  </si>
  <si>
    <t>1035-7718</t>
  </si>
  <si>
    <t>1465-332X</t>
  </si>
  <si>
    <t>AUST J INT AFF</t>
  </si>
  <si>
    <t>Aust. J. Int. Aff.</t>
  </si>
  <si>
    <t>10.1080/10357718.2013.841121</t>
  </si>
  <si>
    <t>International Relations</t>
  </si>
  <si>
    <t>269ND</t>
  </si>
  <si>
    <t>WOS:000328247100001</t>
  </si>
  <si>
    <t>de Ferro, AM; Mota, AM; Canário, J</t>
  </si>
  <si>
    <t>de Ferro, Andre Mao; Mota, Ana Maria; Canario, Joao</t>
  </si>
  <si>
    <t>Pathways and speciation of mercury in the environmental compartments of Deception Island, Antarctica</t>
  </si>
  <si>
    <t>CHEMOSPHERE</t>
  </si>
  <si>
    <t>Mercury; Methylmercury; Volcanic emissions; Deception Island; Antarctica</t>
  </si>
  <si>
    <t>HEAVY-METAL CONTAMINATION; ATMOSPHERIC MERCURY; FLUXES; SOILS; SNOW; SPRINGTIME; MCMURDO; BASE</t>
  </si>
  <si>
    <t>This work reports the first integrated mercury study in an Antarctic ecosystem. Sample collection took place in Deception Island, an active volcano in the South Shetland Islands, in several environmental compartments (water, snow, sediments and vegetation) and different locations, during December 2011. The results suggest that volcanic activity is the most important Hg source. Mercury levels in water and sediments sampled at two fumaroles were up to 10,000 times higher than in the other sampling sites. Dissolved methylmercury (MeHg) is below the detection limit in those samples, probably due to the very high temperature found in fumaroles (above 80 degrees C). On the other hand MeHg accounted for, on average, 23% of total dissolved Hg in the saline waters of Foster bay, which suggests exceptional conditions for Hg methylation. Combined with the high residence time of the water in Foster bay, the results point to the existence of a MeHg pool available for aquatic living organisms. (C) 2013 Elsevier Ltd. All rights reserved.</t>
  </si>
  <si>
    <t>[de Ferro, Andre Mao; Mota, Ana Maria; Canario, Joao] Univ Lisbon, Inst Super Tecn, CQE, P-1049001 Lisbon, Portugal</t>
  </si>
  <si>
    <t>Universidade de Lisboa</t>
  </si>
  <si>
    <t>Canário, J (corresponding author), Univ Lisbon, Inst Super Tecn, CQE, Av Rovisco Pais 1, P-1049001 Lisbon, Portugal.</t>
  </si>
  <si>
    <t>joao.canario@ist.utl.pt</t>
  </si>
  <si>
    <t>Canário, João/O-7189-2019; Mota, Ana/JBS-4609-2023; Canário, João/B-1193-2008; Mota, Ana Maria/K-2363-2012</t>
  </si>
  <si>
    <t>Canário, João/0000-0002-5190-446X; Canário, João/0000-0002-5190-446X; Mao de Ferro, Andre/0000-0001-5898-9403; Mota, Ana Maria/0000-0003-2999-5761</t>
  </si>
  <si>
    <t>Andre Mao de Ferro; Programa Polar Portugues; Fundacao para a Ciencia e Tecnologia</t>
  </si>
  <si>
    <t>Andre Mao de Ferro; Programa Polar Portugues; Fundacao para a Ciencia e Tecnologia(Fundacao para a Ciencia e a Tecnologia (FCT))</t>
  </si>
  <si>
    <t>Authors would like to thank the Spanish polar ship Las Palmas, Gabriel de Castilla station, Portuguese Polar Program and Spanish Polar board for providing logistic and support. We also thank to Dr. Pedro Ferreira and Dr. Mario Mil-Homens for the assistance and advice and to Dr. Cecilia Sergio for the interest and for the identification of Lichen and Moss species. The Caixa Geral de Depositos grant program Bolsa de Mobilidade do Programa Nova Geracao de Cientistas Polares supported this research by a grant given to Andre Mao de Ferro. This work was part of the CONTANTARC 1 Project from the Programa Polar Portugues funded by Fundacao para a Ciencia e Tecnologia.</t>
  </si>
  <si>
    <t>0045-6535</t>
  </si>
  <si>
    <t>1879-1298</t>
  </si>
  <si>
    <t>Chemosphere</t>
  </si>
  <si>
    <t>10.1016/j.chemosphere.2013.08.081</t>
  </si>
  <si>
    <t>278DD</t>
  </si>
  <si>
    <t>WOS:000328868400032</t>
  </si>
  <si>
    <t>LeCleir, GR; DeBruyn, JM; Maas, EW; Boyd, PW; Wilhelm, SW</t>
  </si>
  <si>
    <t>LeCleir, Gary R.; DeBruyn, Jennifer M.; Maas, Elizabeth W.; Boyd, Philip W.; Wilhelm, Steven W.</t>
  </si>
  <si>
    <t>Temporal changes in particle-associated microbial communities after interception by nonlethal sediment traps</t>
  </si>
  <si>
    <t>FEMS MICROBIOLOGY ECOLOGY</t>
  </si>
  <si>
    <t>DNA sequencing; marine bacteria; marine snow; sediment traps</t>
  </si>
  <si>
    <t>PARTICULATE ORGANIC-MATTER; RIBOSOMAL-RNA GENES; MARINE SNOW; PHYTOPLANKTON BLOOM; PACIFIC-OCEAN; NEW-ZEALAND; SP-NOV.; BACTERIAL; SEA; DYNAMICS</t>
  </si>
  <si>
    <t>Using marine sediment traps (named RESPIRE for REspiration of Sinking Particles In the subsuRface ocEan) designed to collect sinking particles and associated microbial communities in situ, we collected and incubated marine aggregates/particles in the southern Pacific Ocean from separate phytoplankton bloom events in situ. We determined the phylogenetic affiliation for the microorganisms growing on aggregates by pyrosequencing partial 16S rRNA gene amplicons. Water column samples were also collected and sequenced for comparison between sinking-particle-associated and planktonic bacterial communities. Statistically significant differences were found between the water column and sediment trap bacteria. Relative abundances of Pelagibacter sp. and multiple members of the Flavobacteria, Actinobacteria, and -Proteobacteria were elevated in water column samples, while trap samples contained members of the Roseobacter clade of -Proteobacteria in high relative abundances. Our findings indicated that rapid changes - within 24h of collection - occurred to the microbial community associated with aggregates from either bloom type. There was a little change in the bacterial assemblage after the initial 24-h incubation period. The most abundant early colonizer was a Sulfitobacter sp. This study provides further evidence that Roseobacters are rapid colonizers of marine aggregates and that colonization can occur on short timescales. This study further demonstrates that particle origin may be insignificant regarding the heterotrophic bacterial population that degrades them.</t>
  </si>
  <si>
    <t>[LeCleir, Gary R.; Wilhelm, Steven W.] Univ Tennessee, Dept Microbiol, Knoxville, TN 37996 USA; [DeBruyn, Jennifer M.] Univ Tennessee, Knoxville, TN 37996 USA; [Maas, Elizabeth W.] Natl Inst Water &amp; Atmospher Res, Wellington, New Zealand; [Boyd, Philip W.] Univ Otago, Dept Chem, NIWA Ctr Chem &amp; Phys Oceanog, Dunedin, New Zealand; [Boyd, Philip W.] Univ Tasmania, Inst Marine &amp; Antarctic Studies, Hobart, Tas, Australia</t>
  </si>
  <si>
    <t>University of Tennessee System; University of Tennessee Knoxville; University of Tennessee System; University of Tennessee Knoxville; National Institute of Water &amp; Atmospheric Research (NIWA) - New Zealand; University of Otago; University of Tasmania</t>
  </si>
  <si>
    <t>Wilhelm, SW (corresponding author), Univ Tennessee, Dept Microbiol, Knoxville, TN 37996 USA.</t>
  </si>
  <si>
    <t>wilhelm@utk.edu</t>
  </si>
  <si>
    <t>Wilhelm, Steven W/B-8963-2008; DeBruyn, Jennifer M./A-8813-2010; Boyd, Philip/J-7624-2014</t>
  </si>
  <si>
    <t>Wilhelm, Steven W/0000-0001-6283-8077; DeBruyn, Jennifer M./0000-0002-2993-4144; LeCleir, Gary/0000-0002-0228-7557; Boyd, Philip/0000-0001-7850-1911</t>
  </si>
  <si>
    <t>New Zealand Ministry of Science and Innovation through the Coasts and Oceans OBI; National Science Foundation [OCE-0825405]</t>
  </si>
  <si>
    <t>New Zealand Ministry of Science and Innovation through the Coasts and Oceans OBI; National Science Foundation(National Science Foundation (NSF))</t>
  </si>
  <si>
    <t>We thank the captain and crew of the R/V Tangaroa and Alice Layton and Dan Williams for help with sequencing and Pat Schloss for running a fun and informative workshop on using Mothur. We also thank Ben Twining, David Hutchins, Scott Nodder, and the other members of the research team for support at sea and feedback. This research was funded by a grant from the New Zealand Ministry of Science and Innovation through the Coasts and Oceans OBI (to PWB) and a grant from the National Science Foundation (OCE-0825405) to SWW.</t>
  </si>
  <si>
    <t>0168-6496</t>
  </si>
  <si>
    <t>1574-6941</t>
  </si>
  <si>
    <t>FEMS MICROBIOL ECOL</t>
  </si>
  <si>
    <t>FEMS Microbiol. Ecol.</t>
  </si>
  <si>
    <t>10.1111/1574-6941.12213</t>
  </si>
  <si>
    <t>282KM</t>
  </si>
  <si>
    <t>WOS:000329170100015</t>
  </si>
  <si>
    <t>Dierking, W; Wesche, C</t>
  </si>
  <si>
    <t>Dierking, Wolfgang; Wesche, Christine</t>
  </si>
  <si>
    <t>C-Band Radar Polarimetry-Useful for Detection of Icebergs in Sea Ice?</t>
  </si>
  <si>
    <t>Icebergs; polarimetry; sea ice</t>
  </si>
  <si>
    <t>SIGNATURES; CLASSIFICATION; IMAGES</t>
  </si>
  <si>
    <t>This paper is focused on investigations of polarimetric C-band radar signatures of icebergs in sea-ice-covered ocean regions. The main objective is to assess the potential improvement of iceberg detection when using radar polarimetry. The dominant backscattering mechanisms of icebergs are deduced by evaluating different polarimetric parameters. Magnitudes of the cross-polarization ratios, the correlation coefficients between HH- and VV-polarized signals, and the entropy/alpha parameters indicate a strong contribution of volume scattering in many cases. Over most icebergs, the phase differences between HH- and VV-polarization are larger than zero. Spatial patterns of the polarimetric parameters differ from iceberg to iceberg and between different parameters. On some bergs, they only exhibit slight variations, whereas on others, they show noiselike textures, but also, more systematic changes are observed. Occasionally, radar intensities of icebergs are of similar magnitude as those of sea ice. Only for a number of these cases, the combined use of the investigated polarimetric parameters together with intensity improves the discrimination performance between icebergs and sea ice.</t>
  </si>
  <si>
    <t>[Dierking, Wolfgang; Wesche, Christine] Alfred Wegener Inst Polar &amp; Marine Res, Dept Climate Sci, D-27570 Bremerhaven, Germany</t>
  </si>
  <si>
    <t>Dierking, W (corresponding author), Alfred Wegener Inst Polar &amp; Marine Res, Dept Climate Sci, D-27570 Bremerhaven, Germany.</t>
  </si>
  <si>
    <t>wolfgang.dierking@awi.de; christine.wesche@awi.de</t>
  </si>
  <si>
    <t>Wesche, Christine/0000-0002-9786-4010</t>
  </si>
  <si>
    <t>DFG-Priority Programme [DI 909/3-1/2, WE 4772/1]; European Community [262922]</t>
  </si>
  <si>
    <t>DFG-Priority Programme(German Research Foundation (DFG)); European Community</t>
  </si>
  <si>
    <t>The work of C. Wesche was supported by DFG-Priority Programme 1158-Antarctic research with comparative investigations in Arctic ice areas (DI 909/3-1/2 and WE 4772/1). Parts of the work of W. Dierking were supported by the project SIDARUS (Sea Ice Downstream services for Arctic and Antarctic Users and Stakeholders) in the Seventh Framework Programme of the European Community for Research, Technological Development and Demonstration Activities under the funding scheme of Collaborative Project, Grant 262922.</t>
  </si>
  <si>
    <t>10.1109/TGRS.2012.2234756</t>
  </si>
  <si>
    <t>279CW</t>
  </si>
  <si>
    <t>WOS:000328938400003</t>
  </si>
  <si>
    <t>Fogwill, CJ; Turney, CSM; Meissner, KJ; Golledge, NR; Spence, P; Roberts, JL; England, MH; Jones, RT; Carter, L</t>
  </si>
  <si>
    <t>Fogwill, Christopher J.; Turney, Christian S. M.; Meissner, Katrin J.; Golledge, Nicholas R.; Spence, Paul; Roberts, Jason L.; England, Mathew H.; Jones, Richard T.; Carter, Lionel</t>
  </si>
  <si>
    <t>Testing the sensitivity of the East Antarctic Ice Sheet to Southern Ocean dynamics: past changes and future implications</t>
  </si>
  <si>
    <t>JOURNAL OF QUATERNARY SCIENCE</t>
  </si>
  <si>
    <t>East Antarctic Ice Sheet; Last Interglacial; Southern Annual Mode; Southern Hemisphere Westerlies; Southern Ocean</t>
  </si>
  <si>
    <t>LAST GLACIAL MAXIMUM; SEA-LEVEL RISE; MODEL DESCRIPTION; CARBON-CYCLE; CLIMATE; DRIVEN; CIRCULATION; COLLAPSE; TRENDS; TEMPERATURES</t>
  </si>
  <si>
    <t>The stability of Antarctic ice sheets and their potential contribution to sea level under projected future warming remains highly uncertain. The Last Interglacial (135 000-116 000 years ago) provides a potential analogue, with global temperatures 2 degrees C higher and rates of sea-level rise &gt;5.6m ka(-1), leading to sea levels 6.6-9.4m higher than present. The source(s) of this sea-level rise remain fiercely debated. Here we report a series of independent model simulations exploring the effects of migrating Southern Hemisphere Westerlies (SHWs) on Southern Ocean circulation and Antarctic ice-sheet dynamics. We suggest that southerly shifts in winds may have significantly impacted the sub-polar gyres, inducing pervasive warming (0.2-0.8 degrees C in the upper 1200m) adjacent to sectors of the East Antarctic Ice Sheet (EAIS), which due to their geometries and connectivity to the Southern Ocean are highly sensitive to ocean forcing. We conclude that the EAIS potentially made a substantial, hitherto unsuspected, contribution to interglacial sea levels, and given 21st-century projections in the Southern Annular Mode and associated SHW migration, we highlight how pervasive circum-Antarctic warming may threaten EAIS stability.</t>
  </si>
  <si>
    <t>[Fogwill, Christopher J.; Turney, Christian S. M.; Meissner, Katrin J.; Spence, Paul; England, Mathew H.] Univ New S Wales, Climate Change Res Ctr, Sydney, NSW 2052, Australia; [Fogwill, Christopher J.; Turney, Christian S. M.; Meissner, Katrin J.] Univ New S Wales, Sch Biol Earth &amp; Environm Sci, Sydney, NSW 2052, Australia; [Golledge, Nicholas R.; Carter, Lionel] Victoria Univ Wellington, Antarctic Res Ctr, Wellington, New Zealand; [Golledge, Nicholas R.] Avalon, GNS Sci, Lower Hutt, New Zealand; [Roberts, Jason L.] Australian Antarctic Div, Dept Sustainabil Environm Water Populat &amp; Communi, Hobart, Tas, Australia; [Roberts, Jason L.] Univ Tasmania, Antarctic Climate &amp; Ecosyst Cooperat Res Ctr, Hobart, Tas, Australia; [Jones, Richard T.] Univ Exeter, Sch Geog, Coll Life &amp; Environm Sci, Exeter, Devon, England</t>
  </si>
  <si>
    <t>University of New South Wales Sydney; University of New South Wales Sydney; Victoria University Wellington; GNS Science - New Zealand; Australian Antarctic Division; University of Tasmania; Antarctic Climate &amp; Ecosystems Cooperative Research Centre (ACE CRC); University of Exeter</t>
  </si>
  <si>
    <t>Fogwill, CJ (corresponding author), Univ New S Wales, Climate Change Res Ctr, Sydney, NSW 2052, Australia.</t>
  </si>
  <si>
    <t>c.fogwill@unsw.edu.au</t>
  </si>
  <si>
    <t>Spence, Paul/IZE-7366-2023; Roberts, Jason L/B-2235-2012; Fogwill, Chris/AAW-3502-2021; Fogwill, Christopher/HPF-1150-2023; England, Matthew/A-7539-2011; Turney, Chris/P-8701-2018</t>
  </si>
  <si>
    <t>Spence, Paul/0000-0001-5156-2204; Roberts, Jason L/0000-0002-3477-4069; Fogwill, Chris/0000-0002-6471-1106; England, Matthew/0000-0001-9696-2930; Golledge, Nicholas/0000-0001-7676-8970; Meissner, Katrin/0000-0002-0716-7415; Turney, Chris/0000-0001-6733-0993</t>
  </si>
  <si>
    <t>Australian Research Council [FT120100004, FL100100195, FT100100443]; Australian Government's Cooperative Research Centres Programme through the Antarctic Climate and Ecosystems Cooperative Research Centre (ACE CRC); Merit Allocation Scheme on the NCI National Facility at the ANU; VUW Foundation; GNS Science; ANDRILL project; Australian Research Council [FT100100443] Funding Source: Australian Research Council</t>
  </si>
  <si>
    <t>Australian Research Council(Australian Research Council); Australian Government's Cooperative Research Centres Programme through the Antarctic Climate and Ecosystems Cooperative Research Centre (ACE CRC)(Australian GovernmentDepartment of Industry, Innovation and ScienceCooperative Research Centres (CRC) Programme); Merit Allocation Scheme on the NCI National Facility at the ANU; VUW Foundation; GNS Science; ANDRILL project; Australian Research Council(Australian Research Council)</t>
  </si>
  <si>
    <t>This work was supported by the Australian Research Council (FT120100004, FL100100195 and FT100100443), and by the Australian Government's Cooperative Research Centres Programme through the Antarctic Climate and Ecosystems Cooperative Research Centre (ACE CRC). K.J.M. is grateful for an award under the Merit Allocation Scheme on the NCI National Facility at the ANU. N.R.G. acknowledges financial support from VUW Foundation grant ARCCIM, GNS Science, and the ANDRILL project. We thank R. Gerdes, R. Warner and T. Naish for their helpful comments on an earlier version of this manuscript.</t>
  </si>
  <si>
    <t>0267-8179</t>
  </si>
  <si>
    <t>1099-1417</t>
  </si>
  <si>
    <t>J QUATERNARY SCI</t>
  </si>
  <si>
    <t>J. Quat. Sci.</t>
  </si>
  <si>
    <t>10.1002/jqs.2683</t>
  </si>
  <si>
    <t>278IF</t>
  </si>
  <si>
    <t>WOS:000328881900009</t>
  </si>
  <si>
    <t>Leith, P; Ogier, E; Pecl, G; Hoshino, E; Davidson, J; Haward, M</t>
  </si>
  <si>
    <t>Leith, P.; Ogier, E.; Pecl, G.; Hoshino, E.; Davidson, J.; Haward, M.</t>
  </si>
  <si>
    <t>Towards a diagnostic approach to climate adaptation for fisheries</t>
  </si>
  <si>
    <t>CLIMATIC CHANGE</t>
  </si>
  <si>
    <t>MANAGEMENT STRATEGY EVALUATION; GOVERNANCE; FRAMEWORK; CAPACITY; SCIENCE; SYSTEMS; POLICY</t>
  </si>
  <si>
    <t>A diagnostic approach to climate change adaptation for fisheries is proposed to define potential climate adaptation pathways in well-managed fisheries. Traditional climate vulnerability and risk assessments tend to focus on biophysical threats and opportunities and thereby what needs to be done to adapt to climate change. Our diagnostic approach moves from such analysis to focus on how the processes of adaptation and development of adaptive capacity can be structured to achieve desired outcomes. Using a well-grounded framework, the diagnostic approach moves from system description to characterization of challenges and opportunities, through two stages of analysis and validation, to the definition and embedding of adaptation options and pathways. The framework can include all contextually relevant variables and accommodate evaluation of adaptation outcomes and comparisons across scales and contexts. Such an approach can serve as a basis for enabling stakeholders to identify challenges and opportunities, and to explore and prioritize options for development and implementation of legitimate adaptation pathways.</t>
  </si>
  <si>
    <t>[Leith, P.; Ogier, E.; Pecl, G.; Hoshino, E.; Davidson, J.; Haward, M.] Univ Tasmania, Adaptat Res Network Marine Biodivers &amp; Resources, Hobart, Tas 7001, Australia; [Leith, P.] Univ Tasmania, Tasmanian Inst Agr, Hobart, Tas 7001, Australia; [Ogier, E.; Pecl, G.; Hoshino, E.; Haward, M.] Univ Tasmania, Inst Marine &amp; Antarctic Studies, Hobart, Tas 7001, Australia; [Davidson, J.] Univ Tasmania, Sch Geog &amp; Environm Studies, Hobart, Tas 7001, Australia</t>
  </si>
  <si>
    <t>Leith, P (corresponding author), Univ Tasmania, Tasmanian Inst Agr, Private Bag 98, Hobart, Tas 7001, Australia.</t>
  </si>
  <si>
    <t>Leith, Peat/ABB-2829-2021; Pecl, Gretta/D-7267-2011; Hoshino, Eriko/N-7557-2013; Haward, Marcus/G-3369-2014</t>
  </si>
  <si>
    <t>Pecl, Gretta/0000-0003-0192-4339; Hoshino, Eriko/0000-0001-7110-4251; Haward, Marcus/0000-0003-4775-0864; Ogier, Emily/0000-0001-6157-5279</t>
  </si>
  <si>
    <t>Australian Commonwealth Government</t>
  </si>
  <si>
    <t>Australian Commonwealth Government(Australian Government)</t>
  </si>
  <si>
    <t>The research on which this paper is based was conducted within the Adaptation Network for Marine Biodiversity and Resources, funded by the Australian Commonwealth Government.</t>
  </si>
  <si>
    <t>0165-0009</t>
  </si>
  <si>
    <t>1573-1480</t>
  </si>
  <si>
    <t>Clim. Change</t>
  </si>
  <si>
    <t>10.1007/s10584-013-0984-0</t>
  </si>
  <si>
    <t>274RD</t>
  </si>
  <si>
    <t>WOS:000328622900006</t>
  </si>
  <si>
    <t>Herrero, C; García-Olivares, A; Pelegrí, JL</t>
  </si>
  <si>
    <t>Herrero, Carmen; Garcia-Olivares, Antonio; Pelegri, Josep L.</t>
  </si>
  <si>
    <t>Impact of anthropogenic CO 2 on the next glacial cycle</t>
  </si>
  <si>
    <t>ICE CORE; CLIMATE</t>
  </si>
  <si>
    <t>The model of Paillard and Parrenin (Earth Planet Sci Lett 227(3-4):263-271, 2004) has been recently optimized for the last eight glacial cycles, leading to two different relaxation models with model-data correlations between 0.8 and 0.9 (Garcia-Olivares and Herrero (Clim Dyn 1-25, 2012b)). These two models are here used to predict the effect of an anthropogenic CO (2) pulse on the evolution of atmospheric CO (2), global ice volume and Antarctic ice cover during the next 300 kyr. The initial atmospheric CO (2) condition is obtained after a critical data analysis that sets 1300 Gt as the most realistic carbon Ultimate Recoverable Resources (URR), with the help of a global compartmental model to determine the carbon transfer function to the atmosphere. The next 20 kyr will have an abnormally high greenhouse effect which, according to the CO (2) values, will lengthen the present interglacial by some 25 to 33 kyr. This is because the perturbation of the current interglacial will lead to a delay in the future advance of the ice sheet on the Antarctic shelf, causing that the relative maximum of boreal insolation found 65 kyr after present (AP) will not affect the developing glaciation. Instead, it will be the following insolation peak, about 110 kyr AP, which will find an appropriate climatic state to trigger the next deglaciation.</t>
  </si>
  <si>
    <t>[Herrero, Carmen; Garcia-Olivares, Antonio] CSIC, Inst Ciencies Mar, E-08003 Barcelona, Spain; [Pelegri, Josep L.] CSIC, Inst Ciencies Mar, LINCGlobal, E-08003 Barcelona, Spain</t>
  </si>
  <si>
    <t>Consejo Superior de Investigaciones Cientificas (CSIC); CSIC - Centro Mediterraneo de Investigaciones Marinas y Ambientales (CMIMA); CSIC - Instituto de Ciencias del Mar (ICM); Consejo Superior de Investigaciones Cientificas (CSIC); CSIC - Centro Mediterraneo de Investigaciones Marinas y Ambientales (CMIMA); CSIC - Instituto de Ciencias del Mar (ICM)</t>
  </si>
  <si>
    <t>García-Olivares, A (corresponding author), CSIC, Inst Ciencies Mar, Passeig Maritim Barceloneta 37-49, E-08003 Barcelona, Spain.</t>
  </si>
  <si>
    <t>herrero@icm.csic.es; agolivares@icm.csic.es; pelegri@icm.csic.es</t>
  </si>
  <si>
    <t>Pelegrí, Josep L/L-5815-2014; Herrero, Carmen/J-5030-2012</t>
  </si>
  <si>
    <t>Pelegrí, Josep L/0000-0003-0661-2190; Herrero, Carmen/0000-0002-2199-1371; Garcia-Olivares, Antonio/0000-0003-0052-101X</t>
  </si>
  <si>
    <t>Spanish R+D Plan [CTM2011-28867]; CSIC JAE; European Social Fund (FSE)</t>
  </si>
  <si>
    <t>Spanish R+D Plan; CSIC JAE; European Social Fund (FSE)(European Social Fund (ESF))</t>
  </si>
  <si>
    <t>This study has been carried out in the framework of project TIC-MOC (CTM2011-28867), funded by the 2008-2011 Spanish R+D Plan. C. Herrero acknowledges a CSIC JAE-Predoc scholarship co-financed by the European Social Fund (FSE). We thank Carles Pelejero and Eva Calvo for their help with proxy data and their useful support and also to Didier Paillard for his interesting suggestions. Some useful discussions were held with Anna Cabre, Xiaorong Li and Levin Nickelsen, participants of a supervised work carried out as part of the Ramon Margalef Summer Colloquium held in Barcelona between 1 and 13 July 2013. The authors would also like to sincerely thank three anonymous reviewers whom greatly helped to improve the manuscript.</t>
  </si>
  <si>
    <t>10.1007/s10584-013-1012-0</t>
  </si>
  <si>
    <t>WOS:000328622900022</t>
  </si>
  <si>
    <t>Thomas, W</t>
  </si>
  <si>
    <t>Thomas, William</t>
  </si>
  <si>
    <t>Research agendas in climate studies: the case of West Antarctic Ice Sheet research</t>
  </si>
  <si>
    <t>COLD-WAR; MODEL; SHELF; DISINTEGRATION; EQUILIBRIUM; SENSITIVITY; STABILITY; HISTORY; ORIGIN; STATE</t>
  </si>
  <si>
    <t>Concern over anthropogenic climatic change has been the major driver behind the rapid expansion in climate studies in recent decades. However, research agendas revolving around other intellectual or practical problems motivate much of the work that contributes to scientific understanding of present changes in climate. Understanding these agendas and their historical development can help in planning research programs and in communicating results, and it can often elucidate the sources of disagreements between scientists pursuing differing agendas. This paper focuses on research agendas relating to the possible glaciological instability of the West Antarctic Ice Sheet (WAIS). For much of the history of this research, which dates back to International Geophysical Year traverses, WAIS instability was thought of as innate rather than climatically triggered, even as a growing program of intensive field research was heavily motivated by tentative links drawn between WAIS instability and concerns over anthropogenic climatic change. Meanwhile, climate models for many years did not countenance instability mechanisms. It is only over the past fifteen years that field glaciological research has been integrated with other forms of empirical research, and that empirical studies ofWAIS have been more closely integrated with the broader body of climate studies.</t>
  </si>
  <si>
    <t>Hist Associates Inc, Rockville, MD 20850 USA</t>
  </si>
  <si>
    <t>Thomas, W (corresponding author), Hist Associates Inc, 300 N Stonest Ave, Rockville, MD 20850 USA.</t>
  </si>
  <si>
    <t>gwilliamthomas@gmail.com</t>
  </si>
  <si>
    <t>Thomas, William/0009-0004-0237-9066</t>
  </si>
  <si>
    <t>Imperial College London</t>
  </si>
  <si>
    <t>This article was primarily researched while the author was an associate historian at the Center for History of Physics of the American Institute of Physics (AIP). Spencer Weart and Greg Good are thanked for their support as directors of the Center. The writing of this article was supported by a Junior Research Fellowship from Imperial College London. It also benefitted from the input of Michael Oppenheimer and Jessica O'Reilly. Interviews and correspondence with Charles Bentley, Robert Bindschadler, George Denton, Terence Hughes, Philippe Huybrechts, Douglas MacAyeal, Eric Rignot, Robert Thomas, Johannes Weertman, and Duncan Wingham clarified the history substantially. Transcripts of interviews are deposited at the AIP Niels Bohr Library and Archives.</t>
  </si>
  <si>
    <t>10.1007/s10584-013-0981-3</t>
  </si>
  <si>
    <t>WOS:000328622900023</t>
  </si>
  <si>
    <t>Glass, BJ; Dave, A; McKay, CP; Paulsen, G</t>
  </si>
  <si>
    <t>Glass, B. J.; Dave, A.; McKay, C. P.; Paulsen, G.</t>
  </si>
  <si>
    <t>Robotics and Automation for Icebreaker</t>
  </si>
  <si>
    <t>JOURNAL OF FIELD ROBOTICS</t>
  </si>
  <si>
    <t>LIFE; MARS; MISSION</t>
  </si>
  <si>
    <t>The proposed Icebreaker mission is a return to the Mars polar latitudes first visited by the Phoenix mission in 2007-2008. Exploring and interrogating the shallow subsurface of Mars from the surface will require some form of excavation and penetration, with drilling being the most mature approach. A series of 0.5-5m automated rotary and rotary-percussive drills developed over the past decade by NASA Ames and Honeybee Robotics provide the capability to fly on a Mars surface mission within the next decade. Surface robotics have been integrated for sample transfer to deck instruments, and the Icebreaker sample acquisition system has been tested successfully in Mars chambers and analog field sites to depths between 1 and 3m, most recently in the Antarctic Dry Valleys in January of 2013. This paper provides a hardware and software systems overview of the Icebreaker sample acquisition system, and discusses test results of this robotic system in relevant environments. Test results from recent Arctic and Antarctic field campaigns demonstrate a hands-off dust to data capability.</t>
  </si>
  <si>
    <t>[Glass, B. J.; Dave, A.; McKay, C. P.] NASA, Ames Res Ctr, Moffett Field, CA 94035 USA; [Paulsen, G.] Honeybee Robot Pasadena, Pasadena, CA 91103 USA</t>
  </si>
  <si>
    <t>National Aeronautics &amp; Space Administration (NASA); NASA Ames Research Center</t>
  </si>
  <si>
    <t>Glass, BJ (corresponding author), NASA, Ames Res Ctr, Moffett Field, CA 94035 USA.</t>
  </si>
  <si>
    <t>brian.glass@nasa.gov; Paulsen@honeybeerobotics.com</t>
  </si>
  <si>
    <t>McKay, Christopher/0000-0002-6243-1362</t>
  </si>
  <si>
    <t>NASA's Astrobiology Technology for Exploring Planets (ASTEP); Astrobiology Instrument Development Programs (ASTID)</t>
  </si>
  <si>
    <t>This work was supported by NASA's Astrobiology Technology for Exploring Planets (ASTEP) and Astrobiology Instrument Development Programs (ASTID).</t>
  </si>
  <si>
    <t>1556-4959</t>
  </si>
  <si>
    <t>1556-4967</t>
  </si>
  <si>
    <t>J FIELD ROBOT</t>
  </si>
  <si>
    <t>J. Field Robot.</t>
  </si>
  <si>
    <t>10.1002/rob.21487</t>
  </si>
  <si>
    <t>Robotics</t>
  </si>
  <si>
    <t>274OT</t>
  </si>
  <si>
    <t>WOS:000328616600009</t>
  </si>
  <si>
    <t>Schmitt, NT; Double, MC; Jarman, SN; Gales, N; Marthick, JR; Polanowski, AM; Baker, CS; Steel, D; Jenner, KCS; Jenner, MNM; Gales, R; Paton, D; Peakall, R</t>
  </si>
  <si>
    <t>Schmitt, Natalie T.; Double, Michael C.; Jarman, Simon N.; Gales, Nick; Marthick, James R.; Polanowski, Andrea M.; Baker, C. Scott; Steel, Debbie; Jenner, K. Curt S.; Jenner, Micheline-N. M.; Gales, Rosemary; Paton, David; Peakall, Rod</t>
  </si>
  <si>
    <t>Low levels of genetic differentiation characterize Australian humpback whale (Megaptera novaeangliae) populations</t>
  </si>
  <si>
    <t>MARINE MAMMAL SCIENCE</t>
  </si>
  <si>
    <t>mtDNA; microsatellites; population genetic structure; conservation; management; Megaptera novaeangliae</t>
  </si>
  <si>
    <t>MITOCHONDRIAL-DNA VARIATION; LAND-BASED SURVEYS; MICROSATELLITE LOCI; GENOTYPING ERRORS; WINTERING GROUNDS; WESTERN-AUSTRALIA; SOUTH-PACIFIC; ATLANTIC; SOFTWARE; MOVEMENTS</t>
  </si>
  <si>
    <t>Humpback whales undertake long-distance seasonal migrations between low latitude winter breeding grounds and high latitude summer feeding grounds. We report the first in-depth population genetic study of the humpback whales that migrate to separate winter breeding grounds along the northwestern and northeastern coasts of Australia, but overlap on summer feeding grounds around Antarctica. Weak but significant differentiation between eastern and western Australia was detected across ten microsatellite loci (F-ST = 0.005, P = 0.001; D-EST = 0.031, P = 0.001, n = 364) and mitochondrial control region sequences (F-ST = 0.017 and phi(ST) = 0.069, P = 0.001, n = 364). Bayesian clustering analyses using microsatellite data could not resolve any population structure unless sampling location was provided as a prior. This study supports the emerging evidence that weak genetic differentiation is characteristic among neighboring Southern Hemisphere humpback whale breeding populations. This may be a consequence of relatively high gene flow facilitated by overlapping summer feeding areas in Antarctic waters.</t>
  </si>
  <si>
    <t>[Schmitt, Natalie T.; Double, Michael C.; Jarman, Simon N.; Gales, Nick; Marthick, James R.; Polanowski, Andrea M.] Australian Marine Mammal Ctr, Australian Antarctic Div, Kingston, Tas 7050, Australia; [Schmitt, Natalie T.; Peakall, Rod] Australian Natl Univ, Res Sch Biol, Canberra, ACT 0200, Australia; [Baker, C. Scott; Steel, Debbie] Oregon State Univ, Marine Mammal Inst, Newport, OR 97365 USA; [Baker, C. Scott; Steel, Debbie] Oregon State Univ, Dept Fisheries &amp; Wildlife, Newport, OR 97365 USA; [Jenner, K. Curt S.; Jenner, Micheline-N. M.] Ctr Whale Res Western Australia, Fremantle, WA 6959, Australia; [Gales, Rosemary] DPIPWE, Hobart, Tas 7000, Australia; [Paton, David] Blue Planet Marine, Jamison Ctr, Canberra, ACT 2614, Australia</t>
  </si>
  <si>
    <t>Australian Antarctic Division; Australian National University; Oregon State University; Oregon State University</t>
  </si>
  <si>
    <t>Schmitt, NT (corresponding author), Australian Marine Mammal Ctr, Australian Antarctic Div, Kingston, Tas 7050, Australia.</t>
  </si>
  <si>
    <t>natalie.schmitt@aad.gov.au</t>
  </si>
  <si>
    <t>Peakall, Rod/C-9623-2009; Jarman, Simon/H-9265-2016</t>
  </si>
  <si>
    <t>Peakall, Rod/0000-0001-9407-8404; Jarman, Simon/0000-0002-0792-9686; Steel, Debbie/0000-0001-5898-2850; Polanowski, Andrea/0000-0002-9612-220X</t>
  </si>
  <si>
    <t>Australian National University; Australian Marine Mammal Centre at the Australian Antarctic Division</t>
  </si>
  <si>
    <t>Australian National University(Australian National University); Australian Marine Mammal Centre at the Australian Antarctic Division</t>
  </si>
  <si>
    <t>The first author (NTS) was supported by an Australian National University postgraduate research scholarship. Funding to support the research was provided by the Australian Marine Mammal Centre at the Australian Antarctic Division. Collection of biopsy samples was conducted under permits from New South Wales, Western Australia, and Tasmania. Animal ethics approval for the research was given by the Animal Experimentation Ethics Committee at the Australian National University, Canberra. We thank David Donnelly for his invaluable voluntary assistance in the field. We also thank the Sapphire Coast Marine Discovery Centre for their logistic and institutional support in Eden. We also acknowledge the contribution of Mathew Oakes and Glenn Jacobson at the Multi-Media Centre at the Australian Antarctic Division for his help in designing Figure 1. The base map for this figure was provided by David Smith at the Australian Antarctic Data Centre which includes data from the Antarctic Digital Database version 5 of the Scientific Committee on Antarctic Research 1993-2006. Finally we would like to acknowledge the invaluable contribution of the reviewers. All comments by the reviewers were extremely valuable and helpful.</t>
  </si>
  <si>
    <t>0824-0469</t>
  </si>
  <si>
    <t>1748-7692</t>
  </si>
  <si>
    <t>MAR MAMMAL SCI</t>
  </si>
  <si>
    <t>Mar. Mamm. Sci.</t>
  </si>
  <si>
    <t>10.1111/mms.12045</t>
  </si>
  <si>
    <t>277LY</t>
  </si>
  <si>
    <t>WOS:000328822200013</t>
  </si>
  <si>
    <t>Piñol, J; San Andrés, V; Clare, EL; Mir, G; Symondson, WOC</t>
  </si>
  <si>
    <t>Pinol, J.; San Andres, V.; Clare, E. L.; Mir, G.; Symondson, W. O. C.</t>
  </si>
  <si>
    <t>A pragmatic approach to the analysis of diets of generalist predators: the use of next-generation sequencing with no blocking probes</t>
  </si>
  <si>
    <t>MOLECULAR ECOLOGY RESOURCES</t>
  </si>
  <si>
    <t>crop ecology; gut content analysis; linyphiid spiders; predator-prey interactions</t>
  </si>
  <si>
    <t>POLYMERASE-CHAIN-REACTION; PREY DNA; MOLECULAR ANALYSIS; LINYPHIID SPIDERS; ALTERNATIVE PREY; ANTARCTIC KRILL; GUT CONTENTS; PCR; IDENTIFICATION; PRIMERS</t>
  </si>
  <si>
    <t>Predicting whether a predator is capable of affecting the dynamics of a prey species in the field implies the analysis of the complete diet of the predator, not simply rates of predation on a target taxon. Here, we employed the Ion Torrent next-generation sequencing technology to investigate the diet of a generalist arthropod predator. A complete dietary analysis requires the use of general primers, but these will also amplify the predator unless suppressed using a blocking probe. However, blocking probes can potentially block other species, particularly if they are phylogenetically close. Here, we aimed to demonstrate that enough prey sequence could be obtained without blocking probes. In communities with many predators, this approach obviates the need to design and test numerous blocking primers, thus making analysis of complex community food webs a viable proposition. We applied this approach to the analysis of predation by the linyphiid spider Oedothorax fuscus in an arable field. We obtained over two million raw reads. After discarding the low-quality and predator reads, the libraries still contained over 61000 prey reads (3% of the raw reads; 6% of reads passing quality control). The libraries were rich in Collembola, Lepidoptera, Diptera and Nematoda. They also contained sequences derived from several spider species and from horticultural pests (aphids). Oedothorax fuscus is common in UK cereal fields, and the results showed that it is exploiting a wide range of prey. Next-generation sequencing using general primers but without blocking probes provided ample sequences for analysis of the prey range of this spider and proved to be a simple and inexpensive approach.</t>
  </si>
  <si>
    <t>[Pinol, J.] Univ Autonoma Barcelona, Cerdanyola Del Valles 08193, Spain; [Pinol, J.] CREAF, Cerdanyola Del Valles 08193, Spain; [Pinol, J.; San Andres, V.; Clare, E. L.; Symondson, W. O. C.] Cardiff Univ, Cardiff Sch Biosci, Cardiff CF10 3AX, S Glam, Wales; [Clare, E. L.] Univ London, Sch Biol &amp; Chem Sci, London E1 4NS, England; [Mir, G.] Ctr Recerca Agrigen CRAG CSIC IRTA UAB UB, Cerdanyola Del Valles 08193, Spain</t>
  </si>
  <si>
    <t>Autonomous University of Barcelona; Centro de Investigacion Ecologica y Aplicaciones Forestales (CREAF-CERCA); Cardiff University; University of London; IRTA; Consejo Superior de Investigaciones Cientificas (CSIC); Centre de Recerca en Agrigenomica (CRAG)</t>
  </si>
  <si>
    <t>Piñol, J (corresponding author), Univ Autonoma Barcelona, Cerdanyola Del Valles 08193, Spain.</t>
  </si>
  <si>
    <t>josep.pinol@uab.es</t>
  </si>
  <si>
    <t>Symondson, William OC/A-4476-2010; Pinol, Josep/K-3577-2014</t>
  </si>
  <si>
    <t>Symondson, William/0000-0002-3343-4679; Mir Arnau, Gisela/0000-0002-9005-3485; Pinol, Josep/0000-0002-4067-3301</t>
  </si>
  <si>
    <t>MICINN grant [CGL2010-18182]; Ministry of Education of Spain</t>
  </si>
  <si>
    <t>MICINN grant(Spanish Government); Ministry of Education of Spain(Spanish Government)</t>
  </si>
  <si>
    <t>We thank several anonymous reviewers and Bruce Deagle for useful suggestions on the initial version of the manuscript. Financial help was provided by the MICINN grant CGL2010-18182. This work was developed during a sabbatical leave of JP to Cardiff University financed by the Ministry of Education of Spain. Nuria Agusti participated in the early stages of the project. Enrique Blanco, Xavier Espadaler and Laia Mestre kindly commented on early versions of the manuscript. We thank Mr Robert Reader of Burdons Farm, Wenvoe, for allowing us to sample spiders on his land.</t>
  </si>
  <si>
    <t>1755-098X</t>
  </si>
  <si>
    <t>1755-0998</t>
  </si>
  <si>
    <t>MOL ECOL RESOUR</t>
  </si>
  <si>
    <t>Mol. Ecol. Resour.</t>
  </si>
  <si>
    <t>10.1111/1755-0998.12156</t>
  </si>
  <si>
    <t>271DX</t>
  </si>
  <si>
    <t>WOS:000328372500003</t>
  </si>
  <si>
    <t>Trigo-Rodríguez, JM; Moyano-Cambero, CE; Llorca, J; Fornasier, S; Barucci, MA; Belskaya, I; Martins, Z; Rivkin, AS; Dotto, E; Madiedo, JM; Alonso-Azcárate, J</t>
  </si>
  <si>
    <t>Trigo-Rodriguez, Josep M.; Moyano-Cambero, Carles E.; Llorca, Jordi; Fornasier, Sonia; Barucci, Maria A.; Belskaya, Irina; Martins, Zita; Rivkin, Andy S.; Dotto, Elisabetta; Madiedo, Jose M.; Alonso-Azcarate, Jacinto</t>
  </si>
  <si>
    <t>UV to far-IR reflectance spectra of carbonaceous chondrites - I. Implications for remote characterization of dark primitive asteroids targeted by sample-return missions</t>
  </si>
  <si>
    <t>instrumentation: spectrographs; techniques: imaging spectroscopy; meteorites, meteors, meteoroids; minor planets, asteroids: general; comets: general</t>
  </si>
  <si>
    <t>MAIN-BELT; MU-M; SPECTROSCOPIC SURVEY; CV3 CHONDRITES; MINERALOGY; METEORITE; WATER; CM; INCLUSIONS; ORIGIN</t>
  </si>
  <si>
    <t>We analyse here a wide sample of carbonaceous chondrites from historic falls (e. g. Allende, Cold Bokkeveld, Kainsaz, Leoville, Murchison, Murray, Orgueil and Tagish Lake) and from NASA Antarctic collection. With the analysis of these meteorites we want to get new clues on the role of aqueous alteration in promoting the reflectance spectra diversity evidenced in the most primitive chondrite groups. The selected meteorite specimens are a sample large enough to exemplify how laboratory reflectance spectra of rare groups of carbonaceous chondrites exhibit distinctive features that can be used to remotely characterize the spectra of primitive asteroids. Our spectra cover the full electromagnetic spectrum from 0.2 to 25 mu m by using two spectrometers. First one is an ultraviolet (UV)-near-infrared (NIR) spectrometer that covers the 0.2-2 mu m window, while the second one is an attenuated total reflectance infrared spectrometer covering the 2-25 mu m window. In particular, laboratory analyses in the UV-NIR window allow obtaining absolute reflectance by using standardized measurement procedures. We obtained reflectance spectra of specimens belonging to the CI, CM, CV, CR, CO, CK, CH, R and CB groups of carbonaceous chondrites plus some ungrouped ones, and it allows identifying characteristic features and bands for each class, plus getting clues on the influence of parent body aqueous alteration. These laboratory spectra can be compared with the remote spectra of asteroids, but the effects of terrestrial alteration forming (oxy)hydroxides need to be considered.</t>
  </si>
  <si>
    <t>[Trigo-Rodriguez, Josep M.; Moyano-Cambero, Carles E.] Fac Ciencies, Inst Space Sci CSIC IEEC, E-08193 Bellaterra, Barcelona, Spain; [Llorca, Jordi] Univ Politecn Cataluna, ETSEIB, Inst Tecn Energet, E-08028 Barcelona, Spain; [Llorca, Jordi] Univ Politecn Cataluna, ETSEIB, Ctr Recerca Nanoengn, E-08028 Barcelona, Spain; [Fornasier, Sonia; Barucci, Maria A.; Belskaya, Irina] Univ Paris Diderot, Univ Paris 06, CNRS, LESIA,Observ Paris, F-92195 Meudon, France; [Martins, Zita] Univ London Imperial Coll Sci Technol &amp; Med, Dept Earth Sci &amp; Engn, London SW7 2AZ, England; [Rivkin, Andy S.] Johns Hopkins Univ, Appl Phys Lab, Laurel, MD 20723 USA; [Dotto, Elisabetta] INAF Osservatorio Astron Roma, I-00136 Rome, Italy; [Madiedo, Jose M.] Univ Huelva, Fac Ciencias Expt, E-21071 Huelva, Spain; [Madiedo, Jose M.] Univ Seville, Fac Fis, Dept Fis Atom Mol &amp; Nucl, E-41012 Seville, Spain; [Alonso-Azcarate, Jacinto] Univ Castilla La Mancha, E-45071 Toledo, Spain</t>
  </si>
  <si>
    <t>Institut d'Estudis Espacials de Catalunya (IEEC); Consejo Superior de Investigaciones Cientificas (CSIC); CSIC - Instituto de Ciencias del Espacio (ICE); Universitat Politecnica de Catalunya; Universitat Politecnica de Catalunya; Centre National de la Recherche Scientifique (CNRS); Sorbonne Universite; Universite PSL; Observatoire de Paris; Universite Paris Cite; Imperial College London; Johns Hopkins University; Johns Hopkins University Applied Physics Laboratory; Istituto Nazionale Astrofisica (INAF); Universidad de Huelva; University of Sevilla; Universidad de Castilla-La Mancha</t>
  </si>
  <si>
    <t>Trigo-Rodríguez, JM (corresponding author), Fac Ciencies, Inst Space Sci CSIC IEEC, Campus UAB,Torre C-5,Parells,2A Planta, E-08193 Bellaterra, Barcelona, Spain.</t>
  </si>
  <si>
    <t>trigo@ice.csic.es</t>
  </si>
  <si>
    <t>Madiedo, Jose/AAD-8811-2022; Llorca, Jordi/M-8134-2014; Alonso-Azcárate, Jacinto/K-4249-2014; Trigo-Rodriguez, Josep M./ABF-5444-2020; Trigo-Rodríguez, Josep M./L-3870-2014; Martins, Zita/H-4860-2015; Rivkin, Andrew/B-7744-2016; Belskaya, Irina/A-7312-2013</t>
  </si>
  <si>
    <t>Llorca, Jordi/0000-0002-7447-9582; Alonso-Azcárate, Jacinto/0000-0003-2187-9360; Trigo-Rodríguez, Josep M./0000-0001-8417-702X; Martins, Zita/0000-0002-5420-1081; Rivkin, Andrew/0000-0002-9939-9976; Madiedo, Jose Maria/0000-0003-0806-5194; Belskaya, Irina/0000-0002-5796-6493; Dotto, Elisabetta/0000-0002-9335-1656</t>
  </si>
  <si>
    <t>Spanish Ministry of Science and Innovation [AYA2011-26522]; CSIC [201050I043]; Royal Society</t>
  </si>
  <si>
    <t>Spanish Ministry of Science and Innovation(Spanish Government); CSIC; Royal Society(Royal Society)</t>
  </si>
  <si>
    <t>Current research was supported by the Spanish Ministry of Science and Innovation (project: AYA2011-26522) and CSIC (starting grant #201050I043). JL1 is grateful to ICREA Academia program. ZM acknowledges support from the Royal Society. NASA Meteorite Working Group and Johnson Space Center meteorite curators are acknowledged for providing the Antarctic carbonaceous chondrites. We also want to express our sincere gratitude for the valuable effort made over the years in the recovery of Antartic samples by ANSMET (The Antarctic Search for Meteorites programme). Katsuhito Othsuka and R. H. are also acknowledged for providing some of the carbonaceous chondrites from historic falls.</t>
  </si>
  <si>
    <t>10.1093/mnras/stt1873</t>
  </si>
  <si>
    <t>271EB</t>
  </si>
  <si>
    <t>WOS:000328373000039</t>
  </si>
  <si>
    <t>Martín-Ledo, R; López-González, PJ</t>
  </si>
  <si>
    <t>Martin-Ledo, Rafael; Lopez-Gonzalez, Pablo J.</t>
  </si>
  <si>
    <t>Brittle stars from Southern Ocean (Echinodermata: Ophiuroidea)</t>
  </si>
  <si>
    <t>Antarctica; Benthos; Ophiuroids; Biogeography; Endemism; Circumpolarity</t>
  </si>
  <si>
    <t>ASTROTOMA-AGASSIZII; BENTHIC FAUNA; BIOGEOGRAPHY; BIODIVERSITY; ORIGIN; SHELF; OCTOCORALLIA; BRYOZOANS; COASTAL; GENUS</t>
  </si>
  <si>
    <t>The present biogeographic study on the ophiuroid fauna from the Southern Ocean (SO) contains an updated checklist, based on a compilation of all the published information provided for the Antarctic and sub-Antarctic regions as well as the information available in SCAR-MarBIN database. Faunal composition and geographical and bathymetric distribution are included. So far, 219 species have been recorded, of which 126 are endemic to the SO, 76 are exclusive to Antarctic waters, and 30 are exclusive to sub-Antarctic waters. This study corroborated the circumpolar and eurybathic character of the ophiuroid fauna of the SO, but some differences are discussed when considering shelf and deep-sea fauna in the whole SO, or in the Antarctic and sub-Antarctic regions separately. The biogeographic affinities of 17 areas considered in the SO are revised, based on a presence/absence datamatrix of the 219 species. This similarity analysis shows three main groups, two of them including sub-Antarctic areas and one for Antarctic areas. The faunal movement patterns between the main geographical connections have been based on historical site records of each species. These movements have a level of faunal exchange that exceeds that of other Antarctic benthic groups. Such movements are mainly from Antarctic and sub-Antarctic regions to the subtropical waters of South America, and from New Zealand and southern Australian waters to sub-Antarctic areas. In this context, the origin of the ophiuroid Antarctic fauna is discussed.</t>
  </si>
  <si>
    <t>[Martin-Ledo, Rafael] Univ Extremadura, Area Zool, Fac Ciencias, Badajoz, Spain; [Lopez-Gonzalez, Pablo J.] Univ Seville, Dept Zool, Fac Biol, Seville, Spain</t>
  </si>
  <si>
    <t>Universidad de Extremadura; University of Sevilla</t>
  </si>
  <si>
    <t>Martín-Ledo, R (corresponding author), Univ Extremadura, Area Zool, Fac Ciencias, Badajoz, Spain.</t>
  </si>
  <si>
    <t>rmartinledo@gmail.com; pjlopez@us.es</t>
  </si>
  <si>
    <t>Spanish CICYT [POL2006-06399/CGL, CTM2012-39350-C02-01]; SCAR-MarBIN mini-grant</t>
  </si>
  <si>
    <t>Spanish CICYT(Consejo Interinstitucional de Ciencia y Tecnologia (CICYT)); SCAR-MarBIN mini-grant</t>
  </si>
  <si>
    <t>The authors would like to express their gratitude to the cruise leader and steering committee of the R/V Polarstern ANT XXIII/8 and ANT XXIX/3 cruises, especially Julian Gutt and Enrique Isla, who kindly facilitated the work on board and allowed us to collaborate in this Antarctic Program. PJL-G takes this opportunity to extend our thanks to the officers and crew, of the R/V Polarstern and many colleagues on board during the ANT XXIII/8 cruise for their help during the sampling period on board. Support for this study was partially provided by the Spanish CICYT projects CLIMANT (POL2006-06399/CGL), ECOWED (CTM2012-39350-C02-01) and SCAR-MarBIN mini-grant to Chester Sands (British Antarctic Survey), which enabled RML's stay in BAS for the study of specimens. We would like to thank Igor Smirnov (Zoological Institute of Russian Academy of Sciences) for their kind assistance during the preparation of the present work. Special thanks to Elena Zaikina for providing assistance to RML. Thanks to the Editors of PB and three anonymous referees whose criticisms have improved the first versions of this manuscript. Special thanks are also addressed to Bruno David (Universite de Bourgogne, Dijon) for his constructive comments during the participation of PJL-G in the ANT XXIX/3 Polarstern cruise (January-March, 2013), and for his suggestions to use the stenobathic and eurybathic data in the form here described as a source of comparative information. Mr. Tony Krupa is thanked for reviewing the English version of the final manuscript of this paper.</t>
  </si>
  <si>
    <t>10.1007/s00300-013-1411-8</t>
  </si>
  <si>
    <t>277WI</t>
  </si>
  <si>
    <t>WOS:000328849600007</t>
  </si>
  <si>
    <t>Vanstreels, RET; Miranda, FR; Ruoppolo, V; Reis, AOD; Costa, ES; Pessôa, ARD; Torres, JPM; da Cunha, LST; Piuco, RD; Valiati, VH; González-Acuña, D; Labruna, MB; Petry, MV; Epiphanio, S; Catao-Dias, JL</t>
  </si>
  <si>
    <t>Thijl Vanstreels, Ralph Eric; Miranda, Flavia R.; Ruoppolo, Valeria; de Almeida Reis, Ana Olivia; Costa, Erli Schneider; de Lira Pessoa, Adriana Rodrigues; Machado Torres, Joao Paulo; Teixeira da Cunha, Larissa Schmauder; Piuco, Roberta da Cruz; Valiati, Victor Hugo; Gonzalez-Acuna, Daniel; Labruna, Marcelo B.; Petry, Maria Virginia; Epiphanio, Sabrina; Catao-Dias, Jose Luiz</t>
  </si>
  <si>
    <t>Investigation of blood parasites of pygoscelid penguins at the King George and Elephant Islands, South Shetlands Archipelago, Antarctica</t>
  </si>
  <si>
    <t>Antarctic Peninsula; Hematology; Health; Sphenisciformes; Vector-borne pathogen</t>
  </si>
  <si>
    <t>TICKS IXODES-URIAE; CLIMATE-CHANGE; SP-NOV; ABSENCE; LEUCOCYTOZOON; PREVALENCE; HEMATOZOA; SEABIRD</t>
  </si>
  <si>
    <t>Parasites may adversely affect the breeding success and survival of penguins, potentially hampering the viability of their populations. We examined 161 pygoscelid penguins (3 Pygoscelis adeliae, 98 Pygoscelis antarcticus, and 60 Pygoscelis papua) at the South Shetlands Archipelago during the 2010-2011 summer; blood smears were examined for 64 penguins (2 P. adeliae, 18 P. antarcticus, and 44 P. papua), and a PCR test targeting Haemoproteus sp. and Plasmodium sp. was applied for 37 penguins (2 P. adeliae, 17 P. antarcticus, 19 P. papua). No blood parasites were observed, and all PCR tests were negative, leukocyte profiles were similar to those reported in other studies for wild pygoscelid penguins, and all penguins were in good body condition and had no external signs of disease. One specimen of chewing lice (Austrogoniodes sp.) was recorded in one P. antarcticus at King George Island. Ticks (Ixodes uriae) were not observed on the penguins, but were found on the ground near P. antarcticus nests at King George Island. The absence of avian blood parasites in Antarctic penguins is thought to result from the absence of competent invertebrate hosts in the climatic conditions. Predicted climate changes may redefine the geographic distribution of vector-borne pathogens, and therefore, the occurrence of blood parasites and their invertebrate hosts should be monitored regularly in Antarctic birds, particularly in the northernmost Antarctic Peninsula.</t>
  </si>
  <si>
    <t>[Thijl Vanstreels, Ralph Eric; Miranda, Flavia R.; Ruoppolo, Valeria; Catao-Dias, Jose Luiz] Univ Sao Paulo, Lab Patol Comparada Anim Selvagens, Dept Patol, Fac Med Vet &amp; Zootecnia, BR-05508270 Sao Paulo, SP, Brazil; [Miranda, Flavia R.] Wildlife Conservat Soc, Sao Paulo, Brazil; [Ruoppolo, Valeria] Int Fund Anim Welf, Sao Paulo, Brazil; [de Almeida Reis, Ana Olivia; Costa, Erli Schneider] Univ Estado Rio de Janeiro, Lab Ecol Aves, Inst Biol Roberto Alcantara Gomes, BR-20550011 Rio De Janeiro, Brazil; [Costa, Erli Schneider; de Lira Pessoa, Adriana Rodrigues; Machado Torres, Joao Paulo; Teixeira da Cunha, Larissa Schmauder] Univ Fed Rio de Janeiro, Lab Radioisotopos Eduardo Penna Franca, Inst Biofis Carlos Chagas Filho, Rio De Janeiro, Brazil; [Piuco, Roberta da Cruz; Petry, Maria Virginia] Univ Vale Rio dos Sinos, Lab Ornitol Anim Marinhos, Sao Leopoldo, Brazil; [Valiati, Victor Hugo] Univ Vale Rio dos Sinos, Mol Biol Lab, Sao Leopoldo, Brazil; [Gonzalez-Acuna, Daniel] Univ Concepcion, Fac Ciencias Vet, Concepcion, Chile; [Labruna, Marcelo B.] Univ Sao Paulo, Parasitol Lab, Dept Med Vet Prevent &amp; Saude Anim, Fac Med Vet &amp; Zootecnia, Sao Paulo, Brazil; [Epiphanio, Sabrina] Univ Fed Sao Paulo, Dept Ciencias Biol, Sao Paulo, Brazil</t>
  </si>
  <si>
    <t>Universidade de Sao Paulo; Universidade do Estado do Rio de Janeiro; Universidade Federal do Rio de Janeiro; Universidade do Vale do Rio dos Sinos (Unisinos); Universidade do Vale do Rio dos Sinos (Unisinos); Universidad de Concepcion; Universidade de Sao Paulo; Universidade Federal de Sao Paulo (UNIFESP)</t>
  </si>
  <si>
    <t>Vanstreels, RET (corresponding author), Univ Sao Paulo, Lab Patol Comparada Anim Selvagens, Dept Patol, Fac Med Vet &amp; Zootecnia, Av Prof Orlando Marques de Paiva,87 Cidade Univ, BR-05508270 Sao Paulo, SP, Brazil.</t>
  </si>
  <si>
    <t>ralph_vanstreels@yahoo.com.br</t>
  </si>
  <si>
    <t>Schmauder T da Cunha, Larissa/GON-8442-2022; Catão-Dias, José Luiz/C-4897-2012; COSTA, ERLI SCHNEIDER/AAP-2375-2020; Valiati, Victor Hugo/AAE-1878-2019; torres, joao/AAI-8390-2021; Miranda, Flávia R/H-3803-2013; Epiphanio, Sabrina/S-2564-2019; Piuco, Roberta/IAP-0651-2023; Petry, Maria Virginia/AAG-5333-2021; Rodrigues de Lira Pessoa, Adriana/HMV-6030-2023; Labruna, Marcelo B/B-6241-2013; Valiati, Victor Hugo/I-4785-2012; , Ralph ET Vanstreels/H-8029-2015; petry, maria/K-8410-2013</t>
  </si>
  <si>
    <t>Schmauder T da Cunha, Larissa/0000-0002-2193-342X; Catão-Dias, José Luiz/0000-0003-2999-3395; COSTA, ERLI SCHNEIDER/0000-0002-3739-1178; torres, joao/0000-0002-2510-1612; Miranda, Flávia R/0000-0002-3804-3781; Epiphanio, Sabrina/0000-0001-6094-9750; de Almeida Reis, Ana Olivia/0000-0002-0677-0634; petry, maria/0000-0002-7870-7394; Valiati, Victor Hugo/0000-0002-4467-4547</t>
  </si>
  <si>
    <t>FAPESP [2009/53956-9, 2010/51801-5]; MCT/CNPq [557049/2009-1]; INCT-APA [CNPq 574018/2008-5, FAPERJ E-26/170.023/2008]; Mount Sinai School of Medicine (Fogarty International Center) [1D43TW00640]; UNISINOS; UFRJ; ICB-USP; PROANTAR; MMA; MCTI; CIRM; Marinha do Brasil</t>
  </si>
  <si>
    <t>FAPESP(Fundacao de Amparo a Pesquisa do Estado de Sao Paulo (FAPESP)); MCT/CNPq(Conselho Nacional de Desenvolvimento Cientifico e Tecnologico (CNPQ)); INCT-APA; Mount Sinai School of Medicine (Fogarty International Center); UNISINOS; UFRJ; ICB-USP; PROANTAR; MMA; MCTI; CIRM(California Institute for Regenerative Medicine); Marinha do Brasil</t>
  </si>
  <si>
    <t>This research was funded by FAPESP (2009/53956-9, 2010/51801-5), MCT/CNPq (557049/2009-1), INCT-APA (CNPq 574018/2008-5, FAPERJ E-26/170.023/2008), Mount Sinai School of Medicine (Fogarty International Center 1D43TW00640) and supported by UNISINOS, UFRJ, ICB-USP, PROANTAR, MMA, MCTI, CIRM, and Marinha do Brasil.</t>
  </si>
  <si>
    <t>10.1007/s00300-013-1401-x</t>
  </si>
  <si>
    <t>WOS:000328849600012</t>
  </si>
  <si>
    <t>García, JL; Hall, BL; Kaplan, MR; Vega, RM; Strelin, JA</t>
  </si>
  <si>
    <t>Garcia, Juan-Luis; Hall, Brenda L.; Kaplan, Michael R.; Vega, Rodrigo M.; Strelin, Jorge A.</t>
  </si>
  <si>
    <t>Glacial geomorphology of the Torres del Paine region (southern Patagonia): Implications for glaciation, deglaciation and paleolake history</t>
  </si>
  <si>
    <t>Patagonian ice sheet; Glacial geomorphology; Torres del Paine; Last glacial period; Paleolakes</t>
  </si>
  <si>
    <t>ANTARCTIC COLD REVERSAL; BE-10 PRODUCTION-RATE; ICE-DAMMED LAKES; NATIONAL-PARK; RADIOCARBON CHRONOLOGY; CHILEAN PATAGONIA; ULTIMA ESPERANZA; CENTRAL STRAIT; FLUCTUATIONS; PLEISTOCENE</t>
  </si>
  <si>
    <t>The processes affecting paleoclimate variability and Pleistocene glacial landscape development in the southern mid-latitudes remain poorly understood, in part because of the scarcity of comprehensive, well-studied records. Glacial landforms are invaluable for reconstructing past ice-sheet, climate, and associated environmental changes along the southern Andes, but there are significant spatial and temporal gaps in existing data. In this paper, we present new geomorphic and sedimentologic analyses, including surficial maps, for the Torres del Paine region (51 degrees S, 73 degrees W), southern South America. Our findings provide a new framework for understanding changes in the regional glacier history and Pleistocene landscape development. Glacial extent during the local last glacial maximum (LGM) remains unknown but new chronological data supported by geomorphic evidence afford evidence for a larger ice sheet at Torres del Paine than previously assumed. Deglaciation from the local LGM was underway by 17,400 +/- 200 (1 sigma) cal. yr. BP. As opposed to previous suggestions, we have found that most of the moraines fringing the lakes in the Torres del Paine national park were deposited during a late-glacial expansion that occurred between 14,100 and 12,500 cal. yr. BP. Late-glacial advances also have been documented recently for the Ultima Esperanza and Lago Argentino basins to the south and north of Torres del Paine, respectively, suggesting an overall regional ice response to a climate signal. The Tehuelche paleolake accompanied each of the ice-sheet fluctuations in Torres del Paine. New data document at least three main phases of this paleolake, which drained eastward to the Atlantic Ocean, while the Andes gaps were blocked with ice. During the late phase of glacial lake formation, when water levels reached 125-155 m a.s.l., the lake likely merged with paleolake Consuelo in the Ultima Esperanza area at the end of the last glaciation. Lake Tehuelche in Torres del Paine had drained into the Pacific Ocean by the late-glacial period, suggesting that ice southwest of Torres del Paine may have retreated back into the mountains by this time. (C) 2013 Elsevier B.V. All rights reserved.</t>
  </si>
  <si>
    <t>[Garcia, Juan-Luis] Pontificia Univ Catolica Chile, Inst Geog, Fac Hist Geog &amp; Ciencia Polit, Santiago 7820436, Chile; [Garcia, Juan-Luis; Hall, Brenda L.] Univ Maine, Climate Change Inst, Sch Earth &amp; Climate Sci, Orono, ME 04469 USA; [Kaplan, Michael R.] Lamont Doherty Earth Observ, Palisades, NY 10964 USA; [Vega, Rodrigo M.] Univ Austral Chile, Inst Ciencias Tierra &amp; Evoluc, Valdivia, Chile; [Strelin, Jorge A.] Univ Nacl Cordoba, CICTERRA, Inst Antartico Argentino, RA-5000 Cordoba, Argentina</t>
  </si>
  <si>
    <t>Pontificia Universidad Catolica de Chile; University of Maine System; University of Maine Orono; Columbia University; Universidad Austral de Chile; Instituto Antartico Argentino; Consejo Nacional de Investigaciones Cientificas y Tecnicas (CONICET); National University of Cordoba</t>
  </si>
  <si>
    <t>García, JL (corresponding author), Pontificia Univ Catolica Chile, Inst Geog, Fac Hist Geog &amp; Ciencia Polit, Ave Vicuna Mackenna 4860, Santiago 7820436, Chile.</t>
  </si>
  <si>
    <t>jgarciab@uc.cl; BrendaH@maine.edu; mkaplan@Ideo.columbia.edu; rmvega@uach.cl; jstrelin@yahoo.com.ar</t>
  </si>
  <si>
    <t>Kaplan, Michael R/D-4720-2011; San Martín, Rodrigo Manuel Vega/P-1700-2019; Garcia-Barriga, Juan-Luis/U-6381-2017</t>
  </si>
  <si>
    <t>San Martín, Rodrigo Manuel Vega/0000-0002-3866-0341; Garcia-Barriga, Juan-Luis/0000-0002-9028-7572</t>
  </si>
  <si>
    <t>FONDECYT [11110381]; National Geographic Society; Churchill Exploration Fund; Corner Science and Education Foundation</t>
  </si>
  <si>
    <t>FONDECYT(Comision Nacional de Investigacion Cientifica y Tecnologica (CONICYT)CONICYT FONDECYT); National Geographic Society(National Geographic Society); Churchill Exploration Fund; Corner Science and Education Foundation</t>
  </si>
  <si>
    <t>The FONDECYT (Iniciacion # 11110381), the National Geographic Society, the Churchill Exploration Fund, and the Corner Science and Education Foundation funded this work. We are very grateful to Corporacion Nacional Forestal (CONAF) Parque Nacional Torres del Paine, Region de Magallanes, Chile. Many thanks to Victor Garcia, Mario Pino Marcelo Arevalo, Trauco and Steffan Krauss for field assistance and logistics. Many thanks also to Daniel Belknap, Esteban Sagredo, and Patricio Moreno for rich discussions on this paper and Kurt Rademaker for the help in producing some of the map figures. This is LDEO contribution #7732.</t>
  </si>
  <si>
    <t>10.1016/j.geomorph.2013.08.036</t>
  </si>
  <si>
    <t>269IE</t>
  </si>
  <si>
    <t>WOS:000328234200048</t>
  </si>
  <si>
    <t>Burgess, AB; Mattmann, CA</t>
  </si>
  <si>
    <t>Joshi, J; Bertino, E; Thuraisingham, B; Liu, L</t>
  </si>
  <si>
    <t>Burgess, Ann B.; Mattmann, Chris A.</t>
  </si>
  <si>
    <t>Automatically Classifying and Interpreting Polar Datasets with Apache Tika</t>
  </si>
  <si>
    <t>2014 IEEE 15TH INTERNATIONAL CONFERENCE ON INFORMATION REUSE AND INTEGRATION (IRI)</t>
  </si>
  <si>
    <t>15th IEEE International Conference on Information Reuse and Integration (IEEE IRI) / IRI-HI / FMI / DIM / EM-RITE / WICSOC / SocialSec / IICPC / NatSec</t>
  </si>
  <si>
    <t>AUG 13-15, 2014</t>
  </si>
  <si>
    <t>metadata; Tika; Polar; MIME; open source</t>
  </si>
  <si>
    <t>The Arctic and Antarctic are undergoing rapid change attributed to the Earth's changing climate. This change is captured via space and airborne remote sensing, in-situ measurement, and climate modeling. Those observations and simulations record data in myriad formats across a number of pertinent data archives funded by NSF, NASA, NOAA, and other federal agencies. Simply finding data may be hard, but we restrict our focus in this paper to the subject of what to do with the data (and metadata) once it is found - the complexity portion of the Big Data challenge. We present our current efforts for dealing with the complexity and heterogeneity of Arctic and Antarctic data - Apache Tika. Apache Tika is an open source framework for metadata exploration, automatic text mining, and information retrieval of 1200 of the most widely used data file formats and 20 rich metadata models to go along with those formats. Our current research efforts are targeted at expanding Apache Tika to parse, extract, and analyze common data formats used in Artic and Antarctic research making them more easily accessible, searchable, and retrievable by all major content management systems (Plone, Drupal, Alfresco, etc.). Furthermore, expanding Tika to handle common Polar data formats will also naturally invite the technology/open source community to deal with Polar use cases, helping to draw attention to and increase understanding of these remote regions.</t>
  </si>
  <si>
    <t>[Burgess, Ann B.; Mattmann, Chris A.] Univ Southern Calif, Dept Comp Sci, Los Angeles, CA 90089 USA; [Mattmann, Chris A.] CALTECH, Jet Prop Lab, Pasadena, CA 91109 USA</t>
  </si>
  <si>
    <t>University of Southern California; California Institute of Technology; National Aeronautics &amp; Space Administration (NASA); NASA Jet Propulsion Laboratory (JPL)</t>
  </si>
  <si>
    <t>Burgess, AB (corresponding author), Univ Southern Calif, Dept Comp Sci, Los Angeles, CA 90089 USA.</t>
  </si>
  <si>
    <t>anniebryant@gmail.com; mattmann@usc.edu</t>
  </si>
  <si>
    <t>Bryant Burgess, Ann/0000-0002-6026-0336; Mattmann, Christian/0000-0002-9414-2901</t>
  </si>
  <si>
    <t>978-1-4799-5879-5; 978-1-4799-5880-1</t>
  </si>
  <si>
    <t>Computer Science, Information Systems</t>
  </si>
  <si>
    <t>BF2AL</t>
  </si>
  <si>
    <t>WOS:000380450500119</t>
  </si>
  <si>
    <t>Wu, WC; Zheng, YX; Qu, HM; Chen, W; Groller, E; Ni, LM</t>
  </si>
  <si>
    <t>Chen, M; Ebert, D; North, C</t>
  </si>
  <si>
    <t>Wu, Wenchao; Zheng, Yixian; Qu, Huamin; Chen, Wei; Groller, Eduard; Ni, Lionel M.</t>
  </si>
  <si>
    <t>BoundarySeer: Visual Analysis of 2D Boundary Changes</t>
  </si>
  <si>
    <t>2014 IEEE CONFERENCE ON VISUAL ANALYTICS SCIENCE AND TECHNOLOGY (VAST)</t>
  </si>
  <si>
    <t>IEEE Conference on Visual Analytics Science and Technology</t>
  </si>
  <si>
    <t>IEEE Conference Visual Analytics Sci Technology</t>
  </si>
  <si>
    <t>OCT 09-14, 2014</t>
  </si>
  <si>
    <t>Boundary change; visual analytics; scatter plot; ThemeRiver; contour map; radial visualization</t>
  </si>
  <si>
    <t>VISUALIZATION</t>
  </si>
  <si>
    <t>Boundary changes exist ubiquitously in our daily life. From the Antarctic ozone hole to the land desertification, and from the territory of a country to the area within one-hour reach from a downtown location, boundaries change over time. With a large number of time-varying boundaries recorded, people often need to analyze the changes, detect their similarities or differences, and find out spatial and temporal patterns of the evolution for various applications. In this paper, we present a comprehensive visual analytics system, BoundarySeer, to help users gain insight into the changes of boundaries. Our system consists of four major viewers: 1) a global viewer to show boundary groups based on their similarity and the distribution of boundary attributes such as smoothness and perimeter; 2) a region viewer to display the regions encircled by the boundaries and how they are affected by boundary changes; 3) a trend viewer to reveal the temporal patterns in the boundary evolution and potential spatio-temporal correlations; 4) a directional change viewer to encode movements of boundary segments in different directions. Quantitative analyses of boundaries (e.g., similarity measurement and adaptive clustering) and intuitive visualizations (e.g., density map and ThemeRiver) are integrated into these viewers, which enable users to explore boundary changes from different aspects and at different scales. Case studies with two real-world datasets have been carried out to demonstrate the effectiveness of our system.</t>
  </si>
  <si>
    <t>[Wu, Wenchao; Zheng, Yixian; Qu, Huamin; Ni, Lionel M.] Hong Kong Univ Sci &amp; Technol, Hong Kong, Hong Kong, Peoples R China; [Chen, Wei] Zhejiang Univ, State Key Lab CAD&amp;CG, Hangzhou, Zhejiang, Peoples R China; [Groller, Eduard] Vienna Univ Technol, Inst Comp Graph &amp; Algorithms, Vienna, Austria; [Groller, Eduard] VRVis Res Ctr, Vienna, Austria</t>
  </si>
  <si>
    <t>Hong Kong University of Science &amp; Technology; Zhejiang University; Technische Universitat Wien</t>
  </si>
  <si>
    <t>Wu, WC (corresponding author), Hong Kong Univ Sci &amp; Technol, Hong Kong, Hong Kong, Peoples R China.</t>
  </si>
  <si>
    <t>wenchao.wu@ust.hk; yixian.zheng@ust.hk; huamin@cse.ust.hk; chenwei@cad.zju.edu.cn; ni@cse.ust.hk</t>
  </si>
  <si>
    <t>Chen, Wei/AAR-9817-2020; Gröller, Eduard/AAH-2111-2020</t>
  </si>
  <si>
    <t>Gröller, Eduard/0000-0002-8569-4149; Wu, Wenchao/0000-0001-9897-8901</t>
  </si>
  <si>
    <t>2325-9442</t>
  </si>
  <si>
    <t>978-1-4799-6227-3</t>
  </si>
  <si>
    <t>IEEE CONF VIS ANAL</t>
  </si>
  <si>
    <t>BF2JW</t>
  </si>
  <si>
    <t>WOS:000380474000015</t>
  </si>
  <si>
    <t>Liu, JC; Hua, LY; Jiang, PG; Chen, PW</t>
  </si>
  <si>
    <t>Liu, Jicheng; Hua, Lingyun; Jiang, Pange; Chen, Pengwei</t>
  </si>
  <si>
    <t>Aerodynamic Performance of Multifunctional Wind Energy Unit for Long Distance Polar Rover</t>
  </si>
  <si>
    <t>2014 IEEE INTERNATIONAL CONFERENCE ON MECHATRONICS AND AUTOMATION (IEEE ICMA 2014)</t>
  </si>
  <si>
    <t>11th IEEE International Conference on Mechatronics and Automation (ICMA)</t>
  </si>
  <si>
    <t>AUG 03-06, 2014</t>
  </si>
  <si>
    <t>Tianjin, PEOPLES R CHINA</t>
  </si>
  <si>
    <t>Polar rover; Wind Energy; Aerodynamic performance; Multifunctional Unit; Long distance exploration</t>
  </si>
  <si>
    <t>The limited energy stored in the polar rover greatly restricts the polar rover to execute a long distance exploration. For making full use of the Antarctic renewable wind energy, a long distance polar rover installed a multifunctional wind energy unit is introduced in this paper. The multifunctional wind energy unit combines the functions of wind driving and wind power generation, which can convert the force acting on the unit generated by the wind energy into the rover's driving force and the wind power at the same time. Based on the theory of aerodynamics, the quantitative relations among thrust force, torque, free stream velocity and blade parameters are established. Meanwhile, the mathematical expression between the thrust coefficient, power coefficient and attack angle and wind direction angle is deduced respectively. The research results in this paper provide the mechanical structure and theoretical reference for the unmanned polar rover to convert the Antarctic renewable wind energy into its own driving power.</t>
  </si>
  <si>
    <t>[Liu, Jicheng; Hua, Lingyun; Jiang, Pange; Chen, Pengwei] Shanghai Univ, Sch Mech Engn &amp; Automat, Shanghai 200072, Peoples R China</t>
  </si>
  <si>
    <t>Liu, JC (corresponding author), Shanghai Univ, Sch Mech Engn &amp; Automat, Shanghai 200072, Peoples R China.</t>
  </si>
  <si>
    <t>liujichenghit@163.com; hualingyun@shu.edu.cn; jpg123@shu.edu.cn; chenpengwei1211@163.com</t>
  </si>
  <si>
    <t>978-1-4799-3979-4</t>
  </si>
  <si>
    <t>Automation &amp; Control Systems; Engineering, Electrical &amp; Electronic</t>
  </si>
  <si>
    <t>Automation &amp; Control Systems; Engineering</t>
  </si>
  <si>
    <t>BE0SR</t>
  </si>
  <si>
    <t>WOS:000366848100328</t>
  </si>
  <si>
    <t>Kislat, F; Beilicke, M; Zajczyk, A; Guo, QZ; Endsley, R; Cowsik, R; Dowkontt, P; Barthelmy, S; Hams, T; Okajima, T; Sasaki, M; De Geronimo, G; Haba, Y; Saji, S; Krawczynski, H</t>
  </si>
  <si>
    <t>Kislat, Fabian; Beilicke, Matthias; Zajczyk, Anna; Guo, Qingzhen; Endsley, Ryan; Cowsik, Ramanath; Dowkontt, Paul; Barthelmy, Scott; Hams, Thomas; Okajima, Takashi; Sasaki, Makoto; De Geronimo, Gianluigi; Haba, Yoshito; Saji, Shigetaka; Krawczynski, Henric</t>
  </si>
  <si>
    <t>The X-Ray Scattering Polarimeter X-Calibur</t>
  </si>
  <si>
    <t>2014 IEEE NUCLEAR SCIENCE SYMPOSIUM AND MEDICAL IMAGING CONFERENCE (NSS/MIC)</t>
  </si>
  <si>
    <t>IEEE Nuclear Science Symposium / Medical Imaging Conference (NSS/MIC)</t>
  </si>
  <si>
    <t>NOV 08-15, 2014</t>
  </si>
  <si>
    <t>Seattle, WA</t>
  </si>
  <si>
    <t>ACCRETING BLACK-HOLES; POLARIZATION; EMISSION</t>
  </si>
  <si>
    <t>X-ray polarimetry holds the promise to resolve the inner regions of compact systems like mass accreting black holes in X-ray binaries and X-ray bright neutron stars. For example, spectropolarimetric observations of pulsars and pulsar wind nebulae can constrain the geometry and locale of particle acceleration in these sources. We designed and built X-Calibur, a hard x-ray polarimeter which was flown in the focal plane of the InFOC mu S grazing incidence mirror in the fall of 2014 from Fort Sumner (NM). Additional flights are planned for the fall of 2016 from Fort Sumner, as well as for the 2018/19 Antarctic season from McMurdo (Antarctica). X-Calibur exploits the fact that polarized photons scatter preferentially in a direction orthogonal to the orientation of their electric field vector. By combining a low-Z scattering slab with high-Z Cadmium Zinc Telluride detectors to photo-absorb the scattered X-rays, X-Calibur achieves a high detection efficiency of almost unity and a large modulation factor. We have calibrated and tested X-Calibur extensively in the laboratory at Washington University and at the Cornell High-Energy Synchrotron Source (CHESS). Measurements using the highly polarized synchrotron beam at CHESS confirm the polarization sensitivity of the instrument. In this paper we report on the design of X-Calibur, results of laboratory calibration measurements characterizing the performance of the instrument, as well as background measurements taken during the first flight.</t>
  </si>
  <si>
    <t>[Kislat, Fabian; Beilicke, Matthias; Zajczyk, Anna; Guo, Qingzhen; Endsley, Ryan; Cowsik, Ramanath; Dowkontt, Paul; Krawczynski, Henric] Washington Univ, Dept Phys, St Louis, MO 63130 USA; [Kislat, Fabian; Beilicke, Matthias; Zajczyk, Anna; Guo, Qingzhen; Endsley, Ryan; Cowsik, Ramanath; Dowkontt, Paul; Krawczynski, Henric] Washington Univ, McDonnell Ctr Space Sci, St Louis, MO 63130 USA; [Barthelmy, Scott; Hams, Thomas; Okajima, Takashi; Sasaki, Makoto] NASA, Goddard Space Flight Ctr, Greenbelt, MD USA; [De Geronimo, Gianluigi] Brookhaven Natl Lab, Upton, NY 11973 USA; [Haba, Yoshito] Aichi Univ Educ, Kariya, Aichi, Japan; [Saji, Shigetaka] Nagoya Univ, Nagoya, Aichi, Japan</t>
  </si>
  <si>
    <t>Washington University (WUSTL); Washington University (WUSTL); National Aeronautics &amp; Space Administration (NASA); NASA Goddard Space Flight Center; United States Department of Energy (DOE); Brookhaven National Laboratory; Aichi University Education; Nagoya University</t>
  </si>
  <si>
    <t>Kislat, F (corresponding author), Washington Univ, Dept Phys, St Louis, MO 63130 USA.</t>
  </si>
  <si>
    <t>fk-islat@physics.wustl.edu</t>
  </si>
  <si>
    <t>Endsley, Ryan/AAJ-5103-2021</t>
  </si>
  <si>
    <t>Endsley, Ryan/0000-0003-4564-2771</t>
  </si>
  <si>
    <t>NASA [NNX10AJ56G, NNX12AD51G]; McDonnell Center; National Science Foundation; National Institutes of Health/National Institute of General Medical Sciences under NSF [DMR-0936384]; NASA [52914, NNX12AD51G] Funding Source: Federal RePORTER</t>
  </si>
  <si>
    <t>NASA(National Aeronautics &amp; Space Administration (NASA)); McDonnell Center; National Science Foundation(National Science Foundation (NSF)); National Institutes of Health/National Institute of General Medical Sciences under NSF(United States Department of Health &amp; Human ServicesNational Institutes of Health (NIH) - USANIH National Institute of General Medical Sciences (NIGMS)); NASA(National Aeronautics &amp; Space Administration (NASA))</t>
  </si>
  <si>
    <t>We are grateful for NASA funding from grant NNX10AJ56G &amp; NNX12AD51G and discretionary funding from the McDonnell Center for the Space Sciences to build the X-Calibur polarimeter. Polarization measurements: This work is based upon research conducted at the Cornell High Energy Synchrotron Source (CHESS) which is supported by the National Science Foundation and the National Institutes of Health/National Institute of General Medical Sciences under NSF award DMR-0936384.</t>
  </si>
  <si>
    <t>978-1-4799-6097-2</t>
  </si>
  <si>
    <t>Nuclear Science &amp; Technology; Radiology, Nuclear Medicine &amp; Medical Imaging</t>
  </si>
  <si>
    <t>BG9AN</t>
  </si>
  <si>
    <t>WOS:000392917500462</t>
  </si>
  <si>
    <t>Hammond, M; Rock, SM</t>
  </si>
  <si>
    <t>Hammond, Marcus; Rock, Stephen M.</t>
  </si>
  <si>
    <t>A SLAM-based Approach for Underwater Mapping using AUVs with Poor Inertial Information</t>
  </si>
  <si>
    <t>2014 IEEE/OES AUTONOMOUS UNDERWATER VEHICLES (AUV)</t>
  </si>
  <si>
    <t>IEEE/OES Autonomous Underwater Vehicles (AUV) Conference</t>
  </si>
  <si>
    <t>OCT 06-09, 2014</t>
  </si>
  <si>
    <t>Oxford, MS</t>
  </si>
  <si>
    <t>This paper presents a SLAM-based approach for creating maps of underwater terrain using AUVs with poor inertial information. The initial motivating application for this work was mapping in the non-inertial frame of a free-drifting Antarctic iceberg, but poor inertial information can also occur if low-cost, high drift inertial instrumentation is used in standard mapping tasks, or if DVL bottom lock is lost during the mission. This paper presents a SLAM-based approach in which features are extracted from concatenated multibeam data and descriptors are created, allowing these features to be compared against past terrain as the vehicle traverses the area. There have been a number of previous research efforts that used feature-based SLAM techniques for underwater mapping, but they have generally made assumptions or relied on sensors that are inconsistent with this paper's motivating application, such as a flat bottom, the availability of visual imagery, or manmade fiducial markers. The method presented here uses natural terrain, is robust to water turbidity, and can be used in areas with vertical terrain like the walls of canyons and icebergs. Results are presented on data collected from Monterey Canyon using a vehicle with a high-grade IMU but that lost DVL bottom lock during the mapping run.</t>
  </si>
  <si>
    <t>[Hammond, Marcus; Rock, Stephen M.] Stanford Univ, Dept Aeronaut &amp; Astronaut, Stanford, CA 94305 USA</t>
  </si>
  <si>
    <t>Stanford University</t>
  </si>
  <si>
    <t>Hammond, M (corresponding author), Stanford Univ, Dept Aeronaut &amp; Astronaut, Stanford, CA 94305 USA.</t>
  </si>
  <si>
    <t>NASA ASTEP [NNX11AR62G]; Monterey Bay Aquarium Research Institute (MBARI); NASA [137456, NNX11AR62G] Funding Source: Federal RePORTER</t>
  </si>
  <si>
    <t>NASA ASTEP(National Aeronautics &amp; Space Administration (NASA)); Monterey Bay Aquarium Research Institute (MBARI); NASA(National Aeronautics &amp; Space Administration (NASA))</t>
  </si>
  <si>
    <t>This work was funded by NASA ASTEP Grant NNX11AR62G with additional support from the Monterey Bay Aquarium Research Institute (MBARI).</t>
  </si>
  <si>
    <t>978-1-4799-4344-9</t>
  </si>
  <si>
    <t>Engineering, Marine; Robotics</t>
  </si>
  <si>
    <t>Engineering; Robotics</t>
  </si>
  <si>
    <t>BI5HT</t>
  </si>
  <si>
    <t>WOS:000412436300020</t>
  </si>
  <si>
    <t>Pensieri, S; Bozzano, R; Schiano, ME; Pensieri, L; Traverso, F; Trucco, A; Picco, P; Bordone, A</t>
  </si>
  <si>
    <t>Pensieri, Sara; Bozzano, Roberto; Schiano, M. Elisabetta; Pensieri, Laura; Traverso, Federico; Trucco, Andrea; Picco, Paola; Bordone, Andrea</t>
  </si>
  <si>
    <t>Environmental acoustic noise observations in Tethys Bay (Terra Nova Bay, Ross Sea, Antarctica)</t>
  </si>
  <si>
    <t>2014 OCEANS - ST. JOHN'S</t>
  </si>
  <si>
    <t>OCEANS-IEEE</t>
  </si>
  <si>
    <t>Oceans Conference</t>
  </si>
  <si>
    <t>SEP 14-19, 2014</t>
  </si>
  <si>
    <t>St Johns, CANADA</t>
  </si>
  <si>
    <t>Acoustic measurements; acoustic impact; Antarctica; Terra Nova Bay</t>
  </si>
  <si>
    <t>Underwater acoustic measurements have been recently carried out in Tethys Bay (Ross Sea, Antarctica) during the XXIX Italian Antarctic Expedition to support acoustic propagation studies in the area and to investigate the environmental noise. Tethys Bay is a small deep cove close to the Antarctic Italian base Mario Zucchelli Station (Baia Terra Nova -74 degrees 42' S e 164 degrees 07' E) and covered with sea-ice for most of the year. During the period of the experiment (November 2013) the pack-ice had an almost constant thickness of about 2.2 m, so that the measurements were performed deploying the instruments into the sea from holes drilled through the pack ice. The holes were located along the bay axis at a distance of about 500 m each other. The sea depth was around 200 m except for the hole close to the coast, where the sea depth was only 25 m. An hydrophone RESON TC 4032 was located in the outermost hole, while the acoustic source, a transceiver transmitting FSK pulses at 11 kHz, was placed in sequence in the other three holes. Every time, the measurements were performed at 0, 20 and 45 m depth for each configuration. Furthermore during the experiment, sea temperature, salinity and currents, as well as the main meteorological parameters were continuously measured. The analysis here reported mainly focuses on the acquired acoustic passive data. The passive measurements evidenced that the signal was generally dominated by different sounds from seals, which was prevailing on the noise due to human activities.</t>
  </si>
  <si>
    <t>[Pensieri, Sara; Bozzano, Roberto; Schiano, M. Elisabetta; Pensieri, Laura] Natl Res Council Italy, Via Marini 6, I-16149 Genoa, Italy; [Traverso, Federico; Trucco, Andrea] Univ Genoa, DITEN, I-16145 Genoa, Italy; [Picco, Paola; Bordone, Andrea] ENEA Marine Environm Res Ctr, I-19032 Pozzuolo Di Lerici Sp), La Spezia, Italy</t>
  </si>
  <si>
    <t>Consiglio Nazionale delle Ricerche (CNR); University of Genoa; Italian National Agency New Technical Energy &amp; Sustainable Economics Development</t>
  </si>
  <si>
    <t>Pensieri, S (corresponding author), Natl Res Council Italy, Via Marini 6, I-16149 Genoa, Italy.</t>
  </si>
  <si>
    <t>Bozzano, Roberto/AAL-8735-2021; Pensieri, Sara/AAL-1889-2021</t>
  </si>
  <si>
    <t>BOZZANO, ROBERTO/0000-0002-5163-2396; Pensieri, Sara/0000-0002-7634-8543</t>
  </si>
  <si>
    <t>0197-7385</t>
  </si>
  <si>
    <t>978-1-4799-4918-2</t>
  </si>
  <si>
    <t>Engineering, Marine; Engineering, Electrical &amp; Electronic; Oceanography</t>
  </si>
  <si>
    <t>BE2QI</t>
  </si>
  <si>
    <t>WOS:000369848800218</t>
  </si>
  <si>
    <t>Chen, LJ; Thorne, RM; Bortnik, J; Li, W; Horne, RB</t>
  </si>
  <si>
    <t>Chen, Lunjin; Thorne, Richard M.; Bortnik, Jacob; Li, Wen; Horne, Richard B.</t>
  </si>
  <si>
    <t>Generation of Unusually Low Frequency Plasmaspheric Hiss</t>
  </si>
  <si>
    <t>2014 XXXITH URSI GENERAL ASSEMBLY AND SCIENTIFIC SYMPOSIUM (URSI GASS)</t>
  </si>
  <si>
    <t>29th URSI General Assembly and Scientific Symposium (URSI GASS)</t>
  </si>
  <si>
    <t>AUG 16-23, 2014</t>
  </si>
  <si>
    <t>[Chen, Lunjin] Univ Texas Dallas, Dept Phys, Richardson, TX 75083 USA; [Thorne, Richard M.; Bortnik, Jacob; Li, Wen] Univ Calif Los Angeles, Dept Atmospher &amp; Ocean Sci, Los Angeles, CA USA; [Horne, Richard B.] British Antarctic Survey, Nat Environm Res Council, Cambridge CB3 0ET, England</t>
  </si>
  <si>
    <t>University of Texas System; University of Texas Dallas; University of California System; University of California Los Angeles; UK Research &amp; Innovation (UKRI); Natural Environment Research Council (NERC); NERC British Antarctic Survey</t>
  </si>
  <si>
    <t>lunjin.chen@gmail.com; rmt@atmos.ucla.edu; jbortnik@atmos.ucla.edu; moonli@atmos.ucla.edu; rh@bas.ac.uk</t>
  </si>
  <si>
    <t>978-1-4673-5225-3</t>
  </si>
  <si>
    <t>BE0QU</t>
  </si>
  <si>
    <t>WOS:000366628703071</t>
  </si>
  <si>
    <t>Clilverd, MA; Rodger, CJ; Neal, JJ; Cresswell-Moorcock, K</t>
  </si>
  <si>
    <t>Clilverd, M. A.; Rodger, C. J.; Neal, J. J.; Cresswell-Moorcock, K.</t>
  </si>
  <si>
    <t>Remote Sensing Space Weather Events Through Ionospheric Radio: The AARDDVARK Network</t>
  </si>
  <si>
    <t>[Clilverd, M. A.] British Antarctic Survey, Cambridge CB3 0ET, England; [Rodger, C. J.; Neal, J. J.; Cresswell-Moorcock, K.] Univ Otago, Dept Phys, Dunedin, New Zealand</t>
  </si>
  <si>
    <t>UK Research &amp; Innovation (UKRI); Natural Environment Research Council (NERC); NERC British Antarctic Survey; University of Otago</t>
  </si>
  <si>
    <t>Clilverd, MA (corresponding author), British Antarctic Survey, Cambridge CB3 0ET, England.</t>
  </si>
  <si>
    <t>Lichtenberger, János/K-1034-2018; Rodger, Craig/A-1501-2011</t>
  </si>
  <si>
    <t>WOS:000366628703109</t>
  </si>
  <si>
    <t>Clilverd, MA; Hardman, RL; Duthie, R; Rodger, CJ; Millan, R</t>
  </si>
  <si>
    <t>Clilverd, Mark A.; Hardman, Rachael L.; Duthie, Roger; Rodger, Craig J.; Millan, Robyn</t>
  </si>
  <si>
    <t>Investigating electron precipitation event characteristics and drivers: combining BARREL-inspired measurements from Antarctica and Canada.</t>
  </si>
  <si>
    <t>[Clilverd, Mark A.; Hardman, Rachael L.; Duthie, Roger] British Antarctic Survey, Cambridge CB3 0ET, England; [Rodger, Craig J.] Univ Otago, Dept Phys, Dunedin, New Zealand; [Millan, Robyn] Dartmouth Coll, Hanover, NH 03755 USA</t>
  </si>
  <si>
    <t>UK Research &amp; Innovation (UKRI); Natural Environment Research Council (NERC); NERC British Antarctic Survey; University of Otago; Dartmouth College</t>
  </si>
  <si>
    <t>Rodger, Craig/A-1501-2011</t>
  </si>
  <si>
    <t>Rodger, Craig J./0000-0002-6770-2707</t>
  </si>
  <si>
    <t>WOS:000366628703149</t>
  </si>
  <si>
    <t>Cresswell-Moorcock, K; Rodger, CJ; Clilverd, MA</t>
  </si>
  <si>
    <t>Cresswell-Moorcock, K.; Rodger, C. J.; Clilverd, M. A.</t>
  </si>
  <si>
    <t>DETECTING SPACE WEATHER EVENTS WITH SUBIONOSPHERIC VLF OBSERVATIONS: PRODUCING QUIET DAY CURVES FROM AARDDVARK DATA</t>
  </si>
  <si>
    <t>The ionization rate of the upper atmosphere can be significantly increased by space weather events, examples being solar proton events (SPE), solar flares and energetic electron precipitation from the radiation belts. In this study we use radio wave observations from the AARDDVARK receivers located at Edmonton, Canada and Scott Base, Antarctica to determine the typical behavior of the received amplitude so as to determine the Quiet Day Curve (QDC) and perturbations from that curve. We will present work we are undertaking to develop an algorithm to automatically define the QDC for a given transmitter-receiver path from many years worth of observations.</t>
  </si>
  <si>
    <t>[Cresswell-Moorcock, K.; Rodger, C. J.] Univ Otago, Dept Phys, Dunedin, New Zealand; [Clilverd, M. A.] British Antarctic Survey, Cambridge CB3 0ET, England</t>
  </si>
  <si>
    <t>University of Otago; UK Research &amp; Innovation (UKRI); Natural Environment Research Council (NERC); NERC British Antarctic Survey</t>
  </si>
  <si>
    <t>Cresswell-Moorcock, K (corresponding author), Univ Otago, Dept Phys, POB 56, Dunedin, New Zealand.</t>
  </si>
  <si>
    <t>creal158@student.otago.ac.nz; crodger@physics.otago.ac.nz; macl@bas.ac.uk</t>
  </si>
  <si>
    <t>WOS:000366628703108</t>
  </si>
  <si>
    <t>Duthie, RJA; Clilverd, MA; Rodger, CJ; Lichtenberger, J; Jorgensen, A</t>
  </si>
  <si>
    <t>Duthie, Roger J. A.; Clilverd, Mark A.; Rodger, Craig J.; Lichtenberger, Janos; Jorgensen, Anders</t>
  </si>
  <si>
    <t>The role of the plasmapause on energetic electron precipitation fluxes during space weather events</t>
  </si>
  <si>
    <t>[Duthie, Roger J. A.; Clilverd, Mark A.] British Antarctic Survey, Cambridge CB3 0ET, England; [Rodger, Craig J.] Univ Otago, Dept Phys, Dunedin, New Zealand; [Lichtenberger, Janos] Eotvos Lorand Univ, Dept Geophys &amp; Space Sci, Space Res Grp, Budapest, Hungary; [Jorgensen, Anders] New Mexico Inst Min &amp; Technol, Dept Elect Engn, Socorro, NM 87801 USA</t>
  </si>
  <si>
    <t>UK Research &amp; Innovation (UKRI); Natural Environment Research Council (NERC); NERC British Antarctic Survey; University of Otago; Eotvos Lorand University; New Mexico Institute of Mining Technology</t>
  </si>
  <si>
    <t>Duthie, RJA (corresponding author), British Antarctic Survey, Cambridge CB3 0ET, England.</t>
  </si>
  <si>
    <t>Jorgensen, Anders/JUF-1102-2023; Rodger, Craig/A-1501-2011; Lichtenberger, Janos/K-1034-2018</t>
  </si>
  <si>
    <t>Jorgensen, Anders/0000-0002-0070-373X; Rodger, Craig J./0000-0002-6770-2707; Lichtenberger, Janos/0000-0001-9175-9255</t>
  </si>
  <si>
    <t>WOS:000366628703155</t>
  </si>
  <si>
    <t>Hendry, AT; Rodger, CJ; Carson, BR; Clilverd, MA</t>
  </si>
  <si>
    <t>Hendry, A. T.; Rodger, C. J.; Carson, B. R.; Clilverd, M. A.</t>
  </si>
  <si>
    <t>Investigating the upper and lower energy cutoffs of EMIC-wave driven precipitation events</t>
  </si>
  <si>
    <t>For some time theoretical modelling has shown that electromagnetic ion cyclotron (EMIC) waves should play an important role in the loss of relativistic electrons from the radiation belts, through precipitation of the electrons into the polar ionosphere. However, there are limited direct experimental observations of relativistic electron precipitation occurring, despite the indirect evidence for its importance. We report on a study that determines the typical flux impacting the ionospheric D-region during EMIC-driven precipitation events, and the effect this has on ionospheric conditions. We examine a very large set of EMIC-driven electron precipitation events detected using data from the Polar-orbiting Operational Environmental Satellite (POES) constellation [1] and determine the typical precipitating electron and proton fluxes and associated energy cutoffs.</t>
  </si>
  <si>
    <t>[Hendry, A. T.; Rodger, C. J.; Carson, B. R.] Univ Otago, Dept Phys, Dunedin, New Zealand; [Clilverd, M. A.] British Antarctic Survey, Cambridge CB3 0ET, England</t>
  </si>
  <si>
    <t>Hendry, AT (corresponding author), Univ Otago, Dept Phys, POB 56, Dunedin, New Zealand.</t>
  </si>
  <si>
    <t>ahendry@physics.otago.ac.nz; crodger@physics.otago.ac.nz; macl@bas.ac.uk</t>
  </si>
  <si>
    <t>Rodger, Craig/A-1501-2011; Hendry, Aaron/T-1911-2019</t>
  </si>
  <si>
    <t>Hendry, Aaron/0000-0002-9130-3781</t>
  </si>
  <si>
    <t>WOS:000366628703152</t>
  </si>
  <si>
    <t>Koloskov, AV; Budanov, OV; Yampolski, YM</t>
  </si>
  <si>
    <t>Koloskov, A. V.; Budanov, O. V.; Yampolski, Yu. M.</t>
  </si>
  <si>
    <t>Long-term monitoring of the Schumann resonance signals from Antarctica</t>
  </si>
  <si>
    <t>In the paper, long-term data sets of the Schumann resonance (SR) signals observed at the Ukrainian Antarctic Station (UAS) are analyzed. It has been found that the long-time trends of the peak frequencies and intensity of the fundamental SR mode correlate with 11-year solar cycle. No trend of yearly averaged numbers of lightning flashes is observed in LIS satellite data for the same period. It is suggested that the long-term variations of the intensity and frequency of SR peaks were caused by changes in the ionosphere controlled by solar activity.</t>
  </si>
  <si>
    <t>[Koloskov, A. V.; Budanov, O. V.; Yampolski, Yu. M.] Natl Acad Sci Ukraine, Inst Radio Astron, UA-61002 Kharkov, Ukraine</t>
  </si>
  <si>
    <t>National Academy of Sciences Ukraine; Institute of Radio Astronomy of the National Academy of Sciences of Ukraine</t>
  </si>
  <si>
    <t>Koloskov, AV (corresponding author), Natl Acad Sci Ukraine, Inst Radio Astron, 4 Chervonoprapotna Str, UA-61002 Kharkov, Ukraine.</t>
  </si>
  <si>
    <t>koloskov@rian.kharkov.ua; o.budanov@gmail.com; yampol@rian.kharkov.ua</t>
  </si>
  <si>
    <t>Koloskov, Oleksandr/ABB-4631-2020; Yampolski, Yuri/AAU-3037-2021; yampolskiy, yuriy m/ABA-8387-2020</t>
  </si>
  <si>
    <t>Koloskov, Oleksandr/0000-0001-8921-3851; Budanov, Oleg/0000-0002-1105-4245; Yampolski, Yuri/0000-0002-6142-5753</t>
  </si>
  <si>
    <t>WOS:000366628703079</t>
  </si>
  <si>
    <t>Lichtenberger, J; Juhász, L; Ferencz, C; Clilverd, M; Rodger, C; Cherneva, N</t>
  </si>
  <si>
    <t>Lichtenberger, J.; Juhasz, L.; Ferencz, C.; Clilverd, M.; Rodger, C.; Cherneva, N.</t>
  </si>
  <si>
    <t>CALIBRATION OF ELECTRON DENSITY OBTAINED FROM WHISTLER INVERSION WITH IN-SITU SATELLITE MEASUREMENTS</t>
  </si>
  <si>
    <t>[Lichtenberger, J.; Juhasz, L.; Ferencz, C.] Eotvos Lorand Univ, Dept Geophys &amp; Space Sci, Budapest, Hungary; [Lichtenberger, J.] Res Ctr Astron &amp; Earth Sci, Geodet &amp; Geophys Inst, Sopron, Hungary; [Clilverd, M.] British Antarctic Survey, Cambridge CB3 0ET, England; [Rodger, C.] Univ Otago, Dunedin, New Zealand; [Cherneva, N.] Inst Cosmophys Res &amp; Radio Wave Propagat, Paratunka, Russia</t>
  </si>
  <si>
    <t>Eotvos Lorand University; Hungarian Research Network; HUN-REN Institute of Earth Physics &amp; Space Science; Hungarian Academy of Sciences; HUN-REN Research Centre for Astronomy &amp; Earth Sciences; UK Research &amp; Innovation (UKRI); Natural Environment Research Council (NERC); NERC British Antarctic Survey; University of Otago; Institute of Cosmophysical Research &amp; Radio Wave Propagation FEB RAS</t>
  </si>
  <si>
    <t>Lichtenberger, J (corresponding author), Eotvos Lorand Univ, Dept Geophys &amp; Space Sci, Budapest, Hungary.</t>
  </si>
  <si>
    <t>Rodger, Craig/A-1501-2011; Cherneva, Nina/C-8037-2018; Lichtenberger, Janos/K-1034-2018</t>
  </si>
  <si>
    <t>Cherneva, Nina/0000-0002-6440-7569; Rodger, Craig J./0000-0002-6770-2707; Lichtenberger, Janos/0000-0001-9175-9255</t>
  </si>
  <si>
    <t>WOS:000366628703132</t>
  </si>
  <si>
    <t>Rietveld, MT; Blagoveshchenskaya, NF; Borisova, TD; Bryers, C; Kosch, M; Senior, A</t>
  </si>
  <si>
    <t>Rietveld, M. T.; Blagoveshchenskaya, N. F.; Borisova, T. D.; Bryers, C.; Kosch, M.; Senior, A.</t>
  </si>
  <si>
    <t>Recent results from HF pumping experiments of the ionosphere and mesosphere using the EISCAT facilities near Tromso</t>
  </si>
  <si>
    <t>[Rietveld, M. T.] EISCAT Sci Assoc, N-9027 Ramfjordbotn, Norway; [Blagoveshchenskaya, N. F.; Borisova, T. D.] Arctic &amp; Antarctic Res Inst, St Petersburg, Russia; [Bryers, C.; Kosch, M.; Senior, A.] Univ Lancaster, Dept Phys, Lancaster LA1 4YW, England; [Kosch, M.] South African Natl Space Agcy, Hermanus, South Africa</t>
  </si>
  <si>
    <t>Arctic &amp; Antarctic Research Institute; Lancaster University</t>
  </si>
  <si>
    <t>Rietveld, MT (corresponding author), EISCAT Sci Assoc, N-9027 Ramfjordbotn, Norway.</t>
  </si>
  <si>
    <t>mike@eiscat.uit.no; nataly@aari.nw.ru; borisova@aari.ru; carl.bryers@googlemail.com; m.kosch@lancaster.ac.uk; a.senior@lancaster.ac.uk</t>
  </si>
  <si>
    <t>Borisova, Tatiana/AAK-7698-2020</t>
  </si>
  <si>
    <t>WOS:000366628703080</t>
  </si>
  <si>
    <t>Rodger, CJ; Neal, JJ; Clilverd, MA; Raita, T</t>
  </si>
  <si>
    <t>Rodger, C. J.; Neal, J. J.; Clilverd, M. A.; Raita, T.</t>
  </si>
  <si>
    <t>LONG TERM DETERMINATION OF VARIATIONS IN ENERGETIC ELECTRON PRECIPITATION INTO THE ATMOSPHERE USING AARDDVARK</t>
  </si>
  <si>
    <t>Energetic electron precipitation can be monitored by their affect on the propagation of very low frequency (VLF) radio waves. EEP induced ionization produces changes in received amplitude and phase of the VLF waves as they propagate through the Earth-ionosphere waveguide. The Antarctic-Arctic Radiation-belt Dynamic Deposition VLF Atmospheric Research Konsortia (AARDDVARK) network of receivers (http://www.physics.otago.ac.nz/space/AARDDVARK_homepage.htm) observes VLF radio signals from high-power narrow-band communication transmitters from multiple nations with the goal of understanding and detecting EEP along many different paths. In this presentation we will focus on a near-continuous 8-year database of AARDDVARK ionospheric observations and extract EEP flux magnitudes.</t>
  </si>
  <si>
    <t>[Rodger, C. J.; Neal, J. J.] Univ Otago, Dept Phys, Dunedin, New Zealand; [Clilverd, M. A.] British Antarctic Survey, Cambridge CB3 0ET, England; [Raita, T.] Univ Oulu, Sodankyla Geophys Observ, Sodankyla, Finland</t>
  </si>
  <si>
    <t>University of Otago; UK Research &amp; Innovation (UKRI); Natural Environment Research Council (NERC); NERC British Antarctic Survey; University of Oulu</t>
  </si>
  <si>
    <t>Rodger, CJ (corresponding author), Univ Otago, Dept Phys, POB 56, Dunedin, New Zealand.</t>
  </si>
  <si>
    <t>crodger@physics.otago.ac.nz; neaja608@student.otago.ac.nz; macl@bas.ac.uk; tero.raita@sgo.fi</t>
  </si>
  <si>
    <t>Raita, Tero/0000-0002-0455-5746; Rodger, Craig J./0000-0002-6770-2707</t>
  </si>
  <si>
    <t>WOS:000366628703150</t>
  </si>
  <si>
    <t>Rodger, CJ; Clilverd, MA; Wissing, JM; Kavanagh, AJ; Raita, T; Marple, S</t>
  </si>
  <si>
    <t>Rodger, C. J.; Clilverd, M. A.; Wissing, J. M.; Kavanagh, A. J.; Raita, T.; Marple, S.</t>
  </si>
  <si>
    <t>TESTING AIMOS IONIZATION RATES IN THE MIDDLE ATMOSPHERE: COMPARISON WITH GROUND BASED RADIO WAVE OBSERVATIONS OF THE IONOSPHERE</t>
  </si>
  <si>
    <t>There is growing interest in coupling energetic particle precipitation (EPP) into Chemistry-Climate Models. Experimental observations show that EPP from the radiation belts during geomagnetic storms lead to significant ozone decreases in polar latitudes, and couple to polar surface air temperatures. Datasets of satellite-derived EPP-driven ionospheric ionization rates have been created. However, there are reasons to suspect the satellite EPP observations, and the ionization rates need to be tested against experimental reality. In this presentation we will contrast the ionization rates output by one model with experimental observations from ground-based observations, specifically VLF receivers and riometers.</t>
  </si>
  <si>
    <t>[Rodger, C. J.] Univ Otago, Dept Phys, Dunedin, New Zealand; [Clilverd, M. A.; Kavanagh, A. J.] British Antarctic Survey, Cambridge CB3 0ET, England; [Wissing, J. M.] Univ Osnabruck, FB Phys, Osnabruck, Germany; [Raita, T.] Univ Oulu, Sodankyla Geophys Observ, Sodankyla, Finland; [Marple, S.] Univ Lancaster, Dept Phys, Lancaster, England</t>
  </si>
  <si>
    <t>University of Otago; UK Research &amp; Innovation (UKRI); Natural Environment Research Council (NERC); NERC British Antarctic Survey; University Osnabruck; University of Oulu; Lancaster University</t>
  </si>
  <si>
    <t>crodger@physics.otago.ac.nz; macl@bas.ac.uk; jawissin@uni-osnabrueck.de; andkav@bas.ac.uk; tero.raita@sgo.fi; s.marple@lancaster.ac.uk</t>
  </si>
  <si>
    <t>Marple, Steven/0000-0002-7544-5130; Rodger, Craig J./0000-0002-6770-2707; Raita, Tero/0000-0002-0455-5746</t>
  </si>
  <si>
    <t>WOS:000366628703105</t>
  </si>
  <si>
    <t>Rodger, CJ; Clilverd, MA</t>
  </si>
  <si>
    <t>Rodger, C. J.; Clilverd, M. A.</t>
  </si>
  <si>
    <t>AARDDVARK Team</t>
  </si>
  <si>
    <t>REMOTE SENSING SPACE WEATHER EVENTS THROUGH IONOSPHERIC RADIO: LATEST UPDATE FROM THE AARDDVARK NETWORK</t>
  </si>
  <si>
    <t>The Antarctic-Arctic Radiation-belt (Dynamic) Deposition - VLF Atmospheric Research Konsortium (AARDDVARK) provides a network of continuous long-range observations of the lower-ionosphere in the polar regions. The network of sensors detect changes in ionisation levels from similar to 30-90 km altitude, globally, continuously, and with high time resolution, with the goal of increasing the understanding of energy coupling between the Earth's atmosphere, Sun, and Space. We use the upper atmosphere as a gigantic energetic particle detector to observe and understand changing energy deposition from space weather events. Our talk will focus on the latest results from AARDDVARK.</t>
  </si>
  <si>
    <t>[Rodger, C. J.] Univ Otago, Dept Phys, Dunedin, New Zealand; [Clilverd, M. A.] British Antarctic Survey, Cambridge CB3 0ET, England</t>
  </si>
  <si>
    <t>crodger@physics.otago.ac.nz; macl@bas.ac.uk</t>
  </si>
  <si>
    <t>WOS:000366628703103</t>
  </si>
  <si>
    <t>Sasmal, S; Pal, S; Chakrabarti, SK</t>
  </si>
  <si>
    <t>Sasmal, Sudipta; Pal, Sujay; Chakrabarti, Sandip K.</t>
  </si>
  <si>
    <t>Study of long path VLF signal propagation characteristics as observed from Indian Antarctic station, Maitri</t>
  </si>
  <si>
    <t>To examine the quality and propagation characteristics of the radio waves in a very long propagation path, Indian Centre for Space Physics, Kolkata, participated in the 27th Indian scientific expedition to Antarctica during 2007-2008. One Stanford University made AWESOME Very Low Frequency (VLF) receiving system was installed at the Indian Antarctic station Maitri and about five weeks of data was recorded successfully from the Indian transmitter VTX and several other transmitting stations worldwide. The signal quality of VTX was found to be very good and the signal was highly stable. The signal shows the evidences of the presence of the 24 hours solar radiation in the Antarctic region during local summer. We compute the elevation angle of the Sun theoretically during this period and the spatial distribution of the signal by using the LWPC model. We compute the attenuation coefficient of the different propagation modes and observe that different modes are dominating in different propagation conditions. We also observe effects of the Antarctic polar ice in the propagation modes.</t>
  </si>
  <si>
    <t>[Sasmal, Sudipta; Pal, Sujay; Chakrabarti, Sandip K.] Indian Ctr Space Phys, Kolkata 700084, India; [Chakrabarti, Sandip K.] SN Bose Natl Ctr Basic Sci, Kolkata 700098, India</t>
  </si>
  <si>
    <t>Department of Science &amp; Technology (India); SN Bose National Centre for Basic Science (SNBNCBS)</t>
  </si>
  <si>
    <t>Sasmal, S (corresponding author), Indian Ctr Space Phys, 43 Chalantika,Garia Stn Rd, Kolkata 700084, India.</t>
  </si>
  <si>
    <t>meet2ss25@gmail.com; chakraba@bose.res.in</t>
  </si>
  <si>
    <t>Sasmal, Sudipta/ABH-2752-2021</t>
  </si>
  <si>
    <t>WOS:000366628703156</t>
  </si>
  <si>
    <t>Sato, K; Tsutsumi, M; Sato, T; Nakamura, T; Saito, A; Tomikawa, Y; Nishimura, K; Kohma, M; Yamagishi, H; Yamanouchi, T</t>
  </si>
  <si>
    <t>Sato, Kaoru; Tsutsumi, Masaki; Sato, Toru; Nakamura, Takuji; Saito, Akinori; Tomikawa, Yoshihiro; Nishimura, Koji; Kohma, Masashi; Yamagishi, Hisao; Yamanouchi, Takashi</t>
  </si>
  <si>
    <t>Program of the Antarctic Syowa MST/IS radar</t>
  </si>
  <si>
    <t>[Sato, Kaoru] Univ Tokyo, Dept Earth &amp; Planetary Sci, Bunkyo Ku, Tokyo 1130033, Japan; [Tsutsumi, Masaki; Nakamura, Takuji; Tomikawa, Yoshihiro; Nishimura, Koji; Yamagishi, Hisao; Yamanouchi, Takashi] Natl Inst Polar Res, Tachikawa, Tokyo 1908518, Japan; [Sato, Toru] Kyoto Univ, Dept Commun &amp; Comp Engn, Kyoto 6068501, Japan; [Saito, Akinori] Kyoto Univ, Dept Geophys, Kyoto 6068502, Japan; [Kohma, Masashi] Univ Tokyo, Dept Earth &amp; Planetary Sci, Tokyo 1130033, Japan</t>
  </si>
  <si>
    <t>University of Tokyo; Research Organization of Information &amp; Systems (ROIS); National Institute of Polar Research (NIPR) - Japan; Kyoto University; Kyoto University; University of Tokyo</t>
  </si>
  <si>
    <t>Sato, K (corresponding author), Univ Tokyo, Dept Earth &amp; Planetary Sci, Bunkyo Ku, 7-3-1 Hongo, Tokyo 1130033, Japan.</t>
  </si>
  <si>
    <t>kaoru@eps.s.u-tokyo.ac.jp; tutumi@nipr.ac.jp; toru.sato.6e@kyoto-u.ac.jp; nakamura.takuji@nipr.ac.jp; saitoua@kugi.kyoto-u.ac.jp; tomikawa@nipr.ac.jp; knish@nipr.ac.jp; kohmasa@eps.s.u-tokyo.ac.jp; yamagisi@nipr.ac.jp; yamanou@nipr.ac.jp</t>
  </si>
  <si>
    <t>Sato, Toru/F-3818-2012</t>
  </si>
  <si>
    <t>WOS:000366628702255</t>
  </si>
  <si>
    <t>Woodfield, EE; Horne, RB; Glauert, SA; Menietti, JD; Shprits, YY</t>
  </si>
  <si>
    <t>Woodfield, E. E.; Horne, R. B.; Glauert, S. A.; Menietti, J. D.; Shprits, Y. Y.</t>
  </si>
  <si>
    <t>The Origin of Jupiter's Outer Radiation Belt</t>
  </si>
  <si>
    <t>[Woodfield, E. E.; Horne, R. B.; Glauert, S. A.] British Antarctic Survey, Cambridge CB3 0ET, England; [Menietti, J. D.] Univ Iowa, Dept Phys &amp; Astron, Iowa City, IA 52242 USA; [Shprits, Y. Y.] Skolkovo Inst Sci &amp; Technol, Skolkovo 143025, Russia; [Shprits, Y. Y.] MIT, Cambridge, MA 02139 USA; [Shprits, Y. Y.] Univ Calif Los Angeles, Los Angeles, CA 90095 USA</t>
  </si>
  <si>
    <t>UK Research &amp; Innovation (UKRI); Natural Environment Research Council (NERC); NERC British Antarctic Survey; University of Iowa; Skolkovo Institute of Science &amp; Technology; Massachusetts Institute of Technology (MIT); University of California System; University of California Los Angeles</t>
  </si>
  <si>
    <t>Woodfield, EE (corresponding author), British Antarctic Survey, High Cross,Madingley Rd, Cambridge CB3 0ET, England.</t>
  </si>
  <si>
    <t>emmwoo@bas.ac.uk; r.horne@bas.ac.uk; sagl@bas.ac.uk; john-menietti@uiowa.edu; shprits@mit.edu</t>
  </si>
  <si>
    <t>Shprits, Yuri Y/I-2174-2014</t>
  </si>
  <si>
    <t>WOS:000366628703072</t>
  </si>
  <si>
    <t>Xu, S; Zhang, BC; Liu, RY; Guo, LX; Wu, YW</t>
  </si>
  <si>
    <t>Xu Sheng; Zhang Beichen; Liu Ruiyuan; Guo Lixin; Wu Yewen</t>
  </si>
  <si>
    <t>Climatological Features of the Maximum Electron Density of the Ionospheric F2 Layer (NmF2) in Polar Regions</t>
  </si>
  <si>
    <t>Climatological features of NmF2 are investigated and compared using long-term observations among the Arctic and Antarctic stations of Tromso (69.6N, 19.2E; CGM:66.7N, 102.2E), Longyearbyen (78.2N, 16.0E; CGM:75.4N,110.7E) and Zhongshan (69.4S,76.4E; CGM:74.7S,96.9E). Interesting results are presented as follows: The maximum value of NmF2 mainly occurs at local noon (LN) at the auroral latitude station Tromso, but at magnetic noon (MN) at the cusp latitude station Longyearbyen and between local noon and magnetic noon at Zhongshan. There is another peak just before magnetic midnight at Longyearbyen in winter during solar maximum years. An enhancement of NmF2 is also detected during 21-01 UT in winter at Tromso. There are semi-annual anomaly at Tromso and normal variability at both Longyerabyen and Zhongshan during solar minimum years. During solar maximum years there is semi-annual anomaly for all three stations. The winter anomaly is evident at Tromso and Zhongshan, but does not exist at Longyearbyen. It is demonstrated that in addition to the solar radiation the magnetosphere-ionosphere coupling processes, such as particle precipitation and plasma convection, play a significant role in the high latitude ionosphere.</t>
  </si>
  <si>
    <t>[Xu Sheng; Guo Lixin] Xidian Univ, Xian 710071, Peoples R China; [Xu Sheng; Zhang Beichen; Liu Ruiyuan] Polar Res Inst China, Shanghai 200136, Peoples R China; [Wu Yewen] Nanjing Univ Informat Sci &amp; Technol, Nanjing 210044, Jiangsu, Peoples R China</t>
  </si>
  <si>
    <t>Xidian University; Polar Research Institute of China; Nanjing University of Information Science &amp; Technology</t>
  </si>
  <si>
    <t>Xu, S (corresponding author), Xidian Univ, Xian 710071, Peoples R China.</t>
  </si>
  <si>
    <t>xusheng@pric.gov.cn; zhangbeichen@pric.gov.cn; ryliu@pric.gov.cn; lxguo@xidian.edu.cn; ywwu@nuist.edu.cn</t>
  </si>
  <si>
    <t>Linong, Ji/AAB-6543-2020</t>
  </si>
  <si>
    <t>WOS:000366628703033</t>
  </si>
  <si>
    <t>Valenzuela, AEJ; Anderson, CB; Fasola, L; Cabello, JL</t>
  </si>
  <si>
    <t>Valenzuela, Alejandro E. J.; Anderson, Christopher B.; Fasola, Laura; Cabello, Jose L.</t>
  </si>
  <si>
    <t>Linking invasive exotic vertebrates and their ecosystem impacts in Tierra del Fuego to test theory and determine action</t>
  </si>
  <si>
    <t>ACTA OECOLOGICA-INTERNATIONAL JOURNAL OF ECOLOGY</t>
  </si>
  <si>
    <t>Biological invasion; Ecosystem impacts; Exotic species management; Global change; Mechanisms</t>
  </si>
  <si>
    <t>NORTH-AMERICAN BEAVERS; HORN BIOSPHERE RESERVE; BOAR SUS-SCROFA; CAPE-HORN; CASTOR-CANADENSIS; BIOLOGICAL INVASIONS; ECOLOGICAL IMPACTS; ISLANDS; CHILE; CONSEQUENCES</t>
  </si>
  <si>
    <t>Understanding processes and impacts of biological invasions is fundamental for ecology and management. Recent reviews summarized the mechanisms by which invasive species alter entire ecosystems, but quantitative assessments of these mechanisms are lacking for actual assemblages to determine their relative importance, frequency and patterns. We updated information on introduced vertebrates in the Tierra del Fuego Archipelago (TDF) via an exhaustive literature review and new data to evaluate ecosystem impact mechanisms and provide management recommendations. To date, 24 exotic vertebrates have naturalized in TDF, outnumbering natives nearly 2:1, with the North American beaver (Castor canadensis) and muskrat (Ondatra zibethica) being the most widely distributed species and also impacting the ecosystem through the greatest number of mechanisms. Introduced vertebrates occupied most parts of the archipelago with human-inhabited islands having greater taxa richness. All exotics potentially altered ecosystems by one or more mechanisms: 100% food webs, 92% invasional meltdown, 42% habitat modification, 38% disease or parasite transmission, 21% soil property and disturbance regime changes. Impact to habitat structure was the main clustering criterion for this assemblage. Within the species that physically alter habitats, we found two sub-groups: 1) large herbivores and 2) others including beavers and muskrats. Species that did not alter habitat were divided further into those with predatory trophic effects (carnivorous mammals and trout, sub-group 4) and the rest with assorted impacts (sub-group 3). By establishing high quality information on archipelago-wide assemblage, distribution, impacts and mechanisms for exotic vertebrates, we recommend, based on ecological criteria, prioritizing the management of sub-group 2. A secondary priority might be given to the carnivores in sub-group 4, while species in sub-groups 1 and 3 are less urgent. As the first systematic survey of introduced fauna on an archipelago-scale, we identified knowledge gaps, such as population abundance and dynamics for specific species, which are needed to orient future work, but the notable progress made to date is highlighted. (C) 2013 Elsevier Masson SAS. All rights reserved.</t>
  </si>
  <si>
    <t>[Valenzuela, Alejandro E. J.] Argentine Natl Pk Adm, Southern Patagonia Coordinat Off, RA-9410 Ushuaia, Tierra Del Fueg, Argentina; [Anderson, Christopher B.] Natl Univ Tierra del Fuego, RA-9410 Ushuaia, Tierra Del Fueg, Argentina; [Anderson, Christopher B.] OSARA, Mocksville, NC 27028 USA; [Anderson, Christopher B.; Fasola, Laura] Consejo Nacl Invest Cient &amp; Tecn, CADIC, RA-9410 Ushuaia, Tierra Del Fueg, Argentina; [Cabello, Jose L.] Patagonia Wildlife Ltda, Villa Andrea, Punta Arenas, Chile</t>
  </si>
  <si>
    <t>Consejo Nacional de Investigaciones Cientificas y Tecnicas (CONICET)</t>
  </si>
  <si>
    <t>Valenzuela, AEJ (corresponding author), Argentine Natl Pk Adm, Southern Patagonia Coordinat Off, San Martin 1395, RA-9410 Ushuaia, Tierra Del Fueg, Argentina.</t>
  </si>
  <si>
    <t>ale.alevalenzuela@gmail.com</t>
  </si>
  <si>
    <t>U.S. National Science Foundation IRES grant [OISE 0854350]; NSF ECO-Link project [GEO 1262148]</t>
  </si>
  <si>
    <t>U.S. National Science Foundation IRES grant; NSF ECO-Link project</t>
  </si>
  <si>
    <t>This work was produced from fruitful discussions and collaborations initiated from work presented at the second BIOLIEF conference in Mar del Plata, Argentina in November 2011. The Omora Sub-Antarctic Research Alliance supported participation in the BIOLIEF conference and graduate research on invasive species in the TDF region. C.B.A acknowledges financial support from U.S. National Science Foundation IRES grant (OISE 0854350) and NSF ECO-Link project (GEO 1262148) and was a visiting researcher at CADIC-CONICET during the writing of this paper. E. Piana provided important comments to on archeological and pre-historical evidence to reconstruct and confirm several facts on introduced species on TDF Island. G. Massaccesi provided reports of historical records in TDF National Park.</t>
  </si>
  <si>
    <t>1146-609X</t>
  </si>
  <si>
    <t>1873-6238</t>
  </si>
  <si>
    <t>ACTA OECOL</t>
  </si>
  <si>
    <t>Acta Oecol.-Int. J. Ecol.</t>
  </si>
  <si>
    <t>10.1016/j.actao.2013.01.010</t>
  </si>
  <si>
    <t>AA9RG</t>
  </si>
  <si>
    <t>WOS:000331430000015</t>
  </si>
  <si>
    <t>Park, MG; Kim, M; Kim, S</t>
  </si>
  <si>
    <t>Park, Myung Gil; Kim, Miran; Kim, Sunju</t>
  </si>
  <si>
    <t>The Acquisition of Plastids/Phototrophy in Heterotrophic Dinoflagellates</t>
  </si>
  <si>
    <t>Acquired phototrophy; chloroplast; endosymbiont; endosymbiosis; kleptoplastid; kleptoplasty; mixotrophy; organelle retention; photosynthesis</t>
  </si>
  <si>
    <t>AMPHIDINIUM-POECILOCHROUM; DINOPHYSIS DINOPHYCEAE; NOCTILUCA-SCINTILLANS; GRAZING RESPONSES; AMYLAX-TRIACANTHA; GENUS DINOPHYSIS; GREEN NOCTILUCA; GROWTH; ENDOSYMBIONT; PHYLOGENY</t>
  </si>
  <si>
    <t>Several dinoflagellates are known to practice acquired phototrophy by either hosting intact algal endosymbionts or retaining plastids. The acquisition of phototrophy in dinoflagellates appears to occur independently over a variety of orders, rather than being restricted to any specific order(s). While dinoflagellates with intact algal cells host endosymbionts of cyanobacteria, pelagophyte, prasinophyte or dictyochophyte, most organelle-retaining dinoflagellates acquire plastids from cryptophytes. In dinoflagellates with acquired phototrophy, the mechanism by which symbionts or plastids are obtained has not been well studied at sub-cellular or ultrastructural level, and thus little is known regarding their mechanism to sequester and maintain photosynthetic structures, except for three cases, Amphidinium poecilochroum, Gymnodinium aeruginosum, and Dinophysis caudata with peduncle feeding. Dinoflagellates with acquired phototrophy display different degrees of reduction of the retained endosymbiont and organelles, ranging from those which contain intact whole algal cells (e.g. green Noctiluca scintillans), to those which have retained almost a full complement of organelles (e.g., Amphidinium poecilochroum and Podolampas bipes), to those in which only the plastids remain (e.g., Amphidinium wigrense and Dinophysis spp.). A series of events leading to acquisition and subsequent degeneration of a whole-cell endosymbiont have been widely recognized as evolutionary pathway of the acquisition of plastids. However, recent work on D. caudata suggests that acquisition of phototrophy by predation ( i. e. kleptoplastidy) may be a mechanism and evolutionary pathway through which plastids originated in dinoflagellates with 'foreign' plastids other than the 'typical' peridinin-type plastids. Most organelle-retaining dinoflagellates are facultative mixotrophs, with Dinophysis species and an undescribed Antarctic dinoflagellate being the only obligate mixotrophs known so far. The establishment of dinoflagellates with acquired phototrophy in cultures and careful research using the cultures would help improve our knowledge of the evolution of the dinoflagellate plastids and their ecophysiology.</t>
  </si>
  <si>
    <t>[Park, Myung Gil; Kim, Miran] Chonnam Natl Univ, Dept Oceanog, LOHABE, Kwangju 500757, South Korea; [Kim, Sunju] Chonnam Natl Univ, Res Inst Basic Sci, Kwangju 500757, South Korea</t>
  </si>
  <si>
    <t>Chonnam National University; Chonnam National University</t>
  </si>
  <si>
    <t>Park, MG (corresponding author), Chonnam Natl Univ, Dept Oceanog, Lohabe, Kwangju 500757, South Korea.</t>
  </si>
  <si>
    <t>mpark@chonnam.ac.kr</t>
  </si>
  <si>
    <t>Kim, Sunju/IXN-3072-2023; Kim, Miran/P-5739-2014</t>
  </si>
  <si>
    <t>Kim, Miran/0000-0002-1958-3125</t>
  </si>
  <si>
    <t>Mid-career Researcher Program through a NRF; Basic Science Research Program through the National Research Foundation of Korea; MEST [2011-0015820, NRF-2012R1A1A3013725]</t>
  </si>
  <si>
    <t>Mid-career Researcher Program through a NRF(National Research Foundation of Korea); Basic Science Research Program through the National Research Foundation of Korea(National Research Foundation of Korea); MEST(Ministry of Education, Science &amp; Technology (MEST), Republic of Korea)</t>
  </si>
  <si>
    <t>We would like to thank Niels Daugbjerg, Ken Furuya, Guoxiang Liu, and C. Grier Sellers for providing micrographs. This work was supported by the Mid-career Researcher Program through a NRF grant funded by the MEST (2011-0015820) (M.G.P.) and Basic Science Research Program through the National Research Foundation of Korea funded by the Ministry of Education, Science and Technology (NRF-2012R1A1A3013725) (S. K.).</t>
  </si>
  <si>
    <t>10.4467/16890027AP.14.005.1442</t>
  </si>
  <si>
    <t>AC6CN</t>
  </si>
  <si>
    <t>WOS:000332608800005</t>
  </si>
  <si>
    <t>Rodhouse, PGK; Pierce, GJ; Nichols, OC; Sauer, WHH; Arkhipkin, AI; Laptikhovsky, VV; Lipinski, MR; Ramos, JE; Gras, M; Kidokoro, H; Sadayasu, K; Pereira, J; Lefkaditou, E; Pita, C; Gasalla, M; Haimovici, M; Sakai, M; Downey, N</t>
  </si>
  <si>
    <t>Rodhouse, Paul G. K.; Pierce, Graham J.; Nichols, Owen C.; Sauer, Warwick H. H.; Arkhipkin, Alexander I.; Laptikhovsky, Vladimir V.; Lipinski, Marek R.; Ramos, Jorge E.; Gras, Michael; Kidokoro, Hideaki; Sadayasu, Kazuhiro; Pereira, Joao; Lefkaditou, Evgenia; Pita, Cristina; Gasalla, Maria; Haimovici, Manuel; Sakai, Mitsuo; Downey, Nicola</t>
  </si>
  <si>
    <t>Environmental Effects on Cephalopod Population Dynamics: Implications for Management of Fisheries</t>
  </si>
  <si>
    <t>Cephalopods; Population dynamics; Environment; Fluctuations; Stock assessment; Forecasting; Management; Governance</t>
  </si>
  <si>
    <t>SQUID LOLIGO-VULGARIS; CUTTLEFISH SEPIA-OFFICINALIS; JAPANESE COMMON SQUID; GULF-OF-CALIFORNIA; ILLEX-ARGENTINUS CEPHALOPODA; SHORT-FINNED SQUID; TODARODES-PACIFICUS CEPHALOPODA; TODAROPSIS-EBLANAE CEPHALOPODA; CALAMARY SEPIOTEUTHIS-AUSTRALIS; SENSED MESOSCALE OCEANOGRAPHY</t>
  </si>
  <si>
    <t>Cephalopods are a relatively small class of molluscs (similar to 800 species), but they support some large industrial scale fisheries and numerous small-scale, local, artisanal fisheries. For several decades, landings of cephalopods globally have grown against a background of total finfish landings levelling off and then declining. There is now evidence that in recent years, growth in cephalopod landings has declined. The commercially exploited cephalopod species are fast-growing, short-lived ecological opportunists. Annual variability in abundance is strongly influenced by environmental variability, but the underlying causes of the links between environment and population dynamics are poorly understood. Stock assessment models have recently been developed that incorporate environmental processes that drive variability in recruitment, distribution and migration patterns. These models can be expected to improve as more, and better, data are obtained on environmental effects and as techniques for stock identification improve. A key element of future progress will be improved understanding of trophic dynamics at all phases in the cephalopod life cycle. In the meantime, there is no routine stock assessment in many targeted fisheries or in the numerous by-catch fisheries for cephalopods. There is a particular need for a precautionary approach in these cases. Assessment in many fisheries is complicated because cephalopods are ecological opportunists and stocks appear to have benefited from the reduction of key predator by overexploitation. Because of the complexities involved, ecosystem-based fisheries management integrating social, economic and ecological considerations is desirable for cephalopod fisheries. An ecological approach to management is routine in many fisheries, but to be effective, good scientific understanding of the relationships between the environment, trophic dynamics and population dynamics is essential. Fisheries and the ecosystems they depend on can only be managed by regulating the activities of the fishing industry, and this requires understanding the dynamics of the stocks they exploit.</t>
  </si>
  <si>
    <t>[Rodhouse, Paul G. K.] British Antarctic Survey, Cambridge CB3 0ET, England; [Pierce, Graham J.; Pita, Cristina] Univ Aberdeen, Oceanlab, Newburgh, Aberdeen, Scotland; [Pierce, Graham J.; Pita, Cristina] Univ Aveiro, CESAM, P-3800 Aveiro, Portugal; [Pierce, Graham J.; Pita, Cristina] Univ Aveiro, Dept Biol, P-3800 Aveiro, Portugal; [Nichols, Owen C.] Univ Massachusetts Dartmouth, Sch Marine Sci &amp; Technol, Fairhaven, MA USA; [Nichols, Owen C.] Ctr Coastal Studies, Provincetown, MA USA; [Sauer, Warwick H. H.; Lipinski, Marek R.; Downey, Nicola] Rhodes Univ, Dept Ichthyol &amp; Fisheries Sci, ZA-6140 Grahamstown, South Africa; [Arkhipkin, Alexander I.] Falkland Isl Fisheries Dept, Stanley, Falkland Isl, England; [Laptikhovsky, Vladimir V.] CEFAS, Lowestoft, Suffolk, England; [Ramos, Jorge E.] Nubeena Crescent, Marine Res Labs Taroona, Inst Marine &amp; Antarctic Studies, Taroona, Tasmania, Australia; [Gras, Michael] Univ Caen Basse Normandie, Inst Biol Fondamentale, UMI BOREA Biol ORganismes &amp; Ecosyst Aquat, F-14032 Caen, France; [Gras, Michael] Univ Caen Basse Normandie, Appliquee Dept, F-14032 Caen, France; [Gras, Michael] UCBN, BOREA, UMR CNRS7208, IRD207,UPMC,MNHN, Caen, France; [Kidokoro, Hideaki] Fisheries Res Agcy, Japan Sea Natl Fisheries Res, Niigata, Japan; [Sadayasu, Kazuhiro] Fisheries Res Agcy, Marine Fisheries Res &amp; Dev Ctr, Yokohama, Kanagawa, Japan; [Pereira, Joao] Inst Invest Pescas &amp; Mar IPIMAR, Lisbon, Portugal; [Lefkaditou, Evgenia] Helen Ctr Marine Res, Athens, Greece; [Gasalla, Maria] Univ Sao Paulo, Oceanog Inst, Fisheries Ecosyst Lab, Sao Paulo, Brazil; [Haimovici, Manuel] Fed Univ Rio Grande, CEP, Inst Oceanog, Rio Grande, Brazil; [Sakai, Mitsuo] Natl Res Inst Far Seas Fisheries, Shizuoka, Japan</t>
  </si>
  <si>
    <t>UK Research &amp; Innovation (UKRI); Natural Environment Research Council (NERC); NERC British Antarctic Survey; University of Aberdeen; Universidade de Aveiro; Universidade de Aveiro; University of Massachusetts System; University Massachusetts Dartmouth; Rhodes University; Centre for Environment Fisheries &amp; Aquaculture Science; University of Tasmania; Sorbonne Universite; Universite de Caen Normandie; Universite de Caen Normandie; Centre National de la Recherche Scientifique (CNRS); Institut de Recherche pour le Developpement (IRD); Museum National d'Histoire Naturelle (MNHN); Sorbonne Universite; Universite de Caen Normandie; Japan Fisheries Research &amp; Education Agency (FRA); Japan Fisheries Research &amp; Education Agency (FRA); Hellenic Centre for Marine Research; Universidade de Sao Paulo; Universidade Federal do Rio Grande; Japan Fisheries Research &amp; Education Agency (FRA)</t>
  </si>
  <si>
    <t>Rodhouse, PGK (corresponding author), British Antarctic Survey, Cambridge CB3 0ET, England.</t>
  </si>
  <si>
    <t>pgkr@bas.ac.uk</t>
  </si>
  <si>
    <t>Pereira, Joao M F/AAE-1247-2022; Haimovici, Manuel/AAU-9161-2020; Pereira, João/IAP-6686-2023; Fapesp, Biota/F-8655-2017; Robledo, Jorge Alejandro Kurczyn/I-8473-2017; Haimovici, Manuel/B-7068-2015; Gasalla, Maria A./JBJ-9606-2023; pereira, joao/GWN-1007-2022; Sauer, Warwick/GJI-2267-2022; Pita, Cristina/E-4280-2015; Pierce, Graham/A-5404-2018</t>
  </si>
  <si>
    <t>Haimovici, Manuel/0000-0003-1741-8182; Fapesp, Biota/0000-0002-9887-8449; Gasalla, Maria A./0000-0003-1506-7040; Sauer, Warwick/0000-0002-9756-1757; Pita, Cristina/0000-0003-1824-3396; Lefkaditou, Evgenia/0000-0002-7868-5375; Kidokoro, Hideaki/0000-0001-9908-2410; Gras, Michael/0000-0001-9572-8456; Ramos, Jorge E/0000-0002-8690-761X; Pierce, Graham/0000-0002-4744-4501; Sauer, William/0009-0006-8556-3612</t>
  </si>
  <si>
    <t>Natural Environment Research Council [bas0100025] Funding Source: researchfish; NERC [bas0100025] Funding Source: UKRI</t>
  </si>
  <si>
    <t>2162-5875</t>
  </si>
  <si>
    <t>10.1016/B978-0-12-800287-2.00002-0</t>
  </si>
  <si>
    <t>WOS:000337493800003</t>
  </si>
  <si>
    <t>Hoving, HJT; Perez, JAA; Bolstad, KSR; Braid, HE; Evans, AB; Fuchs, D; Judkins, H; Kelly, JT; Marian, JEAR; Nakajima, R; Piatkowski, U; Reid, A; Vecchione, M; Xavier, JCC</t>
  </si>
  <si>
    <t>Hoving, Henk-Jan T.; Perez, Jose Angel A.; Bolstad, Kathrin S. R.; Braid, Heather E.; Evans, Aaron B.; Fuchs, Dirk; Judkins, Heather; Kelly, Jesse T.; Marian, Jose E. A. R.; Nakajima, Ryuta; Piatkowski, Uwe; Reid, Amanda; Vecchione, Michael; Xavier, Jose C. C.</t>
  </si>
  <si>
    <t>The Study of Deep-Sea Cephalopods</t>
  </si>
  <si>
    <t>Cephalopoda; Deep sea; Diversity; Collection methods; Reproduction; Longevity; Trophic ecology; Evolution; Biogeography</t>
  </si>
  <si>
    <t>GIANT-SQUID ARCHITEUTHIS; GULF-OF-CALIFORNIA; TODARODES-SAGITTATUS CEPHALOPODA; VAMPYROTEUTHIS-INFERNALIS CHUN; DOSIDICUS-GIGAS CEPHALOPODA; NORTH-ATLANTIC OCEAN; LYCOTEUTHIS-LORIGERA STEENSTRUP; UPPER CRETACEOUS PLATTENKALKS; ILLEX-ARGENTINUS CEPHALOPODA; GONATUS-ONYX CEPHALOPODA</t>
  </si>
  <si>
    <t>Deep-sea cephalopods are here defined as cephalopods that spend a significant part of their life cycles outside the euphotic zone. In this chapter, the state of knowledge in several aspects of deep-sea cephalopod research are summarized, including information sources for these animals, diversity and general biogeography and life cycles, including reproduction. Recommendations are made for addressing some of the remaining knowledge deficiencies using a variety of traditional and more recently developed methods. The types of oceanic gear that are suitable for collecting cephalopod specimens and images are reviewed. Many groups of deep-sea cephalopods require taxonomic reviews, ideally based on both morphological and molecular characters. Museum collections play a vital role in these revisions, and novel (molecular) techniques may facilitate new use of old museum specimens. Fundamental life-cycle parameters remain unknown for many species; techniques developed for neritic species that could potentially be applied to deep-sea cephalopods are discussed. Reproductive tactics and strategies in deep-sea cephalopods are very diverse and call for comparative evolutionary and experimental studies, but even in the twenty-first century, mature individuals are still unknown for many species. New insights into diet and trophic position have begun to reveal a more diverse range of feeding strategies than the typically voracious predatory lifestyle known for many cephalopods. Regular standardized deep-sea cephalopod surveys are necessary to provide insight into temporal changes in oceanic cephalopod populations and to forecast, verify and monitor the impacts of global marine changes and human impacts on these populations.</t>
  </si>
  <si>
    <t>[Hoving, Henk-Jan T.; Piatkowski, Uwe] Helmholtz Ctr Ocean Res Kiel, GEOMAR, Kiel, Germany; [Perez, Jose Angel A.] Mar Univ Vale Itajai, Ctr Ciencias Tecnol Terra, Itajai, Santa Catarina, Brazil; [Bolstad, Kathrin S. R.; Braid, Heather E.; Evans, Aaron B.; Kelly, Jesse T.] Auckland Univ Technol, Inst Appl Ecol New Zealand, Auckland, New Zealand; [Fuchs, Dirk] Free Univ Berlin, Inst Geol Sci, Branch Paleontol, Berlin, Germany; [Judkins, Heather] Univ S Florida, Dept Biol Sci, St Petersburg, FL 33701 USA; [Marian, Jose E. A. R.] Univ Sao Paulo, Inst Biociencias, Dept Zool, Sao Paulo, Brazil; [Nakajima, Ryuta] Univ Minnesota, Dept Art &amp; Design, Duluth, MN 55812 USA; [Reid, Amanda] Australian Museum Res Inst, Sydney, NSW, Australia; [Vecchione, Michael] Natl Museum Nat Hist, NMFS Natl Systemat Lab, Washington, DC 20560 USA; [Xavier, Jose C. C.] Univ Coimbra, Dept Life Sci, Inst Marine Res, Coimbra, Portugal; [Xavier, Jose C. C.] British Antarctic Survey, NERC, Cambridge CB3 0ET, England</t>
  </si>
  <si>
    <t>Helmholtz Association; GEOMAR Helmholtz Center for Ocean Research Kiel; Universidade do Vale do Itajai; Auckland University of Technology; Free University of Berlin; State University System of Florida; University of South Florida; Universidade de Sao Paulo; University of Minnesota System; University of Minnesota Duluth; Australian Museum; Smithsonian Institution; Smithsonian National Museum of Natural History; National Oceanic Atmospheric Admin (NOAA) - USA; Universidade de Coimbra; UK Research &amp; Innovation (UKRI); Natural Environment Research Council (NERC); NERC British Antarctic Survey</t>
  </si>
  <si>
    <t>Hoving, HJT (corresponding author), Helmholtz Ctr Ocean Res Kiel, GEOMAR, Kiel, Germany.</t>
  </si>
  <si>
    <t>hhoving@geomar.de</t>
  </si>
  <si>
    <t>Xavier, José/KFB-6739-2024; Marian, José Eduardo/C-7047-2013; Marian, José Eduardo Amoroso Rodriguez/V-3244-2019; Piatkowski, Uwe/G-4161-2011; Hoving, Henk-Jan T./A-9267-2018</t>
  </si>
  <si>
    <t>Marian, José Eduardo/0000-0001-7894-0391; Marian, José Eduardo Amoroso Rodriguez/0000-0001-7894-0391; Alvarez Perez, Jose Angel/0000-0001-6431-5237; /0000-0002-9621-6660; Piatkowski, Uwe/0000-0003-1558-5817; Hoving, Henk-Jan T./0000-0002-4330-6507</t>
  </si>
  <si>
    <t>NERC [bas0100025] Funding Source: UKRI; Natural Environment Research Council [bas0100025] Funding Source: researchfish</t>
  </si>
  <si>
    <t>10.1016/B978-0-12-800287-2.00003-2</t>
  </si>
  <si>
    <t>WOS:000337493800004</t>
  </si>
  <si>
    <t>Silva, GAM; Dutra, LMM; da Rocha, RP; Ambrizzi, T; Leiva, É</t>
  </si>
  <si>
    <t>Silva, Gyrlene A. M.; Dutra, Livia M. M.; da Rocha, Rosmeri P.; Ambrizzi, Tercio; Leiva, Erico</t>
  </si>
  <si>
    <t>Preliminary Analysis on the Global Features of the NCEP CFSv2 Seasonal Hindcasts</t>
  </si>
  <si>
    <t>ADVANCES IN METEOROLOGY</t>
  </si>
  <si>
    <t>MODEL; PRECIPITATION; CIRCULATION; SIMULATION; PATTERNS</t>
  </si>
  <si>
    <t>The representation of the CFSv2 ocean-atmosphere ensemble hindcasts is investigated during Dec-Jan-Feb (DJF) and Jun-Jul-Aug (JJA) from 1983 to 2010. The skill anomaly correlations showed that in some continents the forecasts do not have dependency with changes in the initial conditions. Also, in both seasons the model has a higher skill at the 0-month lead time with the largest spatial biases occurring over the North America, South America, and Oceania. Over the continents the largest biases in the nonlinearity of El Nino minus La Nina events are found over the eastern South Africa, part of Oceania, and central-southeastern parts of South America. During DJF the main biases are related to double-ITCZ, strengthening of SPCZ, and deepening of the Aleutian and Icelandic low pressures. The simulation of a warmer SST on the eastern of most austral oceans, the strengthening (weakening) of the Subtropical (Polar) Jet over the Southern Hemisphere, and the weakening of the zonal circulation near the Antarctic continent are also found in both seasons. Over the central-eastern Equatorial Pacific a cooler bias in SST is found during JJA. These biases are interpreted by analyses of the simulated global mean-state and their impact on the main patterns of variability.</t>
  </si>
  <si>
    <t>[Silva, Gyrlene A. M.; Dutra, Livia M. M.; da Rocha, Rosmeri P.; Ambrizzi, Tercio; Leiva, Erico] Univ Sao Paulo, Inst Astron Geophys &amp; Atmospher Sci, BR-05508090 Sao Paulo, Brazil</t>
  </si>
  <si>
    <t>Universidade de Sao Paulo</t>
  </si>
  <si>
    <t>Silva, GAM (corresponding author), Univ Sao Paulo, Inst Astron Geophys &amp; Atmospher Sci, BR-05508090 Sao Paulo, Brazil.</t>
  </si>
  <si>
    <t>gyrlene@gmail.com</t>
  </si>
  <si>
    <t>Ambrizzi, Tercio/A-4636-2008; da Rocha, Rosmeri P/L-6772-2018; Dutra, Lívia Márcia Mosso/D-4345-2017; Silva, Gyrlene A M/E-3703-2013</t>
  </si>
  <si>
    <t>da Rocha, Rosmeri P/0000-0003-3378-393X; Dutra, Lívia Márcia Mosso/0000-0002-1349-7138;</t>
  </si>
  <si>
    <t>Sao Paulo Research Foundation (FAPESP) [08/58101-9]; National Council for Scientific and Technological Development (CNPq); INterdisciplinary CLimate INvestigation cEnter (INCLINE/USP); Fundacao de Amparo a Pesquisa do Estado de Sao Paulo (FAPESP) [08/58101-9] Funding Source: FAPESP</t>
  </si>
  <si>
    <t>Sao Paulo Research Foundation (FAPESP)(Fundacao de Amparo a Pesquisa do Estado de Sao Paulo (FAPESP)); National Council for Scientific and Technological Development (CNPq)(Conselho Nacional de Desenvolvimento Cientifico e Tecnologico (CNPQ)); INterdisciplinary CLimate INvestigation cEnter (INCLINE/USP); Fundacao de Amparo a Pesquisa do Estado de Sao Paulo (FAPESP)(Fundacao de Amparo a Pesquisa do Estado de Sao Paulo (FAPESP))</t>
  </si>
  <si>
    <t>The authors thank the editor and the three anonymous reviewers whose constructive comments help us improve the paper. Also, they thank NCEP for providing the observational, reanalyses, and modeling data and the ECMWF for their reanalysis. Gyrlene A. M. Silva would like to thank Michael Bell from the International Research Institute for Climate and Society (IRI) for the help in computing the EOF analysis and the Group of Climate Studies from University of Sao Paulo (GrEC/USP) for providing the physical locations for the model dataset preparation. The authors also thank the INterdisciplinary CLimate INvestigation cEnter (INCLINE/USP) for the support received. Tercio Ambrizzi also acknowledges Sao Paulo Research Foundation (FAPESP) (Proc. No. 08/58101-9) and National Council for Scientific and Technological Development (CNPq) for partial support.</t>
  </si>
  <si>
    <t>1687-9309</t>
  </si>
  <si>
    <t>1687-9317</t>
  </si>
  <si>
    <t>ADV METEOROL</t>
  </si>
  <si>
    <t>Adv. Meteorol.</t>
  </si>
  <si>
    <t>10.1155/2014/695067</t>
  </si>
  <si>
    <t>303KD</t>
  </si>
  <si>
    <t>WOS:000330672000001</t>
  </si>
  <si>
    <t>Crawford, RJM; Dyer, BM; Upfold, L; Makhado, AB</t>
  </si>
  <si>
    <t>Crawford, R. J. M.; Dyer, B. M.; Upfold, L.; Makhado, A. B.</t>
  </si>
  <si>
    <t>Congruent, decreasing trends of gentoo penguins and Crozet shags at sub-Antarctic Marion Island suggest food limitation through common environmental forcing</t>
  </si>
  <si>
    <t>breeding success; environmental change; food limitation; Phalacrocorax [atriceps] melanogenis; population decrease; Pygoscelis papua; seabirds</t>
  </si>
  <si>
    <t>PRINCE-EDWARD-ISLANDS; SHRIMP NAUTICARIS-MARIONIS; PYGOSCELIS-PAPUA; PHALACROCORAX-ATRICEPS; SOUTHERN-OCEAN; FORAGING BEHAVIOR; BREEDING SUCCESS; CLIMATE-CHANGE; POPULATION; NUMBERS</t>
  </si>
  <si>
    <t>Numbers of gentoo penguins Pygoscelis papua and Crozet shags Phalacrocorax [atriceps] melanogenis breeding annually at Marion Island, one of South Africa's Prince Edward Islands in the South-West Indian Ocean, were strongly correlated over 19 split-years from 1994/1995 to 2012/2013. Both species decreased between the mid-1990s and the mid-2000s, exhibited a partial recovery in the late-2000s and then decreased to their lowest recorded levels in 2012/2013. In both instances, the partial recoveries in the late-2000s were associated with improved breeding success. At a colony of gentoo penguins, breeding success was negatively correlated with the date of arrival of adults to breed. Gentoo penguins and Crozet shags are demersal feeders in inshore waters around Marion Island and there is considerable overlap in the composition of their diets. Therefore, trends in their populations may be driven by food availability, which is likely to be influenced by benthic production around the island. We propose that, in South Africa, and based on the current assessment, the Crozet shag, which elsewhere breeds only at the Crozet Islands, is now Critically Endangered, and the more widely ranging gentoo penguin is Endangered.</t>
  </si>
  <si>
    <t>[Crawford, R. J. M.; Dyer, B. M.; Upfold, L.; Makhado, A. B.] Dept Environm Affairs, Branch Oceans &amp; Coasts, Cape Town, South Africa; [Crawford, R. J. M.; Makhado, A. B.] Univ Cape Town, Dept Biol Sci, Anim Demog Unit, ZA-7700 Rondebosch, South Africa</t>
  </si>
  <si>
    <t>Department of Environment, Forestry &amp; Fisheries; University of Cape Town</t>
  </si>
  <si>
    <t>Crawford, RJM (corresponding author), Dept Environm Affairs, Branch Oceans &amp; Coasts, Cape Town, South Africa.</t>
  </si>
  <si>
    <t>crawford@environment.gov.za</t>
  </si>
  <si>
    <t>South Africa's Department of Environmental Affairs; National Research Foundation (SANAP and Incentive programmes)</t>
  </si>
  <si>
    <t>This research was funded by South Africa's Department of Environmental Affairs and National Research Foundation (SANAP and Incentive programmes). We thank the many field workers who collected information for both species over 19 years and C Boucher for the artwork. We also thank two anonymous reviewers for most helpful comments.</t>
  </si>
  <si>
    <t>10.2989/1814232X.2014.926293</t>
  </si>
  <si>
    <t>WOS:000340268200009</t>
  </si>
  <si>
    <t>Xiong, C; Lühr, H; Wang, H; Johnsen, MG</t>
  </si>
  <si>
    <t>Xiong, C.; Luehr, H.; Wang, H.; Johnsen, M. G.</t>
  </si>
  <si>
    <t>Determining the boundaries of the auroral oval from CHAMP field-aligned current signatures - Part 1</t>
  </si>
  <si>
    <t>Ionosphere; auroral ionosphere; magnetospheric physics; current systems; magnetosphereionosphere interactions</t>
  </si>
  <si>
    <t>MERGING ELECTRIC-FIELD; POLAR-CAP BOUNDARY; COUPLING FUNCTION; LINE BOUNDARY; RING CURRENT; IMAGE-FUV; SUBSTORM; IONOSPHERE; MODEL; MAGNETOSPHERE</t>
  </si>
  <si>
    <t>In this paper we present the first statistical study on auroral oval boundaries derived from small- and medium-scale field-aligned currents (FACs, &lt; 150 km). The dynamics of both the equatorward and poleward boundaries is deduced from 10 years of CHAMP (CHAllenging Minisatellite Payload) magnetic field data (August 2000-August 2010). The approach for detecting the boundaries from FACs works well under dark conditions. For a given activity level the boundaries form well-defined ellipses around the magnetic pole. The latitudes of the equatorward and poleward boundaries both depend, but in different ways, on magnetic activity. With increasing magnetic activity the equatorward boundary expands everywhere, while the poleward boundary shows on average no dependence on activity around midnight, which seems to be stationary at a value of about 72A degrees Mlat. Functional relations between the latitudes of the boundaries and different magnetic activity indices have been tested. Best results for a linear dependence are derived for both boundaries with the dayside merging electric field. The other indices, like the auroral electrojet (AE) and disturbance storm time (Dst) index, also provide good linear relations but with some caveats. Toward high activity a saturation of equatorwards expansion seems to set in. The locations of the auroral boundaries are practically independent of the level of the solar EUV flux and show no dependence on season.</t>
  </si>
  <si>
    <t>[Xiong, C.; Luehr, H.] GFZ German Res Ctr Geosci, Helmholtz Ctr Potsdam, D-14473 Potsdam, Germany; [Xiong, C.; Wang, H.] Wuhan Univ, Dept Space Phys, Coll Elect Informat, Wuhan 430079, Peoples R China; [Johnsen, M. G.] Univ Tromso, Fac Sci &amp; Technol, Tromso Geophys Observ, Tromso, Norway</t>
  </si>
  <si>
    <t>Helmholtz Association; Helmholtz-Center Potsdam GFZ German Research Center for Geosciences; Wuhan University; UiT The Arctic University of Tromso</t>
  </si>
  <si>
    <t>Xiong, Chao/0000-0002-7518-9368; Wang, Hui/0000-0001-8459-5213; Johnsen, Magnar G./0000-0002-2776-0750; Luhr, Hermann/0000-0002-1599-6758</t>
  </si>
  <si>
    <t>Space Agency of the German Aerospace Center (DLR) through Federal Ministry of Economics and Technology; Alexander von Humboldt Foundation</t>
  </si>
  <si>
    <t>Space Agency of the German Aerospace Center (DLR) through Federal Ministry of Economics and Technology(Helmholtz AssociationGerman Aerospace Centre (DLR)); Alexander von Humboldt Foundation(Alexander von Humboldt Foundation)</t>
  </si>
  <si>
    <t>The authors thank Jan Rauberg and Patricia Ritter for scientific discussion about field-aligned current data. The Longyearbyen Meridian Scanning Photometer is owned by the University Centre in Svalbard (UNIS). The staff at UNIS and the Kjell Henriksen Observatory are thanked for operating and providing the MSP data. The ACE, DMSP, and IMAGE teams, as well as the World Data Center C2, Kyoto, are acknowledged for providing the data. The BAS auroral boundary data were derived and provided by the British Antarctic Survey based on IMAGE satellite data. The CHAMP mission was sponsored by the Space Agency of the German Aerospace Center (DLR) through funds of the Federal Ministry of Economics and Technology. The work of Chao Xiong at GFZ is supported by the Alexander von Humboldt Foundation through a Research Fellowship for Postdoctoral Researchers.</t>
  </si>
  <si>
    <t>10.5194/angeo-32-609-2014</t>
  </si>
  <si>
    <t>WOS:000338509000003</t>
  </si>
  <si>
    <t>Sicard-Piet, A; Boscher, D; Horne, RB; Meredith, NP; Maget, V</t>
  </si>
  <si>
    <t>Sicard-Piet, A.; Boscher, D.; Horne, R. B.; Meredith, N. P.; Maget, V.</t>
  </si>
  <si>
    <t>Effect of plasma density on diffusion rates due to wave particle interactions with chorus and plasmaspheric hiss: extreme event analysis</t>
  </si>
  <si>
    <t>Magnetospheric physics; energetic particles, trapped; space plasma physics; charged particle motion and acceleration; wave-particle interactions</t>
  </si>
  <si>
    <t>RADIATION-BELT ELECTRONS; QUASI-LINEAR DIFFUSION; WHISTLER-MODE CHORUS; EARTHS INNER MAGNETOSPHERE; PITCH-ANGLE DIFFUSION; SCATTERING LOSS; ION-CYCLOTRON; ACCELERATION; COEFFICIENTS</t>
  </si>
  <si>
    <t>Wave particle interactions play an important role in controlling the dynamics of the radiation belts. The purpose of this study is to estimate how variations in the plasma density can affect diffusion rates resulting from interactions between chorus waves and plasmaspheric hiss with energetic particles and the resulting evolution of the energetic electron population. We perform a statistical analysis of the electron density derived from the plasma wave experiment on the CRRES satellite for two magnetic local time sectors corresponding to near midnight and near noon. We present the cumulative probability distribution of the electron plasma density for three levels of magnetic activity as measured by Kp. The largest densities are seen near L* = 2.5 while the smallest occur near L* = 6. The broadest distribution, corresponding to the greatest variability, occurs near L* = 4. We calculate diffusion coefficients for plasmaspheric hiss and whistler mode chorus for extreme values of the electron density and estimate the effects on the radiation belts using the Salammbo model. At L* = 4 and L* = 6, in the low density case, using the density from the 5th percentile of the cumulative distribution function, electron energy diffusion by chorus waves is strongest at 2MeV and increases the flux by up to 3 orders of magnitude over a period of 24 h. In contrast, in the high density case, using the density from the 95th percentile, there is little acceleration at energies above 800 keV at L* = 6, and virtually no acceleration at L* = 4. In this case the strongest energy diffusion occurs at lower energies around 400 keV where the flux at L* = 6 increases 3 orders of magnitude.</t>
  </si>
  <si>
    <t>[Sicard-Piet, A.; Boscher, D.; Maget, V.] ONERA French Aerosp Lab, F-31055 Toulouse, France; [Horne, R. B.; Meredith, N. P.] British Antarctic Survey, Cambridge CB3 0ET, England</t>
  </si>
  <si>
    <t>National Office for Aerospace Studies &amp; Research (ONERA); UK Research &amp; Innovation (UKRI); Natural Environment Research Council (NERC); NERC British Antarctic Survey</t>
  </si>
  <si>
    <t>Sicard-Piet, A (corresponding author), ONERA French Aerosp Lab, F-31055 Toulouse, France.</t>
  </si>
  <si>
    <t>angelica.sicard@onera.fr</t>
  </si>
  <si>
    <t>Meredith, Nigel P/C-5806-2018; Horne, Richard B/U-3764-2019</t>
  </si>
  <si>
    <t>Horne, Richard B/0000-0002-0412-6407; Maget, Vincent/0000-0003-0898-7279; Sicard, Angelica/0000-0001-7810-1432; Meredith, Nigel/0000-0001-5032-3463</t>
  </si>
  <si>
    <t>European Union [262468]; UK Natural Environment Research Council; Natural Environment Research Council [bas0100023] Funding Source: researchfish; NERC [bas0100023] Funding Source: UKRI</t>
  </si>
  <si>
    <t>European Union(European Union (EU));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</si>
  <si>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acknowledge Roger Anderson for provision of the CRRES plasma wave data. The research leading to these results has received funding from the European Union Seventh Framework Programme (FP7/2007-2013) under grant agreement 262468 (SPACECAST) and the UK Natural Environment Research Council. Finally, we especially thank the French Space Agency (CNES) for their support for several years on the development of WAPI code.</t>
  </si>
  <si>
    <t>10.5194/angeo-32-1059-2014</t>
  </si>
  <si>
    <t>AO8LT</t>
  </si>
  <si>
    <t>WOS:000341606700014</t>
  </si>
  <si>
    <t>Farinotti, D; King, EC; Albrecht, A; Huss, M; Gudmundsson, GH</t>
  </si>
  <si>
    <t>Farinotti, Daniel; King, Edward C.; Albrecht, Anika; Huss, Matthias; Gudmundsson, G. Hilmar</t>
  </si>
  <si>
    <t>The bedrock topography of Starbuck Glacier, Antarctic Peninsula, as determined by radio-echo soundings and flow modeling</t>
  </si>
  <si>
    <t>Antarctic glaciology; glaciological instruments and methods; ground-penetrating radar; ice-shelf tributary glaciers; radio-echo sounding</t>
  </si>
  <si>
    <t>ICE-THICKNESS DISTRIBUTION; WEST ANTARCTICA; SURFACE VELOCITY; RADAR SURVEYS; SHELF; COLLAPSE; LARSEN; STREAM; DRAINAGE; VOLUME</t>
  </si>
  <si>
    <t>A glacier-wide ice-thickness distribution and bedrock topography is presented for Starbuck Glacier, Antarctic Peninsula. The results are based on 90 km of ground-based radio-echo sounding lines collected during the 2012/13 field season. Cross-validation with ice-thickness measurements provided by NASA's IceBridge project reveals excellent agreement. Glacier-wide estimates are derived using a model that calculates distributed ice thickness, calibrated with the radio-echo soundings. Additional constraints are obtained from in situ ice flow-speed measurements and the surface topography. The results indicate a reverse-sloped bed extending from a riegel occurring similar to 5 km upstream of the current grounding line. The deepest parts of the glacier are as much as 500 m below sea level. The calculated total volume of 80.7 +/- 7.2 km(3) corresponds to an average ice thickness of 312 +/- 30 m.</t>
  </si>
  <si>
    <t>[Farinotti, Daniel] Swiss Fed Inst Technol, Lab Hydraul Hydrol &amp; Glaciol VAW, Zurich, Switzerland; [Farinotti, Daniel] German Res Ctr Geosci GFZ, Potsdam, Germany; [King, Edward C.; Gudmundsson, G. Hilmar] British Antarctic Survey, NERC, Cambridge CB3 0ET, England; [Albrecht, Anika] Univ Potsdam, Potsdam, Germany; [Huss, Matthias] Univ Fribourg, Dept Geosci, CH-1700 Fribourg, Switzerland; [Gudmundsson, G. Hilmar] Chinese Acad Sci, Cold &amp; Arid Reg Environm &amp; Engn Res Inst, State Key Lab Cryospher Sci, Lanzhou, Peoples R China</t>
  </si>
  <si>
    <t>Swiss Federal Institutes of Technology Domain; ETH Zurich; Helmholtz Association; Helmholtz-Center Potsdam GFZ German Research Center for Geosciences; UK Research &amp; Innovation (UKRI); Natural Environment Research Council (NERC); NERC British Antarctic Survey; University of Potsdam; University of Fribourg; Chinese Academy of Sciences; Cold &amp; Arid Regions Environmental &amp; Engineering Research Institute, CAS</t>
  </si>
  <si>
    <t>Farinotti, D (corresponding author), Swiss Fed Inst Technol, Lab Hydraul Hydrol &amp; Glaciol VAW, Zurich, Switzerland.</t>
  </si>
  <si>
    <t>daniel.farinotti@gfz-potsdam.de</t>
  </si>
  <si>
    <t>Huss, Matthias/O-1399-2019; Gudmundsson, Gudmundur Hilmar/F-6499-2012; Gudmundsson, Gudmundur Hilmar/AAU-5987-2020; Huss, Matthias/JLL-6340-2023</t>
  </si>
  <si>
    <t>Huss, Matthias/0000-0002-2377-6923; Gudmundsson, Gudmundur Hilmar/0000-0003-4236-5369; Gudmundsson, Gudmundur Hilmar/0000-0003-4236-5369; Farinotti, Daniel/0000-0003-3417-4570</t>
  </si>
  <si>
    <t>NERC [bas0100027] Funding Source: UKRI; Natural Environment Research Council [bas0100027] Funding Source: researchfish</t>
  </si>
  <si>
    <t>10.3189/2014AoG67A025</t>
  </si>
  <si>
    <t>Green Accepted, Green Submitted, Bronze</t>
  </si>
  <si>
    <t>WOS:000339363400004</t>
  </si>
  <si>
    <t>Ashmore, DW; Bingham, RG; Hindmarsh, RCA; Corr, HFJ; Joughin, IR</t>
  </si>
  <si>
    <t>Ashmore, David W.; Bingham, Robert G.; Hindmarsh, Richard C. A.; Corr, Hugh F. J.; Joughin, Ian R.</t>
  </si>
  <si>
    <t>The relationship between sticky spots and radar reflectivity beneath an active West Antarctic ice stream</t>
  </si>
  <si>
    <t>aerogeophysical measurements; Antarctic glaciology; glacier geophysics; radio-echo sounding; subglacial processes</t>
  </si>
  <si>
    <t>BASAL CONDITIONS BENEATH; EAST ANTARCTICA; SUBGLACIAL CONDITIONS; SHEAR-STRESS; PINE ISLAND; SIPLE DOME; SHEET; DYNAMICS; FLOW; IDENTIFICATION</t>
  </si>
  <si>
    <t>Isolated areas of high basal drag, or 'sticky spots', are important and poorly understood features in the force balance and dynamics of West Antarctic ice streams. Characterizing sticky spots formed by thin or drying subglacial till using ice-penetrating radar is theoretically possible, as high radar bed-returned power (BRP) is commonly related to an abundance of free water at the ice/bed interface, provided losses from englacial attenuation can be estimated. In this study we use airborne radar data collected over Evans Ice Stream to extract BRP profiles and test the sensitivity of BRP to the adopted englacial attenuation correction. We analyse 11 20 km profiles in four fast-flow areas where sticky spots have been inferred to exist on the basis of model and surface data inversions. In the majority of profiles we note that the increase in basal drag is accompanied by a decrease in BRP and suggest that this is evidence both for the presence of a sticky spot in those locations and that local variations in subglacial hydrology are responsible for their existence. A comparison is made between empirical and numerical modelling approaches for deriving englacial attenuation, and our findings generally support previous studies that advocate a modelling approach.</t>
  </si>
  <si>
    <t>[Ashmore, David W.] Univ Aberdeen, Sch Geosci, Aberdeen, Scotland; [Bingham, Robert G.] Univ Edinburgh, Sch Geosci, Edinburgh, Midlothian, Scotland; [Hindmarsh, Richard C. A.; Corr, Hugh F. J.] British Antarctic Survey, NERC, Cambridge CB3 0ET, England; [Joughin, Ian R.] Univ Washington, Appl Phys Lab, Seattle, WA 98105 USA</t>
  </si>
  <si>
    <t>University of Aberdeen; University of Edinburgh; UK Research &amp; Innovation (UKRI); Natural Environment Research Council (NERC); NERC British Antarctic Survey; University of Washington; University of Washington Seattle</t>
  </si>
  <si>
    <t>Ashmore, DW (corresponding author), Univ Aberdeen, Sch Geosci, Aberdeen, Scotland.</t>
  </si>
  <si>
    <t>david.ashmore@abdn.ac.uk</t>
  </si>
  <si>
    <t>Hindmarsh, Richard/N-1195-2019; Joughin, Ian R/A-2998-2008; Corr, Hugh/C-5398-2011; Joughin, Ian/AAR-7778-2021; Bingham, Robert G/G-3576-2017</t>
  </si>
  <si>
    <t>Hindmarsh, Richard/0000-0003-1633-2416; Joughin, Ian R/0000-0001-6229-679X; Joughin, Ian/0000-0001-6229-679X; Ashmore, David/0000-0003-4829-7854; Bingham, Robert G/0000-0002-0630-2021</t>
  </si>
  <si>
    <t>University of Aberdeen College of Physical Sciences Studentship; UK Natural Environment Research Council; The Scottish Alliance for Geosciences, Environment and Society (SAGES); Royal Astronomical Society; NERC [NE/J008087/1, NE/J008095/1, bas0100027] Funding Source: UKRI; Natural Environment Research Council [NE/J008095/1, bas0100027, NE/J008087/1] Funding Source: researchfish</t>
  </si>
  <si>
    <t>University of Aberdeen College of Physical Sciences Studentship; UK Natural Environment Research Council(UK Research &amp; Innovation (UKRI)Natural Environment Research Council (NERC)); The Scottish Alliance for Geosciences, Environment and Society (SAGES); Royal Astronomical Society; NERC(UK Research &amp; Innovation (UKRI)Natural Environment Research Council (NERC)); Natural Environment Research Council(UK Research &amp; Innovation (UKRI)Natural Environment Research Council (NERC))</t>
  </si>
  <si>
    <t>D.W.A. is supported by a University of Aberdeen College of Physical Sciences Studentship. Radar data were collected by the BAS as part of the IMAGE programme funded by the UK Natural Environment Research Council. The Scottish Alliance for Geosciences, Environment and Society (SAGES) and the Royal Astronomical Society provided funds which have advanced this work. Thanks are extended to scientific editor Sridhar Anandakrishnan, and two anonymous reviewers for their constructive comments.</t>
  </si>
  <si>
    <t>10.3189/2014AoG67A052</t>
  </si>
  <si>
    <t>Green Submitted, Green Accepted, hybrid</t>
  </si>
  <si>
    <t>WOS:000339363400005</t>
  </si>
  <si>
    <t>Makinson, K; Anker, PGD</t>
  </si>
  <si>
    <t>Makinson, Keith; Anker, Paul G. D.</t>
  </si>
  <si>
    <t>The BAS ice-shelf hot-water drill: design, methods and tools</t>
  </si>
  <si>
    <t>glaciological instruments and methods; ice shelves</t>
  </si>
  <si>
    <t>EAST ANTARCTICA; BOTTOM WATER; MARINE ICE; ISLAND; CIRCULATION</t>
  </si>
  <si>
    <t>The 2011/12 Antarctic field season saw the first use of a new British Antarctic Survey (BAS) ice-shelf hot-water drill system on the Larsen C and George VI ice shelves. Delivering 90 L min(-1) at 80 degrees C, a total of five holes &gt;30 cm in diameter at three locations were successfully drilled through almost 400 m of ice to provide access to the underlying ocean, including the first access beneath the Larsen C ice shelf. These access holes enabled the deployment of instruments to measure sea-water conductivity, temperature, depth and microstructure, the collection of water samples and up to 2.9 m long sediment cores, before long-term oceanographic moorings were deployed. The simple modular design allowed for Twin Otter aircraft deployment, rapid assembly and commissioning of the system, which proved highly reliable with minimal supervision. A number of novel solutions to various operational sub-ice-shelf profiling and mooring deployment issues were successfully employed through the hot-water drilled access holes to aid the positioning, recovery and deployment of instruments. With future activities now focusing on the Filchner-Ronne Ice Shelf, the drill has been upgraded from its current 500m capability to 1000 m with additional drill hose and further generator, pumping and heating modules.</t>
  </si>
  <si>
    <t>[Makinson, Keith; Anker, Paul G. D.] NERC, British Antarct Survey, Cambridge, England</t>
  </si>
  <si>
    <t>Makinson, K (corresponding author), NERC, British Antarct Survey, Cambridge, England.</t>
  </si>
  <si>
    <t>kmak@bas.ac.uk</t>
  </si>
  <si>
    <t>Makinson, Keith/A-2495-2013</t>
  </si>
  <si>
    <t>Makinson, Keith/0000-0002-5791-1767</t>
  </si>
  <si>
    <t>UK Natural Environment Research Council; NERC [bas0100028, bas0100033] Funding Source: UKRI; Natural Environment Research Council [bas0100033, bas0100028] Funding Source: researchfish</t>
  </si>
  <si>
    <t>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</si>
  <si>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This study is part of the British Antarctic Survey Polar Science for Planet Earth Program. It was funded by the UK Natural Environment Research Council. We also thank Mike Craven, Alan Elcheikh and Lee Greenler for constructive review comments which appreciably improved the manuscript.</t>
  </si>
  <si>
    <t>10.3189/2014AoG68A030</t>
  </si>
  <si>
    <t>WOS:000351889600008</t>
  </si>
  <si>
    <t>Siegert, MJ; Makinson, K; Blake, D; Mowlem, M; Ross, N</t>
  </si>
  <si>
    <t>Siegert, Martin J.; Makinson, Keith; Blake, David; Mowlem, Matt; Ross, Neil</t>
  </si>
  <si>
    <t>An assessment of deep hot-water drilling as a means to undertake direct measurement and sampling of Antarctic subglacial lakes: experience and lessons learned from the Lake Ellsworth field season 2012/13</t>
  </si>
  <si>
    <t>glaciological instruments and methods; radio-echo sounding; subglacial exploration geophysics; subglacial lakes</t>
  </si>
  <si>
    <t>ICE-SHEET; WEST ANTARCTICA; INVENTORY; BENEATH; RISK</t>
  </si>
  <si>
    <t>In the early hours of 25 December 2012, an attempt to explore Subglacial Lake Ellsworth, West Antarctica, using a specially designed hot-water drill, was halted. This UK project, involving several universities, the British Antarctic Survey and the National Oceanography Centre, had been in planning for 10 years. The project developed a full blueprint for subglacial lakes research, involving access to the subglacial environment through deep drilling, direct measurement and sampling of water and sediment by the construction of a probe and sediment corer, and environmental protocols to ensure cleanliness in line with international agreements on stewardship and protection of subglacial systems. Drilling was ceased after the main borehole failed to link with a subsurface cavity of water, built up over similar to 40 hours. Without this link, insufficient water was available to continue drilling downwards to the lake, similar to 3000 m beneath the surface. On return to the UK, an external review of the programme was undertaken to formally assess the reasons for the fieldwork failure, and to make recommendations on the modifications necessary for success. From this review, the Lake Ellsworth programme formulated a pathway along which a second attempt to explore the lake can be developed. Here details of the Lake Ellsworth field experiment, the circumstances that led to its failure and the corrections required are presented. Hot-water drilling is still regarded as the only feasible scheme for assuring clean access to the subglacial environment. The lessons learned from the Lake Ellsworth experience are substantial, however, and demonstrate that considerable technological and methodological advances are necessary for successful future research on subglacial lakes beneath thick (&gt;2 km) ice.</t>
  </si>
  <si>
    <t>[Siegert, Martin J.] Univ London Imperial Coll Sci Technol &amp; Med, Grantham Inst, London, England; [Siegert, Martin J.] Univ London Imperial Coll Sci Technol &amp; Med, Dept Earth Sci &amp; Engn, London, England; [Makinson, Keith; Blake, David] British Antarctic Survey, Nat Environm Res Council, Cambridge CB3 0ET, England; [Mowlem, Matt] Univ Southampton, Natl Oceanog Ctr, Southampton, Hants, England; [Ross, Neil] Newcastle Univ, Sch Geog Polit &amp; Sociol, Newcastle Upon Tyne NE1 7RU, Tyne &amp; Wear, England</t>
  </si>
  <si>
    <t>Imperial College London; Imperial College London; UK Research &amp; Innovation (UKRI); Natural Environment Research Council (NERC); NERC British Antarctic Survey; University of Southampton; NERC National Oceanography Centre; Newcastle University - UK</t>
  </si>
  <si>
    <t>Siegert, MJ (corresponding author), Univ London Imperial Coll Sci Technol &amp; Med, Grantham Inst, London, England.</t>
  </si>
  <si>
    <t>m.siegert@imperial.ac.uk</t>
  </si>
  <si>
    <t>Siegert, Martin J/A-3826-2008; Siegert, Martin/M-9939-2019; Makinson, Keith/A-2495-2013</t>
  </si>
  <si>
    <t>Siegert, Martin J/0000-0002-0090-4806; Siegert, Martin/0000-0002-0090-4806; Makinson, Keith/0000-0002-5791-1767; Mowlem, Matthew/0000-0001-7613-6121</t>
  </si>
  <si>
    <t>Natural Environment Research Council (NERC) grant [NE/G00465X/1]; Natural Environment Research Council [NE/G00465X/1, noc010003, noc010013, bas0100028, NE/G004242/1, NE/G00465X/3, bas0100033, NE/G00465X/2] Funding Source: researchfish; NERC [NE/G00465X/2, NE/G004242/1, noc010003, noc010013, bas0100028, NE/G00465X/3, NE/G00465X/1, bas0100033] Funding Source: UKRI</t>
  </si>
  <si>
    <t>Natural Environment Research Council (NERC) grant; Natural Environment Research Council(UK Research &amp; Innovation (UKRI)Natural Environment Research Council (NERC)); NERC(UK Research &amp; Innovation (UKRI)Natural Environment Research Council (NERC))</t>
  </si>
  <si>
    <t>The Subglacial Lake Ellsworth Consortium, supported by Natural Environment Research Council (NERC) grant NE/G00465X/1, is a multidisciplinary group of science, engineering and support teams from the British Antarctic Survey (BAS), the UK National Oceanography Centre (NOC), Imperial College London and the Universities of Edinburgh, Bristol, Durham, Aberdeen and Newcastle (among others). Thanks are extended to the members of the 2012 field party (Chris Hill, Andy Tait, Andy Webb, Ed Waugh, Robin Brown, Riet van de Velde, Scott Iremonger, Martyn Tranter, Dominic Hodgson and David Pearce) and to participants in the wider Lake Ellsworth Consortium, in particular at BAS and NOC. Thanks are also given to members of the Failure Review Board (Frank Rack (Chair), Uwe Nixdorf, David Meldrum, Jin Wang and Terry Benson) for constructive criticisms and insights into deep-ice drilling, and to staff at NERC for implementing the formal review.</t>
  </si>
  <si>
    <t>10.3189/2014AoG65A008</t>
  </si>
  <si>
    <t>WOS:000341676800008</t>
  </si>
  <si>
    <t>Neff, PD</t>
  </si>
  <si>
    <t>Neff, Peter D.</t>
  </si>
  <si>
    <t>A review of the brittle ice zone in polar ice cores</t>
  </si>
  <si>
    <t>clathrate hydrates; ice core; ice coring; paleoclimate; polar firn</t>
  </si>
  <si>
    <t>EPICA DOME-C; GREENLAND SNOW ACCUMULATION; SCALE CLIMATE-CHANGE; MILLENNIAL-SCALE; EAST ANTARCTICA; WEST ANTARCTICA; BERKNER ISLAND; AIR BUBBLES; TAYLOR DOME; SIPLE-DOME</t>
  </si>
  <si>
    <t>Maintaining ice-core quality through the brittle ice zone (BIZ) remains challenging for polar ice-core studies. At depth, increasing ice overburden pressurizes trapped air bubbles, causing fracture of cores upon exposure to atmospheric pressure. Fractured ice cores degrade analyses, reducing resolution and causing contamination. BIZ encounters at 18 sites across the Greenland, West and East Antarctic ice sheets are documented. The BIZ begins at a mean depth of 545 +/- 162 m (1 standard deviation), extending to depths where ductile clathrate ice is reached: an average of 1132 178 m depth. Ice ages in this zone vary with snow accumulation rate and ice thickness, beginning as young as 2 ka BP at Dye-3, Greenland, affecting ice &gt;160 ka BP in age at Taylor Dome, Antarctica, and compromising up to 90% of retrieved samples at intermediate-depth sites. Effects of pressure and temperature on the BIZ are explored using modeled firn-column overburden pressure and borehole temperatures, revealing complex associations between firn densification and BIZ depth, and qualitatively supporting expected thinning of the BIZ at low ice temperatures due to shallower clathrate stability. Mitigating techniques for drilling, transport, sampling and analysis of brittle ice cores are also discussed.</t>
  </si>
  <si>
    <t>[Neff, Peter D.] Victoria Univ Wellington, Antarct Res Ctr, Wellington, New Zealand; [Neff, Peter D.] GNS Sci, Natl Isotope Ctr, Gracefield, New Zealand</t>
  </si>
  <si>
    <t>Victoria University Wellington; GNS Science - New Zealand</t>
  </si>
  <si>
    <t>Neff, PD (corresponding author), Victoria Univ Wellington, Antarct Res Ctr, Wellington, New Zealand.</t>
  </si>
  <si>
    <t>peter.neff@vuw.ac.nz</t>
  </si>
  <si>
    <t>Neff, Peter David/ABB-7688-2021</t>
  </si>
  <si>
    <t>Neff, Peter/0000-0003-1697-0936</t>
  </si>
  <si>
    <t>New Zealand Ministry of Business, Innovation, and Employment [RDF-VUW-1103, CO5X0202]; Victoria University; GNS Science</t>
  </si>
  <si>
    <t>New Zealand Ministry of Business, Innovation, and Employment(New Zealand Ministry of Business, Innovation and Employment (MBIE)); Victoria University; GNS Science</t>
  </si>
  <si>
    <t>The author thanks R. Dadic and N. Bertler for thoughtful discussion of the manuscript. Thorough critique, discussion and encouragement from two anonymous reviewers significantly improved on the original text. The online University of Washington FirnMICE model (http://firny.ess.washington.edu/communityfirnmodel/) was used to model firn density and estimate overburden pressures. The author has been funded by the New Zealand Ministry of Business, Innovation, and Employment Grants (RDF-VUW-1103, CO5X0202), Victoria University and GNS Science. This work is a contribution to the Roosevelt Island Climate Evolution (RICE) Programme, funded by national contributions from New Zealand, Australia, Denmark, Germany, Italy, the People's Republic of China, Sweden, United Kingdom and the United States of America. The main logistic support for RICE was provided by Antarctica New Zealand (K049) and the US Antarctic Program (I-209M).</t>
  </si>
  <si>
    <t>10.3189/2014AoG68A023</t>
  </si>
  <si>
    <t>WOS:000351889600011</t>
  </si>
  <si>
    <t>Keen, PW; Brito, MP</t>
  </si>
  <si>
    <t>Keen, Peter W.; Brito, Mario P.</t>
  </si>
  <si>
    <t>Design considerations and solutions in rapid-prototyping an ultraviolet reactor for ice borehole disinfection</t>
  </si>
  <si>
    <t>Antarctic glaciology; glaciological instruments and methods; ice biology; subglacial lakes</t>
  </si>
  <si>
    <t>FLUENCE RATE DISTRIBUTIONS; LAKE VOSTOK; UV-RADIATION; BACTERIA; INACTIVATION; DIVERSITY; TRANSMISSION; COMMUNITIES; IRRADIATION; REFLECTION</t>
  </si>
  <si>
    <t>Antarctic subglacial lakes are of great interest to the science community. These systems are considered to be in pristine condition, potentially harbouring an environment containing undisturbed sedimentary sequences and ecosystems adapted to cold oligotrophic environments in the absence of sunlight. Gaining access to subglacial lakes presents major technological challenges. To comply with conventions covering the exploration of pristine Antarctic environments, access should be conducted so the lake is not contaminated in any way. Consequently, all equipment to enter the lake must be sterile and the entrance should isolate the lake from the external environment. Currently, clean access to these environments is achieved using a hot-water drilling system. Differences between the hydraulic pressure head of the lake and the glacial surface result in a section of the borehole being air-filled. It is imperative that this section is disinfected prior to introducing any sampling equipment. This paper describes the design process involved in rapid-prototyping an ultraviolet (UV) disinfection reactor for achieving this goal. Considerations such as UV output, physical constraints, temperature management, and deployment procedures are assessed. We present a design that addresses these considerations.</t>
  </si>
  <si>
    <t>[Keen, Peter W.] Keen Marine Ltd, Easwt Cowes, Isle Of Wight, England; [Brito, Mario P.] NERC, Cambridge, England</t>
  </si>
  <si>
    <t>Keen, PW (corresponding author), Keen Marine Ltd, Easwt Cowes, Isle Of Wight, England.</t>
  </si>
  <si>
    <t>pwk@keen-marine.com</t>
  </si>
  <si>
    <t>Keen, Peter/0000-0001-6107-0940; Brito, Mario/0000-0002-1779-4535</t>
  </si>
  <si>
    <t>NERC [NE/G004242/1, noc010003, noc010013] Funding Source: UKRI; Natural Environment Research Council [noc010003, noc010013, NE/G004242/1] Funding Source: researchfish</t>
  </si>
  <si>
    <t>10.3189/2014AoG65A006</t>
  </si>
  <si>
    <t>WOS:000341676800009</t>
  </si>
  <si>
    <t>Benson, T; Cherwinka, J; Duvernois, M; Elcheikh, A; Feyzi, F; Greenler, L; Haugen, J; Karle, A; Mulligan, M; Paulos, R</t>
  </si>
  <si>
    <t>Benson, T.; Cherwinka, J.; Duvernois, M.; Elcheikh, A.; Feyzi, F.; Greenler, L.; Haugen, J.; Karle, A.; Mulligan, M.; Paulos, R.</t>
  </si>
  <si>
    <t>IceCube Enhanced Hot Water Drill functional description</t>
  </si>
  <si>
    <t>Antarctic glaciology; Arctic glaciology; polar firn; subglacial lakes</t>
  </si>
  <si>
    <t>SYSTEM; ICE</t>
  </si>
  <si>
    <t>The Ice Cube Neutrino Observatory was constructed at the South Pole during the 2004/05 to 2010/11 austral summer seasons. Ice Cube transforms 1 m(3) of Antarctic ice into an astrophysical particle detector composed of 86 cables (strings) of optical sensors buried deep beneath the surface. Each string required drilling a borehole similar to 60 cm in diameter to a depth of 2500 m. The 5 MW Enhanced Hot Water Drill was designed and built specifically for this task, capable of producing the required boreholes at a rate of one hole per 48 hours. Hot-water drilling on this scale presented unique challenges and was rich in lessons learned, yielding a collection of notable developments and takeaways (e.g. fuel-saving measures, thermal modeling, firn drilling and closed-loop computer control). Descriptions of system functionality and of lessons learned from Ice Cube drilling are presented.</t>
  </si>
  <si>
    <t>[Benson, T.; Cherwinka, J.; Feyzi, F.; Greenler, L.; Paulos, R.] Univ Wisconsin, Phys Sci Lab, Stoughton, WI 53589 USA; [Duvernois, M.; Haugen, J.; Karle, A.] Univ Wisconsin, Wisconsin Ice Cube Particle Astrophys Ctr, Stoughton, WI USA; [Elcheikh, A.] Australian Antarctic Div, Kingston, Tas, Australia; [Mulligan, M.] Univ Wisconsin, Ctr Space Sci &amp; Engn, Madison, WI 53706 USA</t>
  </si>
  <si>
    <t>University of Wisconsin System; University of Wisconsin System; Australian Antarctic Division; University of Wisconsin System; University of Wisconsin Madison</t>
  </si>
  <si>
    <t>Benson, T (corresponding author), Univ Wisconsin, Phys Sci Lab, Stoughton, WI 53589 USA.</t>
  </si>
  <si>
    <t>tbenson@psl.wisc.edu</t>
  </si>
  <si>
    <t>Mulligan, Mark/V-9275-2019</t>
  </si>
  <si>
    <t>US National Science Foundation (NSF) [OPP-0236449]</t>
  </si>
  <si>
    <t>US National Science Foundation (NSF)(National Science Foundation (NSF))</t>
  </si>
  <si>
    <t>We thank the US National Science Foundation (NSF) for its generous support through grant OPP-0236449, and are grateful to the NSF Office of Polar Programs and the NSF Physics Division. We also thank the University of Wisconsin Alumni Research Foundation. We are grateful to Raytheon Polar Services Corporation for logistics and field support, and also to all of the drillers that helped make IceCube construction a success.</t>
  </si>
  <si>
    <t>10.3189/2014AoG68A032</t>
  </si>
  <si>
    <t>WOS:000351889600015</t>
  </si>
  <si>
    <t>Greenler, L; Benson, T; Cherwinka, J; Elcheikh, A; Feyzi, F; Karle, A; Paulos, R</t>
  </si>
  <si>
    <t>Greenler, L.; Benson, T.; Cherwinka, J.; Elcheikh, A.; Feyzi, F.; Karle, A.; Paulos, R.</t>
  </si>
  <si>
    <t>Modeling hole size, lifetime and fuel consumption in hot-water ice drilling</t>
  </si>
  <si>
    <t>glaciological instruments and methods; ice physics</t>
  </si>
  <si>
    <t>IceCube, a cubic-kilometer neutrino detector, was built at the South Pole using a hot-water drill system. Deep holes were drilled into the Antarctic ice sheet and filled with highly sensitive optical instrumentation. For the hot-water drilling, a computer model was developed to predict the hole sizes and hole lifetimes during construction. The goal was to predict ultimate size and freezeback rates based on water flow rate and temperature, drill speed, ice temperature and ream parameters (for a secondary operation where hot water continues to flow as the drill is withdrawn). This model proved to be very successful. It increased confidence that the holes would remain open long enough after drilling to allow the deployment of the necessary instrumentation. It also allowed for a decrease, over the course of the project, in the amount of overdrilling that was used as a margin against a too-rapid freeze-in. This resulted in significant fuel savings.</t>
  </si>
  <si>
    <t>[Greenler, L.; Benson, T.; Cherwinka, J.; Paulos, R.] Univ Wisconsin, Phys Sci Lab, Stoughton, WI 53589 USA; [Elcheikh, A.] Australian Antarctic Div, Kingston, Tas, Australia; [Feyzi, F.] Michigan State Univ, Facil Rare Isotope Beams, E Lansing, MI USA; [Karle, A.] Univ Wisconsin, Wisconsin IceCube Particle Astrophys Ctr, Madison, WI USA</t>
  </si>
  <si>
    <t>University of Wisconsin System; Australian Antarctic Division; Michigan State University; University of Wisconsin System; University of Wisconsin Madison</t>
  </si>
  <si>
    <t>Greenler, L (corresponding author), Univ Wisconsin, Phys Sci Lab, Stoughton, WI 53589 USA.</t>
  </si>
  <si>
    <t>greenler@psl.wisc.edu</t>
  </si>
  <si>
    <t>National Science Foundation [NSF OPP-0236449]</t>
  </si>
  <si>
    <t>We thank the National Science Foundation for their generous support through grant NSF OPP-0236449, and are grateful to the US National Science Foundation Office of Polar Programs and the US National Science Foundation - Physics Division. We also thank the University of Wisconsin Alumni Research Foundation. We are grateful to Raytheon Polar Services Corporation for logistics and field support, and also to all of the drillers who helped make IceCube construction a success.</t>
  </si>
  <si>
    <t>10.3189/2014AoG68A033</t>
  </si>
  <si>
    <t>WOS:000351889600016</t>
  </si>
  <si>
    <t>Hui, FM; Ci, TY; Cheng, X; Scambos, TA; Liu, Y; Zhang, YM; Chi, ZH; Huang, HB; Wang, XW; Wang, F; Zha, C; Jin, ZY; Wang, K</t>
  </si>
  <si>
    <t>Hui, Fengming; Ci, Tianyu; Cheng, Xiao; Scambos, Ted A.; Liu, Yan; Zhang, Yanmei; Chi, Zhaohui; Huang, Huabing; Wang, Xianwei; Wang, Fang; Zha, Chen; Jin, Zhenyu; Wang, Kun</t>
  </si>
  <si>
    <t>Mapping blue-ice areas in Antarctica using ETM plus and MODIS data</t>
  </si>
  <si>
    <t>Antarctic glaciology; blue ice; remote sensing</t>
  </si>
  <si>
    <t>SURFACE-ENERGY BALANCE; DRONNING MAUD LAND; SNOW GRAIN-SIZE; THEMATIC MAPPER; EAST ANTARCTICA; VICTORIA-LAND; MASS-BALANCE; ALLAN HILLS; SHEET; ACCUMULATION</t>
  </si>
  <si>
    <t>Blue-ice areas (BI As) and their geographical distribution in Antarctica were mapped using Landsat-7 ETM+ images with 15 m spatial resolution obtained during the 1999-2003 austral summers and covering the area north of 82.5 degrees S, and a snow grain-size image of the MODIS-based Mosaic of Antarctica (MOA) dataset with 125 m grid spacing acquired during the 2003/04 austral summer from 82.5 degrees S to the South Pole. A map of BlAs was created with algorithms of thresholds based on band ratio and reflectance for ETM+ data and thresholds based on snow grain size for the MOA dataset. The underlying principle is that blue ice can be separated from snow or rock by their spectral discrepancies and by different grain sizes of snow and ice. We estimate the total area of BlAs in Antarctica during the data acquisition period is 234 549 km(2), or 1.67% of the area of the continent. Blue ice is scattered widely over the continent but is generally located in coastal or mountainous regions. The BIA dataset presented in this study is the first map covering the entire Antarctic continent sourced solely from ETM+ and MODIS data. This dataset can potentially benefit other studies in glaciology, meteorology, climatology and paleoclimate, meteorite collection and airstrip site selection.</t>
  </si>
  <si>
    <t>[Hui, Fengming; Ci, Tianyu; Cheng, Xiao; Liu, Yan; Huang, Huabing; Wang, Xianwei; Wang, Fang; Zha, Chen; Jin, Zhenyu; Wang, Kun] Beijing Normal Univ, State Key Lab Remote Sensing Sci, Beijing 100875, Peoples R China; [Hui, Fengming; Ci, Tianyu; Cheng, Xiao; Liu, Yan; Huang, Huabing; Wang, Xianwei; Wang, Fang; Zha, Chen; Jin, Zhenyu; Wang, Kun] Beijing Normal Univ, Coll Global Change &amp; Earth Syst Sci, Beijing 100875, Peoples R China; [Scambos, Ted A.] Univ Colorado, CIRES, Natl Snow &amp; Ice Data Ctr, Boulder, CO 80309 USA; [Zhang, Yanmei] China Earthquake Adm, Inst Earthquake Sci, Beijing, Peoples R China; [Chi, Zhaohui] Texas A&amp;M Univ, Dept Geog, College Stn, TX 77843 USA; [Jin, Zhenyu] Univ Utah, Dept Geog, Salt Lake City, UT USA</t>
  </si>
  <si>
    <t>Beijing Normal University; Beijing Normal University; University of Colorado System; University of Colorado Boulder; China Earthquake Administration; Texas A&amp;M University System; Texas A&amp;M University College Station; Utah System of Higher Education; University of Utah</t>
  </si>
  <si>
    <t>Cheng, X (corresponding author), Beijing Normal Univ, State Key Lab Remote Sensing Sci, Beijing 100875, Peoples R China.;Cheng, X (corresponding author), Beijing Normal Univ, Coll Global Change &amp; Earth Syst Sci, Beijing 100875, Peoples R China.</t>
  </si>
  <si>
    <t>xcheng@bnu.edu.cn</t>
  </si>
  <si>
    <t>Zhao, Chen/S-2693-2019; Scambos, Ted A/B-1856-2009; Liu）, 刘岩（Yan/AAT-5481-2020; Huang, huabing/JHT-7278-2023</t>
  </si>
  <si>
    <t>Zhao, Chen/0000-0003-0368-1334; Huang, huabing/0000-0001-6253-8437; Chi, Zhaohui/0000-0002-4842-9573; Ci, Tianyu/0000-0001-9824-5679; SCAMBOS, Ted A./0000-0003-4268-6322</t>
  </si>
  <si>
    <t>Chinese Arctic and Antarctic Administration; National Natural Science Foundation of China [41106157, 41176163]; National Basic Research Program of China [2012CB957704]; Fundamental Research Funds for the Central Universities; Chinese Polar Environment Comprehensive Investigation and Assessment Program; Special Foundation for Young Scientists of State Key Laboratory of Remote Sensing Science [RC12-7]; NASA [NNX10AL42G]; NASA [NNX10AL42G, 129721] Funding Source: Federal RePORTER</t>
  </si>
  <si>
    <t>Chinese Arctic and Antarctic Administration; National Natural Science Foundation of China(National Natural Science Foundation of China (NSFC)); National Basic Research Program of China(National Basic Research Program of China); Fundamental Research Funds for the Central Universities(Fundamental Research Funds for the Central Universities); Chinese Polar Environment Comprehensive Investigation and Assessment Program; Special Foundation for Young Scientists of State Key Laboratory of Remote Sensing Science; NASA(National Aeronautics &amp; Space Administration (NASA)); NASA(National Aeronautics &amp; Space Administration (NASA))</t>
  </si>
  <si>
    <t>This work was supported by the Chinese Arctic and Antarctic Administration, the National Natural Science Foundation of China (grant No. 41106157), the National Basic Research Program of China (grant No. 2012CB957704), the National Natural Science Foundation of China (grant No. 41176163), the Fundamental Research Funds for the Central Universities, Chinese Polar Environment Comprehensive Investigation and Assessment Program, and the Special Foundation for Young Scientists of State Key Laboratory of Remote Sensing Science (grant No. RC12-7). Support was also provided by NASA grant NNX10AL42G. We are grateful to NSIDC for providing the snow grain-size image of the MODIS-based MOA dataset, ice velocity data and DEM data, and for hosting this dataset and creating a web page for it. Two anonymous reviewers are thanked for their comments.</t>
  </si>
  <si>
    <t>10.3189/2014AoG66A069</t>
  </si>
  <si>
    <t>WOS:000336010200017</t>
  </si>
  <si>
    <t>Casey, KA; Fudge, TJ; Neumann, TA; Steig, EJ; Cavitte, MGP; Blankenship, DD</t>
  </si>
  <si>
    <t>Casey, K. A.; Fudge, T. J.; Neumann, T. A.; Steig, E. J.; Cavitte, M. G. P.; Blankenship, D. D.</t>
  </si>
  <si>
    <t>The 1500 m South Pole ice core: recovering a 40 ka environmental record</t>
  </si>
  <si>
    <t>Antarctic glaciology; glaciological instruments and methods; ice core; ice coring</t>
  </si>
  <si>
    <t>DIGITAL ELEVATION MODEL; WEST ANTARCTICA; RECENT CLIMATE; SIPLE DOME; LASER DATA; SNOW; ACCUMULATION; SURFACE; FLOW; VARIABILITY</t>
  </si>
  <si>
    <t>Supported by the US National Science Foundation, a new 1500 m, similar to 40 ka old ice core will be recovered from South Pole during the 2014/15 and 2015/16 austral summer seasons using the new US intermediate-depth drill. The combination of low temperatures, relatively high accumulation rates and low impurity concentrations at South Pole will yield detailed records of ice chemistry and trace atmospheric gases. The South Pole ice core will provide a climate history record of a unique area of the East Antarctic plateau that is partly influenced by weather systems that cross the West Antarctic ice sheet. The ice at South Pole flows at similar to 10 m a(-1) and the South Pole ice-core site is a significant distance from an ice divide. Therefore, ice recovered at depth originated progressively farther upstream of the coring site. New ground-penetrating radar collected over the drill site location shows no anthropogenic influence over the past similar to 50 years or upper 15 m. Depth-age scale modeling results show consistent and plausible annual-layer thicknesses and accumulation rate histories, indicating that no significant stratigraphic disturbances exist in the upper 1500 m near the ice-core drill site.</t>
  </si>
  <si>
    <t>[Casey, K. A.] Univ Maryland, Earth Syst Sci Interdisciplinary Ctr, College Pk, MD 20742 USA; [Fudge, T. J.; Steig, E. J.] NASA, Goddard Space Flight Ctr, Cryospher Sci Lab, Greenbelt, MD 20771 USA; [Steig, E. J.] Univ Washington, Dept Earth &amp; Space Sci, Seattle, WA 98195 USA; [Steig, E. J.] Univ Washington, Quatemary Res Ctr, Seattle, WA 98195 USA; [Cavitte, M. G. P.; Blankenship, D. D.] Univ Texas Austin, Inst Geophys, Austin, TX 78712 USA</t>
  </si>
  <si>
    <t>University System of Maryland; University of Maryland College Park; National Aeronautics &amp; Space Administration (NASA); NASA Goddard Space Flight Center; University of Washington; University of Washington Seattle; University of Washington; University of Washington Seattle; University of Texas System; University of Texas Austin</t>
  </si>
  <si>
    <t>Casey, KA (corresponding author), Univ Maryland, Earth Syst Sci Interdisciplinary Ctr, College Pk, MD 20742 USA.</t>
  </si>
  <si>
    <t>kimberly.a.casey@nasa.gov</t>
  </si>
  <si>
    <t>Cavitte, Marie/AAB-8533-2020; Casey, Kimberly/AAA-7871-2020; Casey, Kimberly/AAY-9033-2020; Casey, Kimberly/A-4478-2013; Blankenship, Donald D./G-5935-2010; Neumann, Thomas/JLL-4672-2023; Steig, Eric J/G-9088-2015</t>
  </si>
  <si>
    <t>Cavitte, Marie/0000-0002-5777-0933; Casey, Kimberly/0000-0002-6115-7525; Casey, Kimberly/0000-0002-6115-7525; Casey, Kimberly/0000-0002-6115-7525; Fudge, Tyler/0000-0002-6818-7479</t>
  </si>
  <si>
    <t>US National Science Foundation (NSF) [1141839]; NASA Cryospheric Sciences Program; Directorate For Geosciences; Office of Polar Programs (OPP) [1142646] Funding Source: National Science Foundation; Office of Polar Programs (OPP); Directorate For Geosciences [1141839] Funding Source: National Science Foundation</t>
  </si>
  <si>
    <t>US National Science Foundation (NSF)(National Science Foundation (NSF)); NASA Cryospheric Sciences Program(National Aeronautics &amp; Space Administration (NASA));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</si>
  <si>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by US National Science Foundation (NSF) grants 1141839 to E.J.S. and the NASA Cryospheric Sciences Program. We acknowledge the Antarctic Support Associates for collecting the November 2013 GPR data, and Zoe Courville of the US Army Cold Regions Research and Engineering Laboratory for GPR data processing. This is UTIG contribution No. 2789.</t>
  </si>
  <si>
    <t>10.3189/2014AoG68A016</t>
  </si>
  <si>
    <t>WOS:000351889600019</t>
  </si>
  <si>
    <t>Mulvaney, R; Triest, J; Alemany, O</t>
  </si>
  <si>
    <t>Mulvaney, Robert; Triest, Jack; Alemany, Olivier</t>
  </si>
  <si>
    <t>The James Ross Island and the Fletcher Promontory ice-core drilling projects</t>
  </si>
  <si>
    <t>glaciological instruments and methods; ice coring; paleoclimate</t>
  </si>
  <si>
    <t>ANTARCTIC PENINSULA; GLACIAL CYCLES; SHELF HISTORY; SEA-LEVEL; CLIMATE; GREENLAND</t>
  </si>
  <si>
    <t>Following on from the successful project to recover an ice core to bedrock on Berkner Island, similar drilling equipment and logistics were used on two further projects to recover ice cores to bedrock in the Antarctic Peninsula. At James Ross Island, a ship- and helicopter-supported project drilled to bedrock at 363 m depth in a single season, while a Twin Otter-supported project drilled to bedrock at 654 m depth, again in a single season, from Fletcher Promontory. In both new projects, drilling was from the surface, with the infrastructure enclosed in a tent, using an uncased, partially fluid-filled, borehole.</t>
  </si>
  <si>
    <t>[Mulvaney, Robert; Triest, Jack] British Antarctic Survey, NERC, Cambridge, England; [Triest, Jack; Alemany, Olivier] CNRS, Lab Glaciol &amp; Geophys Environm, Grenoble, France; [Triest, Jack; Alemany, Olivier] Univ Grenoble Alpes, LGGE, Grenoble, France</t>
  </si>
  <si>
    <t>UK Research &amp; Innovation (UKRI); Natural Environment Research Council (NERC); NERC British Antarctic Survey; Communaute Universite Grenoble Alpes; Universite Grenoble Alpes (UGA); Centre National de la Recherche Scientifique (CNRS); Communaute Universite Grenoble Alpes; Universite Grenoble Alpes (UGA)</t>
  </si>
  <si>
    <t>Mulvaney, R (corresponding author), British Antarctic Survey, NERC, Cambridge, England.</t>
  </si>
  <si>
    <t>rmu@bas.ac.uk</t>
  </si>
  <si>
    <t>Mulvaney, Robert/K-3929-2012</t>
  </si>
  <si>
    <t>UK Natural Environment Research Council; Institut National des Sciences de l'Univers in France (INSU/PNEDC 'AMANCAY' project); NERC [bas0100034, bas0100024] Funding Source: UKRI; Natural Environment Research Council [bas0100024, bas0100034] Funding Source: researchfish</t>
  </si>
  <si>
    <t>UK Natural Environment Research Council(UK Research &amp; Innovation (UKRI)Natural Environment Research Council (NERC)); Institut National des Sciences de l'Univers in France (INSU/PNEDC 'AMANCAY' project); NERC(UK Research &amp; Innovation (UKRI)Natural Environment Research Council (NERC)); Natural Environment Research Council(UK Research &amp; Innovation (UKRI)Natural Environment Research Council (NERC))</t>
  </si>
  <si>
    <t>We are especially grateful to our colleagues in the field: Nerilie Abram, Susan Foord (deceased), Samantha Shelly, Louise Sime URI); Emily Capron, Romain Duphil, Louise Fleet, Emily Ludlow, Steve Stout (Fletcher Promontory). HMS Endurance provided logistical support for the JRI project, and we are grateful to the Captain, the Flight Team and the ship's crew for their willingness and enthusiasm to support scientific endeavour. As ever, the BAS Operations and Logistics support from the Air Unit and all on station at Rothera were critical to our success. The two drilling projects were part of the BAS Polar Science for Planet Earth Programme, and were funded by the UK Natural Environment Research Council. Support from the Institut National des Sciences de l'Univers in France (INSU/PNEDC 'AMANCAY' project), facilitated by Jerome Chappellaz and Frangoise Vimeux, enabled the technical contribution of the French National Center for Drilling and Coring (C2FN - Ice).</t>
  </si>
  <si>
    <t>10.3189/2014AoG68A044</t>
  </si>
  <si>
    <t>WOS:000351889600024</t>
  </si>
  <si>
    <t>Gu, ZX; Feng, TT; Scaioni, M; Wu, HB; Liu, J; Tong, XH; Li, RX</t>
  </si>
  <si>
    <t>Gu, Zhenxiong; Feng, Tiantian; Scaioni, Marco; Wu, Hangbin; Liu, Jun; Tong, Xiaohua; Li, Rongxing</t>
  </si>
  <si>
    <t>Experimental results of elevation change analysis in the Antarctic ice sheet using DEMs from ERS and ICESat data</t>
  </si>
  <si>
    <t>ground ice; ice-sheet mass balance; surface melt</t>
  </si>
  <si>
    <t>SATELLITE RADAR; MASS-BALANCE; LASER DATA; VALIDATION; SLOPE; MODEL</t>
  </si>
  <si>
    <t>The aim of this research is to investigate elevation changes in the Antarctic ice sheet by comparing two digital elevation models (DEMs) derived from satellite altimetry data covering the period 1994-2004. Data collected by ERS-1/2 satellite radar altimetry and by NASA GLAS/ICESat laser altimetry were used. After preprocessing and resampling at the same spatial resolution, both DEMs were compared in a pointwise fashion and elevation differences computed, which consisted of three main components: (1) actual elevation change, (2) errors in the original data sources and (3) interpolation errors that arose during generation of the DEMs. The objectives of the research were to analyze errors, attempt to mitigate systematic effects when possible, and draw some conclusions about the limitations of using DEM products for computing ice-sheet elevation change at local and continental scales. A linear correlation between errors in elevation differences and surface slope was found in the slope range [0 degrees, 0.4 degrees]. This trend was interpreted as residual slope-induced systematic error and compensated for. Finally, an elevation difference map of the Antarctic ice sheet was generated. Analysis of the derived elevation changes at the drainage basin was also made. Results are compared with the results of previous studies.</t>
  </si>
  <si>
    <t>[Gu, Zhenxiong; Feng, Tiantian; Scaioni, Marco; Wu, Hangbin; Liu, Jun; Tong, Xiaohua; Li, Rongxing] Tongji Univ, Ctr Spatial Informat Sci &amp; Sustainable Dev Applic, Shanghai 200092, Peoples R China; [Gu, Zhenxiong; Feng, Tiantian; Scaioni, Marco; Wu, Hangbin; Liu, Jun; Tong, Xiaohua] Tongji Univ, Coll Survey &amp; Geoinformat, Shanghai 200092, Peoples R China; [Li, Rongxing] Ohio State Univ, Dept Civil Environm &amp; Geodet Engn, Mapping &amp; GIS Lab, Columbus, OH 43210 USA</t>
  </si>
  <si>
    <t>Tongji University; Tongji University; University System of Ohio; Ohio State University</t>
  </si>
  <si>
    <t>Feng, TT (corresponding author), Tongji Univ, Ctr Spatial Informat Sci &amp; Sustainable Dev Applic, Shanghai 200092, Peoples R China.</t>
  </si>
  <si>
    <t>fengtiantian@tongji.edu.cn</t>
  </si>
  <si>
    <t>Wang, Jin/GYA-2019-2022; Scaioni, Marco/Y-4398-2018</t>
  </si>
  <si>
    <t>National Key Basic Research Program of China (973 Program) [2012CB957701, 2012CB719903]; National High Technology Research and Development Program of China (863 Program) [2012AAl2A305]; National Science Foundation of China [41171327, 41201379]; Specialized Research Fund for the Doctoral Program of Higher Education [20120072120057]; Open Research Fund of the State Key Laboratory of Information Engineering in Surveying, Mapping and Remote Sensing [12E02]</t>
  </si>
  <si>
    <t>National Key Basic Research Program of China (973 Program)(National Basic Research Program of China); National High Technology Research and Development Program of China (863 Program)(National High Technology Research and Development Program of China); National Science Foundation of China(National Natural Science Foundation of China (NSFC)); Specialized Research Fund for the Doctoral Program of Higher Education(Specialized Research Fund for the Doctoral Program of Higher Education (SRFDP)); Open Research Fund of the State Key Laboratory of Information Engineering in Surveying, Mapping and Remote Sensing</t>
  </si>
  <si>
    <t>This study is supported by the National Key Basic Research Program of China (973 Program, project No. 2012CB957701, 2012CB719903), the National High Technology Research and Development Program of China (863 Program, project No. 2012AAl2A305), the National Science Foundation of China (project No. 41171327, 41201379), the Specialized Research Fund for the Doctoral Program of Higher Education (project No. 20120072120057), and the Open Research Fund of the State Key Laboratory of Information Engineering in Surveying, Mapping and Remote Sensing (project No. 12E02). We also thank the US National Snow and Ice Data Center and the European Space Agency for providing the ICESat and JLB97 DEM datasets, respectively.</t>
  </si>
  <si>
    <t>10.3189/2014AoG66A124</t>
  </si>
  <si>
    <t>WOS:000336010200024</t>
  </si>
  <si>
    <t>Triest, J; Mulvaney, R; Alemany, O</t>
  </si>
  <si>
    <t>Triest, Jack; Mulvaney, Robert; Alemany, Olivier</t>
  </si>
  <si>
    <t>Technical innovations and optimizations for intermediate ice-core drilling operations</t>
  </si>
  <si>
    <t>The British Antarctic Survey, in collaboration with Laboratoire de Glaciologie et Geophysique de l'Environnement, has in recent years successfully drilled to bedrock on three remote sites around the Antarctic Peninsula. Based on the experience from the multi-season project at Berkner Island (948 m depth, 2002-05) we optimized the drill set-up to better suit two subsequent single-season projects at James Ross Island (363 m depth, 2008) and Fletcher Promontory (654 m depth, 2012). The adaptations, as well as the reasons for them, are discussed in detail and include a drill tent set-up without a trench; drilling without a borehole casing with a relatively low fluid column height; and using a shorter drill. These optimizations were aimed at reducing cargo loads and installation time while maintaining good core quality, productivity and a safe working environment. In addition, we introduce a number of innovations, ranging from a new lightweight cable tensioning device and drill-head design to core storage and protection trays. To minimize the environmental impact, all the drill fluid was successfully recovered at both sites and we describe and evaluate this operation.</t>
  </si>
  <si>
    <t>[Triest, Jack; Mulvaney, Robert] British Antarctic Survey, NERC, Cambridge, England; [Triest, Jack; Alemany, Olivier] Univ Grenoble Alpes, Lab Glaciol &amp; Geophys Environm, Grenoble, France; [Triest, Jack; Alemany, Olivier] CNRS, Grenoble, France</t>
  </si>
  <si>
    <t>UK Research &amp; Innovation (UKRI); Natural Environment Research Council (NERC); NERC British Antarctic Survey; Communaute Universite Grenoble Alpes; Universite Grenoble Alpes (UGA); Centre National de la Recherche Scientifique (CNRS)</t>
  </si>
  <si>
    <t>Triest, J (corresponding author), British Antarctic Survey, NERC, Cambridge, England.</t>
  </si>
  <si>
    <t>jack.triest@lgge.obs.ujf-grenoble.fr</t>
  </si>
  <si>
    <t>UK Natural Environment Research Council; Institut National des Sciences de l'Univers, France (INSU/PNEDC 'AMANCAY' project); NERC [bas0100034, bas0100024] Funding Source: UKRI; Natural Environment Research Council [bas0100024, bas0100034] Funding Source: researchfish</t>
  </si>
  <si>
    <t>UK Natural Environment Research Council(UK Research &amp; Innovation (UKRI)Natural Environment Research Council (NERC)); Institut National des Sciences de l'Univers, France (INSU/PNEDC 'AMANCAY' project); NERC(UK Research &amp; Innovation (UKRI)Natural Environment Research Council (NERC)); Natural Environment Research Council(UK Research &amp; Innovation (UKRI)Natural Environment Research Council (NERC))</t>
  </si>
  <si>
    <t>We are grateful to the our colleagues in the field: Nerilie Abram, Susan Foord (deceased), Samantha Shelly, Louise Sime (JRI); Emily Capron, Romain Duphil, Louise Fleet, Emily Ludlow, Steve Stout (Fletcher). HMS Endurance provided logistical support for the James Ross project, and we are grateful to the Captain, the Flight Team and the ship's crew for their willingness and enthusiasm to support scientific endeavour. As ever, the BAS Operations and Logistics support from the Air Unit and all on station at Rothera were critical to our success. The two drilling projects were part of the BAS Polar Science for Planet Earth Programme and were funded by the UK Natural Environment Research Council. Support from the Institut National des Sciences de l'Univers, France (INSU/PNEDC 'AMANCAY' project), facilitated by Jerome Chappellaz and Francoise Vimeux, enabled the technical contribution of the French Drilling and Coring Facility (C2FN - Ice).</t>
  </si>
  <si>
    <t>10.3189/2014AoG68A049</t>
  </si>
  <si>
    <t>WOS:000351889600030</t>
  </si>
  <si>
    <t>McKinnon, AD; Williams, A; Young, J; Ceccarelli, D; Dunstan, P; Brewin, RJW; Watson, R; Brinkman, R; Cappo, M; Duggan, S; Kelley, R; Ridgway, K; Lindsay, D; Gledhill, D; Hutton, T; Richardson, AJ</t>
  </si>
  <si>
    <t>Carlson, CA; Giovannoni, SJ</t>
  </si>
  <si>
    <t>McKinnon, A. David; Williams, Alan; Young, Jock; Ceccarelli, Daniela; Dunstan, Piers; Brewin, Robert J. W.; Watson, Reg; Brinkman, Richard; Cappo, Mike; Duggan, Samantha; Kelley, Russell; Ridgway, Ken; Lindsay, Dhugal; Gledhill, Daniel; Hutton, Trevor; Richardson, Anthony J.</t>
  </si>
  <si>
    <t>Tropical Marginal Seas: Priority Regions for Managing Marine Biodiversity and Ecosystem Function</t>
  </si>
  <si>
    <t>ANNUAL REVIEW OF MARINE SCIENCE, VOL 6</t>
  </si>
  <si>
    <t>Annual Review of Marine Science</t>
  </si>
  <si>
    <t>coral reef; fisheries; pelagic; deep sea; transboundary; management</t>
  </si>
  <si>
    <t>GREAT-BARRIER-REEF; SOUTHERN BLUEFIN TUNA; NO-TAKE AREAS; CORAL-REEF; POPULATION-DYNAMICS; FEEDING ECOLOGY; HUMAN IMPACT; MANAGEMENT; FISHERIES; FISH</t>
  </si>
  <si>
    <t>Tropical marginal seas (TMSs) are natural subregions of tropical oceans containing biodiverse ecosystems with conspicuous, valued, and vulnerable biodiversity assets. They are focal points for global marine conservation because they occur in regions where human populations are rapidly expanding. Our review of 11 TMSs focuses on three key ecosystems-coral reefs and emergent atolls, deep benthic systems, and pelagic biomes-and synthesizes, illustrates, and contrasts knowledge of biodiversity, ecosystem function, interaction between adjacent habitats, and anthropogenic pressures. TMSs vary in the extent that they have been subject to human influence-from the nearly pristine Coral Sea to the heavily exploited South China and Caribbean Seas-but we predict that they will all be similarly complex to manage because most span multiple national jurisdictions. We conclude that developing a structured process to identify ecologically and biologically significant areas that uses a set of globally agreed criteria is a tractable first step toward effective multinational and transboundary ecosystem management of TMSs.</t>
  </si>
  <si>
    <t>[McKinnon, A. David; Brinkman, Richard; Cappo, Mike; Duggan, Samantha] Australian Inst Marine Sci, Townsville, Qld 4810, Australia; [Williams, Alan; Young, Jock; Dunstan, Piers; Ridgway, Ken; Gledhill, Daniel] CSIRO, Div Marine &amp; Atmospher Res, Wealth Oceans Flagship, Hobart, Tas 7000, Australia; [Brewin, Robert J. W.] Plymouth Marine Lab, Plymouth PL1 3DH, Devon, England; [Watson, Reg] Univ Tasmania, Inst Marine &amp; Antarctic Studies, Hobart, Tas 7000, Australia; [Kelley, Russell] Coral Identificat Capac Bldg Program, Townsville, Qld 4810, Australia; [Lindsay, Dhugal] Japan Agcy Marine Earth Sci &amp; Technol JAMSTEC, Yokosuka, Kanagawa 2370021, Japan; [Hutton, Trevor] CSIRO, Div Marine &amp; Atmospher Res, Wealth Oceans Flagship, Ecosci Precinct, Brisbane, Qld 4102, Australia; [Richardson, Anthony J.] CSIRO, Div Marine &amp; Atmospher Res, Climate Adaptat Flagship, Ecosci Precinct, Brisbane, Qld 4102, Australia; [Richardson, Anthony J.] Univ Queensland, Sch Math &amp; Phys, Ctr Applicat Nat Resource Math, St Lucia, Qld 4072, Australia</t>
  </si>
  <si>
    <t>Australian Institute of Marine Science; Commonwealth Scientific &amp; Industrial Research Organisation (CSIRO); Plymouth Marine Laboratory; University of Tasmania; Japan Agency for Marine-Earth Science &amp; Technology (JAMSTEC); Commonwealth Scientific &amp; Industrial Research Organisation (CSIRO); Commonwealth Scientific &amp; Industrial Research Organisation (CSIRO); University of Queensland</t>
  </si>
  <si>
    <t>McKinnon, AD (corresponding author), Australian Inst Marine Sci, PMB 3, Townsville, Qld 4810, Australia.</t>
  </si>
  <si>
    <t>d.mckinnon@aims.gov.au; alan.williams@csiro.au; jock.young@csiro.au; dmcecca@gmail.com; piers.dunstan@csiro.au; robr@pml.ac.uk; ecomarres@gmail.com; r.brinkman@aims.gov.au; m.cappo@aims.gov.au; s.talbot@aims.gov.au; russellkelley@mac.com; ken.ridgway@csiro.au; dhugal@jamstec.go.jp; daniel.gledhill@csiro.au; trevor.hutton@csiro.au; anthony.richardson@csiro.au</t>
  </si>
  <si>
    <t>Hutton, Trevor/E-3066-2017; Richardson, Anthony J/B-3649-2010; Williams, Alan/C-6999-2012; Young, jock/A-1682-2012; Brinkman, Ryan/B-1108-2008; Watson, Reg A/F-4850-2012; Ridgway, Ken/AAA-4040-2019; Ceccarelli, Daniela/AAN-3577-2020; Ceccarelli, Daniela/AGO-7628-2022; Dunstan, Piers/B-7309-2016</t>
  </si>
  <si>
    <t>Hutton, Trevor/0000-0002-8747-6196; Richardson, Anthony J/0000-0002-9289-7366; Williams, Alan/0000-0002-2867-7713; Brinkman, Ryan/0000-0002-9765-2990; Watson, Reg A/0000-0001-7201-8865; Brewin, Robert/0000-0001-5134-8291; Dunstan, Piers/0000-0002-2568-5945; Ridgway, Ken/0000-0002-5861-1360</t>
  </si>
  <si>
    <t>NERC [pml010009, pml010008, earth010003] Funding Source: UKRI; Natural Environment Research Council [pml010009, earth010003, pml010008] Funding Source: researchfish; Grants-in-Aid for Scientific Research [23405031] Funding Source: KAKEN</t>
  </si>
  <si>
    <t>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</si>
  <si>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ANNUAL REVIEWS</t>
  </si>
  <si>
    <t>PALO ALTO</t>
  </si>
  <si>
    <t>4139 EL CAMINO WAY, PO BOX 10139, PALO ALTO, CA 94303-0897 USA</t>
  </si>
  <si>
    <t>1941-1405</t>
  </si>
  <si>
    <t>978-0-8243-4506-8</t>
  </si>
  <si>
    <t>ANNU REV MAR SCI</t>
  </si>
  <si>
    <t>Annu. Rev. Mar. Sci.</t>
  </si>
  <si>
    <t>10.1146/annurev-marine-010213-135042</t>
  </si>
  <si>
    <t>Geochemistry &amp; Geophysics; Marine &amp; Freshwater Biology; Oceanography</t>
  </si>
  <si>
    <t>BJQ32</t>
  </si>
  <si>
    <t>WOS:000329657800017</t>
  </si>
  <si>
    <t>Arrigo, KR</t>
  </si>
  <si>
    <t>Arrigo, Kevin R.</t>
  </si>
  <si>
    <t>Sea Ice Ecosystems</t>
  </si>
  <si>
    <t>Arctic; Antarctic; brine; microalgae; microbial community</t>
  </si>
  <si>
    <t>PHOTOSYNTHESIS-IRRADIANCE RELATIONSHIPS; INORGANIC NITROGEN UPTAKE; WESTERN WEDDELL SEA; SAROMA-KO LAGOON; TERRA-NOVA BAY; LAND-FAST ICE; MCMURDO-SOUND; ROSS SEA; MICROBIAL COMMUNITIES; ARCTIC-OCEAN</t>
  </si>
  <si>
    <t>Polar sea ice is one of the largest ecosystems on Earth. The liquid brine fraction of the ice matrix is home to a diverse array of organisms, ranging from tiny archaea to larger fish and invertebrates. These organisms can tolerate high brine salinity and low temperature but do best when conditions are milder. Thriving ice algal communities, generally dominated by diatoms, live at the ice/water interface and in recently flooded surface and interior layers, especially during spring, when temperatures begin to rise. Although protists dominate the sea ice biomass, heterotrophic bacteria are also abundant. The sea ice ecosystem provides food for a host of animals, with crustaceans being the most conspicuous. Uneaten organic matter from the ice sinks through the water column and feeds benthic ecosystems. As sea ice extent declines, ice algae likely contribute a shrinking fraction of the total amount of organic matter produced in polar waters.</t>
  </si>
  <si>
    <t>Stanford Univ, Dept Environm Earth Syst Sci, Stanford, CA 94305 USA</t>
  </si>
  <si>
    <t>Arrigo, KR (corresponding author), Stanford Univ, Dept Environm Earth Syst Sci, Stanford, CA 94305 USA.</t>
  </si>
  <si>
    <t>arrigo@stanford.edu</t>
  </si>
  <si>
    <t>Arrigo, Kevin/0000-0002-7364-876X</t>
  </si>
  <si>
    <t>10.1146/annurev-marine-010213-135103</t>
  </si>
  <si>
    <t>WOS:000329657800018</t>
  </si>
  <si>
    <t>Smith, WO; Ainley, DG; Arrigo, KR; Dinniman, MS</t>
  </si>
  <si>
    <t>Smith, Walker O., Jr.; Ainley, David G.; Arrigo, Kevin R.; Dinniman, Michael S.</t>
  </si>
  <si>
    <t>The Oceanography and Ecology of the Ross Sea</t>
  </si>
  <si>
    <t>sea ice; phytoplankton; hydrography; food web; climate change</t>
  </si>
  <si>
    <t>SOUTHERN ANNULAR MODE; PHAEOCYSTIS-ANTARCTICA; PRIMARY PRODUCTIVITY; PHYTOPLANKTON GROWTH; EUPHAUSIA-SUPERBA; BIOGENIC SILICA; MCMURDO SOUND; ICE-EDGE; FOOD-WEB; OCEAN</t>
  </si>
  <si>
    <t>The continental shelf of the Ross Sea exhibits substantial variations in physical forcing, ice cover, and biological processes on a variety of time and space scales. Its circulation is characterized by advective inputs from the east and exchanges with off-shelf regions via the troughs along the northern portions. Phytoplankton biomass is greater there than anywhere else in the Antarctic, although nitrate is rarely reduced to levels below 10 mu mol L-1. Overall growth is regulated by irradiance (via ice at the surface and by the depths of the mixed layers) and iron concentrations. Apex predators reach exceptional abundances, and the world's largest colonies of Adelie and emperor penguins are found there. Krill are represented by two species (Euphausia superba near the shelf break and Euphausia crystallorophias throughout the continental shelf region). Equally important and poorly known is the Antarctic silverfish (Pleuragramma antarcticum), which is also consumed by most upper-trophic-level predators. Future changes in the Ross Sea environment will have profound and unpredictable effects on the food web.</t>
  </si>
  <si>
    <t>[Smith, Walker O., Jr.] Coll William &amp; Mary, Virginia Inst Marine Sci, Gloucester Point, VA 23062 USA; [Ainley, David G.] HT Harvey &amp; Associates, Los Gatos, CA 95032 USA; [Arrigo, Kevin R.] Stanford Univ, Dept Environm Earth Syst Sci, Stanford, CA 94305 USA; [Dinniman, Michael S.] Old Dominion Univ, Ctr Coastal &amp; Phys Oceanog, Norfolk, VA 23508 USA</t>
  </si>
  <si>
    <t>William &amp; Mary; Virginia Institute of Marine Science; Stanford University; Old Dominion University</t>
  </si>
  <si>
    <t>Smith, WO (corresponding author), Coll William &amp; Mary, Virginia Inst Marine Sci, Gloucester Point, VA 23062 USA.</t>
  </si>
  <si>
    <t>wos@vims.edu; dainley@penguinscience.com; arrigo@stanford.edu; msd@ccpo.odu.edu</t>
  </si>
  <si>
    <t>Arrigo, Kevin/0000-0002-7364-876X; Dinniman, Michael/0000-0001-7519-9278</t>
  </si>
  <si>
    <t>Division Of Ocean Sciences; Directorate For Geosciences [0927797] Funding Source: National Science Foundation; Office of Polar Programs (OPP); Directorate For Geosciences [0944254] Funding Source: National Science Foundation; Office of Polar Programs (OPP); Directorate For Geosciences [0944174, 0944411] Funding Source: National Science Foundation</t>
  </si>
  <si>
    <t>Division Of Ocean Sciences; Directorate For Geosciences(National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</si>
  <si>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10.1146/annurev-marine-010213-135114</t>
  </si>
  <si>
    <t>WOS:000329657800019</t>
  </si>
  <si>
    <t>An introduction to Antarctic lakes</t>
  </si>
  <si>
    <t>Editorial Material; Book Chapter</t>
  </si>
  <si>
    <t>WOS:000353836700002</t>
  </si>
  <si>
    <t>Antarctic Lakes Preface</t>
  </si>
  <si>
    <t>MCMURDO DRY VALLEYS; SOUTH-SHETLAND-ISLANDS; KING-GEORGE ISLAND; FRESH-WATER LAKES; ICE-COVERED LAKES; DISSOLVED ORGANIC-CARBON; BENTHIC MICROBIAL MATS; DON-JUAN POND; HOLOCENE ENVIRONMENTAL-CHANGES; SEDIMENT DIATOM ASSEMBLAGES</t>
  </si>
  <si>
    <t>V</t>
  </si>
  <si>
    <t>WOS:000353836700001</t>
  </si>
  <si>
    <t>Antarctic Lakes Conclusions and future directions</t>
  </si>
  <si>
    <t>WOS:000353836700008</t>
  </si>
  <si>
    <t>Del-Cid, A; Ubilla, P; Ravanal, MC; Medina, E; Vaca, I; Levicán, G; Eyzaguirre, J; Chávez, R</t>
  </si>
  <si>
    <t>Del-Cid, Abdiel; Ubilla, Pamela; Ravanal, Maria-Cristina; Medina, Exequiel; Vaca, Inmaculada; Levican, Gloria; Eyzaguirre, Jaime; Chavez, Renato</t>
  </si>
  <si>
    <t>Cold-Active Xylanase Produced by Fungi Associated with Antarctic Marine Sponges</t>
  </si>
  <si>
    <t>Cold-active xylanases; Antarctic marine sponges; Fungi; Cladosporium sp.; Thermostability</t>
  </si>
  <si>
    <t>Despite their potential biotechnological applications, cold-active xylanolytic enzymes have been poorly studied. In this work, 38 fungi isolated from marine sponges collected in King George Island, Antarctica, were screened as new sources of cold-active xylanases. All of them showed xylanase activity at 15 and 23 A degrees C in semiquantitative plate assays. One of these isolates, Cladosporium sp., showed the highest activity and was characterized in detail. Cladosporium sp. showed higher xylanolytic activity when grown on beechwood or birchwood xylan and wheat bran, but wheat straw and oat bran were not so good inducers of this activity. The optimal pH for xylanase activity was 6.0, although pH stability was slightly wider (pH 5-7). On the other hand, Cladosporium sp. showed high xylanase activity at low temperatures and very low thermal stability. Interestingly, thermal stability was even lower after culture media were removed and replaced by buffer, suggesting that low molecular component(s) of the culture media could be important in the stabilization of cold-active xylanase activity. To the best of our knowledge, this study is the first report on extracellular xylanase production by fungi associated with Antarctic marine sponges.</t>
  </si>
  <si>
    <t>[Del-Cid, Abdiel; Ubilla, Pamela; Medina, Exequiel; Levican, Gloria; Chavez, Renato] Univ Santiago Chile USACH, Fac Quim &amp; Biol, Dept Biol, Estn Cent, Santiago, Chile; [Ravanal, Maria-Cristina; Eyzaguirre, Jaime] Univ Andres Bello, Dept Ciencias Biol, Santiago, Chile; [Vaca, Inmaculada] Univ Chile, Fac Ciencias, Dept Quim, Santiago, Chile</t>
  </si>
  <si>
    <t>Universidad de Santiago de Chile; Universidad Andres Bello; Universidad de Chile</t>
  </si>
  <si>
    <t>Chávez, R (corresponding author), Univ Santiago Chile USACH, Fac Quim &amp; Biol, Dept Biol, Estn Cent, Alameda 3363, Santiago, Chile.</t>
  </si>
  <si>
    <t>renato.chavez@usach.cl</t>
  </si>
  <si>
    <t>Levican, Gloria/R-5191-2019; Ravanal, Maria Cristina/G-8682-2018; Medina, Exequiel/AAA-9367-2022; Vaca, Inmaculada/I-2758-2013</t>
  </si>
  <si>
    <t>Levican, Gloria/0000-0002-1275-7399; Medina, Exequiel/0000-0002-1040-6720; Chavez, Renato/0000-0003-1754-3610; Ravanal, Maria Cristina/0000-0003-2462-6270; Vaca, Inmaculada/0000-0002-8952-9036</t>
  </si>
  <si>
    <t>Instituto Antartico Chileno [INACH G_06-10]; FONDECYT [11090192, 1100084, 1130180, 3120032]; Programa Bicentenario de Ciencia y Tecnologia (Chile) [PDA13]; DICYT-USACH</t>
  </si>
  <si>
    <t>Instituto Antartico Chileno; FONDECYT(Comision Nacional de Investigacion Cientifica y Tecnologica (CONICYT)CONICYT FONDECYT); Programa Bicentenario de Ciencia y Tecnologia (Chile); DICYT-USACH</t>
  </si>
  <si>
    <t>This work was supported by Instituto Antartico Chileno project INACH G_06-10 and DICYT-USACH (R. C.), FONDECYT grant 11090192 and Programa Bicentenario de Ciencia y Tecnologia (Chile) project PDA13 (I. V.), FONDECYT grants 1100084 and 1130180 (J.E.), and FONDECYT Postdoctoral Fellowship 3120032 (M.-C. R.). We thank Braulio Paillavil for excellent technical assistance. A. D.-C. thanks Programa de Excelencia Academica IFARHU-MEF (Gobierno de Panama).</t>
  </si>
  <si>
    <t>10.1007/s12010-013-0551-1</t>
  </si>
  <si>
    <t>AA3PQ</t>
  </si>
  <si>
    <t>WOS:000331005200043</t>
  </si>
  <si>
    <t>Luria, CM; Ducklow, HW; Amaral-Zettler, LA</t>
  </si>
  <si>
    <t>Luria, Catherine M.; Ducklow, Hugh W.; Amaral-Zettler, Linda A.</t>
  </si>
  <si>
    <t>Marine bacterial, archaeal and eukaryotic diversity and community structure on the continental shelf of the western Antarctic Peninsula</t>
  </si>
  <si>
    <t>Antarctica; MIRADA-LTERS; Palmer LTER; Pyrosequencing; V6; V9; Microbial oceanography</t>
  </si>
  <si>
    <t>TERM ECOLOGICAL RESEARCH; CLIMATE-CHANGE; RIBOSOMAL-RNA; PHYTOPLANKTON ASSEMBLAGES; MICROBIAL ASSEMBLAGES; SPATIAL VARIABILITY; PLANKTONIC ARCHAEA; GERLACHE STRAIT; COASTAL WATERS; SEA-ICE</t>
  </si>
  <si>
    <t>The classic view of polar ocean foodwebs emphasizes large predators sustained by energy and material flow through short, efficient diatom-krill-predator food chains. Bacterial activity is generally low in cold polar waters compared to that at lower latitudes. This view appears to be changing, with new studies of microbial foodwebs in Arctic and Antarctic oceans. We characterized bacterial, archaeal, and eukaryotic community diversity and composition from 2 depths (near surface and below the euphotic zone) at 4 sites, including the inshore and offshore, and north and south corners of a sampling grid along the western coast of the Antarctic Peninsula (WAP). We detected up to 2-fold higher richness in microbial eukaryotes at surface and deep inshore northern stations as compared to southern stations, but offshore northern and southern stations revealed either no trend or higher richness at depth in the south. In contrast, bacterial and archaeal richness showed no significant differences either inshore or offshore at northern versus southern extents, but did vary with depth. Archaea were virtually absent in summer surface waters, but were present in summer deep and winter surface samples. Overall, winter bacterial and archaeal assemblages most closely resembled summer sub-euphotic zone assemblages, reflecting well-established seasonal patterns of water column turnover and stratification that result in an isolated layer of 'winter water' below the euphotic zone. Inter-domain heterotroph-phototroph interactions were evident from network analysis. The WAP is among the most rapidly warming regions on earth. Our results provide a baseline against which future change in microbial communities may be assessed.</t>
  </si>
  <si>
    <t>[Luria, Catherine M.; Amaral-Zettler, Linda A.] Brown Univ, Dept Ecol &amp; Evolutionary Biol, Providence, RI 02912 USA; [Luria, Catherine M.; Amaral-Zettler, Linda A.] Marine Biol Lab, Josephine Bay Paul Ctr Comparat Mol Biol &amp; Evolut, Woods Hole, MA 02543 USA; [Ducklow, Hugh W.] Columbia Univ, Lamont Doherty Earth Observ, Palisades, NY 10964 USA; [Amaral-Zettler, Linda A.] Brown Univ, Dept Earth Environm &amp; Planetary Sci, Providence, RI 02912 USA</t>
  </si>
  <si>
    <t>Brown University; Marine Biological Laboratory - Woods Hole; Columbia University; Brown University</t>
  </si>
  <si>
    <t>Amaral-Zettler, LA (corresponding author), Brown Univ, Dept Ecol &amp; Evolutionary Biol, Providence, RI 02912 USA.</t>
  </si>
  <si>
    <t>NSF [DEB-0717390]; NSF from the Antarctic Organisms and Ecosystems Program [OPP-0217282, 0823101]; Directorate For Geosciences; Office of Polar Programs (OPP) [1440435] Funding Source: National Science Foundation; Office of Polar Programs (OPP); Directorate For Geosciences [1612956] Funding Source: National Science Foundation</t>
  </si>
  <si>
    <t>NSF(National Science Foundation (NSF)); NSF from the Antarctic Organisms and Ecosystems Program(National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</si>
  <si>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Funding was provided by NSF DEB-0717390 to L.A.Z. (MIRADA-LTERS) and NSF Awards OPP-0217282 and 0823101 (Palmer LTER) from the Antarctic Organisms and Ecosystems Program to H. W. D. We thank our LTER colleagues, especially Kristen Myers and Matthew Erickson, US Antarctic Program scientific support staff from Raytheon Polar Services, and the officers and crew of ARSV 'LM GOULD' (Edison Chouest Offshore). We thank Elizabeth McCliment for help with pyrosequencing and Susan Huse for bioinformatics support.</t>
  </si>
  <si>
    <t>10.3354/ame01703</t>
  </si>
  <si>
    <t>WOS:000343594000002</t>
  </si>
  <si>
    <t>Burge, CA; MacKinnon, AL; Petkaki, P</t>
  </si>
  <si>
    <t>Burge, C. A.; MacKinnon, A. L.; Petkaki, P.</t>
  </si>
  <si>
    <t>Effect of binary collisions on electron acceleration in magnetic reconnection</t>
  </si>
  <si>
    <t>ASTRONOMY &amp; ASTROPHYSICS</t>
  </si>
  <si>
    <t>Sun: corona; Sun: flares; Sun: X-rays, gamma rays; plasmas; acceleration of particles; scattering</t>
  </si>
  <si>
    <t>X-RAY-EMISSION; PARTICLE-ACCELERATION; SOLAR-FLARE; CURRENT SHEETS; CHARGED-PARTICLES; NEUTRAL POINT; FIELD; MODEL; TOP; SIMULATION</t>
  </si>
  <si>
    <t>Context. The presence of energetic X-ray sources in the solar corona indicates there are additional transport effects in the acceleration region. A prime method of investigation is to add collisions into models of particle behaviour at the reconnection region. Aims. We investigate electron test particle acceleration in a simple model of an X-type reconnection region. In particular, we explore the possibility that collisions will cause electrons to re-enter the acceleration more frequently, in turn causing particles to be accelerated to high energies. Methods. The deterministic (Lorentz) description of particle gyration and acceleration has been coupled to a model for the effects of collisions. The resulting equations are solved numerically using Honeycutt's extension of the RK4 method to stochastic differential equations. This approach ensures a correct description of collisional energy loss and pitch-angle scattering combined with a sufficiently precise description of gyro-motion and acceleration. Results. Even with initially mono-energetic electrons, the competition between collisions and acceleration results in a distribution of electron energies. When realistic model parameters are used, electrons achieve X-ray energies. A possible model for coronal hard X-ray sources is indicated. Conclusions. Even in competition with energy losses, pitch-angle scattering results in a small proportion of electrons reaching higher energies than they would in a collisionless situation.</t>
  </si>
  <si>
    <t>[Burge, C. A.; MacKinnon, A. L.] Univ Glasgow, Sch Phys &amp; Astron, Glasgow G12 8QQ, Lanark, Scotland; [Petkaki, P.] Univ Cambridge, DAMTP, Cambridge CB2 1TN, England; [Burge, C. A.] Monash Univ, MoCA, Clayton, Vic 3800, Australia</t>
  </si>
  <si>
    <t>University of Glasgow; University of Cambridge; Monash University</t>
  </si>
  <si>
    <t>Burge, CA (corresponding author), Univ Glasgow, Sch Phys &amp; Astron, Glasgow G12 8QQ, Lanark, Scotland.</t>
  </si>
  <si>
    <t>c.burge@physics.gla.ac.uk</t>
  </si>
  <si>
    <t>MacKinnon, Alexander/K-3414-2017</t>
  </si>
  <si>
    <t>MacKinnon, Alexander/0000-0002-3558-4806</t>
  </si>
  <si>
    <t>STFC [ST/I001808/1]; STFC; FAPESP; Atomic Astrophysics Group (DAMTP, Univ. Cambridge); STFC [ST/I001808/1, ST/G000816/1] Funding Source: UKRI; Science and Technology Facilities Council [ST/I001808/1, ST/G000816/1] Funding Source: researchfish</t>
  </si>
  <si>
    <t>STFC(UK Research &amp; Innovation (UKRI)Science &amp; Technology Facilities Council (STFC)); STFC(UK Research &amp; Innovation (UKRI)Science &amp; Technology Facilities Council (STFC)); FAPESP(Fundacao de Amparo a Pesquisa do Estado de Sao Paulo (FAPESP)); Atomic Astrophysics Group (DAMTP, Univ. Cambridge); STFC(UK Research &amp; Innovation (UKRI)Science &amp; Technology Facilities Council (STFC)); Science and Technology Facilities Council(UK Research &amp; Innovation (UKRI)Science &amp; Technology Facilities Council (STFC))</t>
  </si>
  <si>
    <t>Solar physics research in Glasgow is supported by STFC Rolling Grant ST/I001808/1. C. A. B. thanks STFC for the support of a CASE Studentship held jointly between University of Glasgow and the British Antarctic Survey. We thank Mervyn Freeman for support and useful discussions. Some of A. L. M's contribution was carried out while on study leave at CRAAM, Mackenzie Presbyterian University, Sao Paulo and he thanks P. Kaufmann and colleagues for support and hospitality and FAPESP for financial support. P. P. acknowledges support from Dr Helen Mason and the Atomic Astrophysics Group (DAMTP, Univ. Cambridge). We also thank the referee for many useful comments and questions which helped us to improve the paper.</t>
  </si>
  <si>
    <t>EDP SCIENCES S A</t>
  </si>
  <si>
    <t>LES ULIS CEDEX A</t>
  </si>
  <si>
    <t>17, AVE DU HOGGAR, PA COURTABOEUF, BP 112, F-91944 LES ULIS CEDEX A, FRANCE</t>
  </si>
  <si>
    <t>0004-6361</t>
  </si>
  <si>
    <t>1432-0746</t>
  </si>
  <si>
    <t>ASTRON ASTROPHYS</t>
  </si>
  <si>
    <t>Astron. Astrophys.</t>
  </si>
  <si>
    <t>A107</t>
  </si>
  <si>
    <t>10.1051/0004-6361/201322199</t>
  </si>
  <si>
    <t>302EG</t>
  </si>
  <si>
    <t>WOS:000330584000107</t>
  </si>
  <si>
    <t>Yang, JM; Zong, XM; Wang, PC</t>
  </si>
  <si>
    <t>Yang Jing-Mei; Zong Xue-Mei; Wang Pu-Cai</t>
  </si>
  <si>
    <t>Characterization of Stratospheric Aerosol Distributions during the Volcanically Quiescent Period of 1998-2004</t>
  </si>
  <si>
    <t>ATMOSPHERIC AND OCEANIC SCIENCE LETTERS</t>
  </si>
  <si>
    <t>aerosol; stratosphere; distribution; optical depth</t>
  </si>
  <si>
    <t>The Stratospheric Aerosol and Gas Experiment (SAGE) II aerosol extinction profiles at 1020 nm were used to study the distribution characteristics of stratospheric aerosols during the volcanically quiescent period of 1998-2004. The stratospheric aerosol distributions exhibited hemispheric asymmetry between the Northern Hemisphere (NH) and the Southern Hemisphere (SH). In the lower stratosphere below 20 km, the zonal averaged aerosol optical depths in the NH were higher than those of the corresponding SH; whereas at higher altitudes above 20 km, the optical depths in the SH-except the equatorial region-were higher than those of the NH. At 0-10 degrees N and 10-20 degrees N, the stratospheric aerosol optical depth (SAOD) exhibited larger values in boreal winter and lower values in the spring and summer; at 0-10 degrees S and 10-20 degrees S, the SAOD presented small seasonal variations. At 30-40 degrees N, the SAOD presented larger values in the boreal fall and winter and lower values in the spring and summer; while at 30-40 degrees S, the SAOD exhibited larger values in the austral winter and early spring and lower values in the summer and fall. These characteristics can mainly be attributed to the seasonal cycle of the dynamic transport, and the effects of the buildup and breakdown of the polar vortex. At 50-60 degrees S, the SAOD exhibited extremely high values during austral winter associated with the Antarctic polar vortex boundary; at 50-60 degrees N, the SAOD also exhibited larger values during the boreal winter, but it was much less obvious than that of its southern counterpart.</t>
  </si>
  <si>
    <t>[Yang Jing-Mei; Zong Xue-Mei; Wang Pu-Cai] Chinese Acad Sci, Key Lab Middle Atmosphere &amp; Global Environm Obser, Inst Atmospher Phys, Beijing 100029, Peoples R China</t>
  </si>
  <si>
    <t>Yang, JM (corresponding author), Chinese Acad Sci, Key Lab Middle Atmosphere &amp; Global Environm Obser, Inst Atmospher Phys, Beijing 100029, Peoples R China.</t>
  </si>
  <si>
    <t>yangjingmei@mail.iap.ac.cn</t>
  </si>
  <si>
    <t>Wang, Pucai/0000-0003-2229-6941</t>
  </si>
  <si>
    <t>National Basic Research Program of China [2013CB955801]; National Natural Science Foundation of China [41275047]; Strategic Priority Research Program of the Chinese Academy of Sciences [XDA05100300]</t>
  </si>
  <si>
    <t>National Basic Research Program of China(National Basic Research Program of China); National Natural Science Foundation of China(National Natural Science Foundation of China (NSFC)); Strategic Priority Research Program of the Chinese Academy of Sciences(Chinese Academy of Sciences)</t>
  </si>
  <si>
    <t>The authors wish to acknowledge the National Aeronautics and Space Administration (NASA) Langley Research Center for the SAGE II aerosol data. This work was supported by the National Basic Research Program of China (Grant No. 2013CB955801), the National Natural Science Foundation of China (Grant No. 41275047), and the Strategic Priority Research Program of the Chinese Academy of Sciences (Grant No. XDA05100300).</t>
  </si>
  <si>
    <t>1674-2834</t>
  </si>
  <si>
    <t>2376-6123</t>
  </si>
  <si>
    <t>ATMOS OCEAN SCI LETT</t>
  </si>
  <si>
    <t>Atmos. Ocean. Sci. Lett.</t>
  </si>
  <si>
    <t>10.3878/j.issn.1674-2834.13.0076</t>
  </si>
  <si>
    <t>VC3WC</t>
  </si>
  <si>
    <t>WOS:000433715900006</t>
  </si>
  <si>
    <t>Xue, F; Sun, D; Zhou, TJ</t>
  </si>
  <si>
    <t>Xue Feng; Sun Dan; Zhou Tian-Jun</t>
  </si>
  <si>
    <t>Interdecadal and Interannnual Variabilities of the Antarctic Oscillation Simulated by CAM3</t>
  </si>
  <si>
    <t>Antarctic oscillation; interannual variability; interdecadal variability</t>
  </si>
  <si>
    <t>SEA-SURFACE TEMPERATURE; CIRCULATION; MODEL</t>
  </si>
  <si>
    <t>Based on four sets of numerical simulations prescribed with atmospheric radiative forcing and sea surface temperature (SST) forcing in the Community Atmospheric Model version 3 (CAM3), the interannual and interdecadal variabilities of the Antarctic oscillation (AAO) during austral summer were studied. It was found that the interannual variability is mainly driven by SST forcing. On the other hand, atmospheric radiative forcing plays a major role in the interdecadal variability. A cooling trend was found in the high latitudes of the Southern Hemisphere (SH) when atmospheric radiative forcing was specified in the model. This cooling trend tended to enhance the temperature gradient between the mid and high latitudes in the SH, inducing a transition of the AAO from a negative to a positive phase on the interdecadal timescale. The cooling trend was also partly weakened by the SST forcing, leading to a better simulation compared with the purely atmospheric radiative forcing run. Therefore, SST forcing cannot be ignored, although it is not as important as atmospheric radiative forcing.</t>
  </si>
  <si>
    <t>[Xue Feng] Chinese Acad Sci, ICCES, Inst Atmospher Phys, Beijing 100029, Peoples R China; [Sun Dan; Zhou Tian-Jun] Chinese Acad Sci, Inst Atmospher Phys, State Key Lab Numer Modeling Atmospher Sci &amp; Geop, Beijing 100029, Peoples R China; [Sun Dan] Beijing Meteorol Bur, Beijing 100089, Peoples R China</t>
  </si>
  <si>
    <t>Xue, F (corresponding author), Chinese Acad Sci, ICCES, Inst Atmospher Phys, Beijing 100029, Peoples R China.</t>
  </si>
  <si>
    <t>fxue@lasg.iap.ac.cn</t>
  </si>
  <si>
    <t>ZHOU, Tianjun/C-3195-2012</t>
  </si>
  <si>
    <t>ZHOU, Tianjun/0000-0002-5829-7279</t>
  </si>
  <si>
    <t>Carbon Budget and Related Issues of the Chinese Academy of Sciences [XDA05110201]; National Basic Research Program of China [2010CB951901]</t>
  </si>
  <si>
    <t>Carbon Budget and Related Issues of the Chinese Academy of Sciences; National Basic Research Program of China(National Basic Research Program of China)</t>
  </si>
  <si>
    <t>The authors appreciated the comments and suggestions from the two anonymous reviewers. This study was jointly supported by the Carbon Budget and Related Issues of the Chinese Academy of Sciences (Grant No. XDA05110201) and the National Basic Research Program of China (Grant No. 2010CB951901).</t>
  </si>
  <si>
    <t>10.3878/AOSL20140036</t>
  </si>
  <si>
    <t>VC3WS</t>
  </si>
  <si>
    <t>WOS:000433717600007</t>
  </si>
  <si>
    <t>Andersson, ME; Verronen, PT; Rodger, CJ; Clilverd, MA; Wang, S</t>
  </si>
  <si>
    <t>Andersson, M. E.; Verronen, P. T.; Rodger, C. J.; Clilverd, M. A.; Wang, S.</t>
  </si>
  <si>
    <t>Longitudinal hotspots in the mesospheric OH variations due to energetic electron precipitation</t>
  </si>
  <si>
    <t>SOLAR PROTON EVENT; NORTHERN-HEMISPHERE; GEOMAGNETIC STORMS</t>
  </si>
  <si>
    <t>Using Microwave Limb Sounder (MLS/Aura) and Medium Energy Proton and Electron Detector (MEPED/POES) observations between 2005-2009, we study the longitudinal response of nighttime mesospheric OH to radiation belt electron precipitation. Our analysis concentrates on geomagnetic latitudes from 55-72 degrees N/S and altitudes between 70 and 78 km. The aim of this study is to better assess the spatial distribution of electron forcing, which is important for more accurate modelling of its atmospheric and climate effects. In the Southern Hemisphere, OH data show a hotspot, i.e. area of higher values, at longitudes between 150 degrees W-30 degrees E, i.e. poleward of the Southern Atlantic Magnetic Anomaly (SAMA) region. In the Northern Hemisphere, energetic electron precipitation-induced OH variations are more equally distributed with longitude. This longitudinal behaviour of OH can also be identified using Empirical Orthogonal Function analysis, and is found to be similar to that of MEPED-measured electron fluxes. The main difference is in the SAMA region, where MEPED appears to measure very large electron fluxes while MLS observations show no enhancement of OH. This indicates that in the SAMA region the MEPED observations are not related to precipitating electrons, at least not at energies &gt; 100 keV, but rather to instrument contamination. Analysis of selected OH data sets for periods of different geomagnetic activity levels shows that the longitudinal OH hotspot south of the SAMA (the Antarctic Peninsula region) is partly caused by strong, regional electron forcing, although atmospheric conditions also seem to play a role. Also, a weak signature of this OH hotspot is seen during periods of generally low geomagnetic activity, which suggests that there is a steady drizzle of high-energy electrons affecting the atmosphere, due to the Earth's magnetic field being weaker in this region.</t>
  </si>
  <si>
    <t>[Andersson, M. E.; Verronen, P. T.] Finnish Meteorol Inst, Earth Observat, FIN-00101 Helsinki, Finland; [Rodger, C. J.] Univ Otago, Dept Phys, Dunedin, New Zealand; [Clilverd, M. A.] British Antarctic Survey, NERC, Cambridge CB3 0ET, England; [Clilverd, M. A.] CALTECH, Jet Prop Lab, Pasadena, CA 91125 USA</t>
  </si>
  <si>
    <t>Finnish Meteorological Institute; University of Otago; UK Research &amp; Innovation (UKRI); Natural Environment Research Council (NERC); NERC British Antarctic Survey; National Aeronautics &amp; Space Administration (NASA); NASA Jet Propulsion Laboratory (JPL); California Institute of Technology</t>
  </si>
  <si>
    <t>Andersson, ME (corresponding author), Finnish Meteorol Inst, Earth Observat, FIN-00101 Helsinki, Finland.</t>
  </si>
  <si>
    <t>monika.andersson@fmi.fi</t>
  </si>
  <si>
    <t>Verronen, P. T./AIE-0203-2022; Rodger, Craig/A-1501-2011; Verronen, Pekka T/G-6658-2014; Szelag, Monika Ewa/AAH-3529-2019</t>
  </si>
  <si>
    <t>Verronen, P. T./0000-0002-3479-9071; Szelag, Monika Ewa/0000-0002-8501-3366; Rodger, Craig J./0000-0002-6770-2707</t>
  </si>
  <si>
    <t>Academy of Finland [136225, 140888, 272782]; New Zealand Marsden fund; NASA Aura Science Team program; NERC [bas0100023] Funding Source: UKRI; Natural Environment Research Council [bas0100023] Funding Source: researchfish; Academy of Finland (AKA) [136225, 272782, 140888] Funding Source: Academy of Finland (AKA)</t>
  </si>
  <si>
    <t>Academy of Finland(Research Council of Finland); New Zealand Marsden fund(Royal Society of New ZealandMarsden Fund (NZ)); NASA Aura Science Team program; NERC(UK Research &amp; Innovation (UKRI)Natural Environment Research Council (NERC)); Natural Environment Research Council(UK Research &amp; Innovation (UKRI)Natural Environment Research Council (NERC)); Academy of Finland (AKA)(Research Council of Finland)</t>
  </si>
  <si>
    <t>M. E. Andersson would like to thank Marko Laine for helpful comments. The work of M. E. Andersson and P. T. Verronen was supported by the Academy of Finland through the projects #136225, #140888, and #272782 (SPOC: Significance of Energetic Electron Precipitation to Odd Hydrogen, Ozone, and Climate). The work of C. J. Rodger was supported by the New Zealand Marsden fund. The work of S. Wang was supported by the NASA Aura Science Team program.</t>
  </si>
  <si>
    <t>10.5194/acp-14-1095-2014</t>
  </si>
  <si>
    <t>AA1JZ</t>
  </si>
  <si>
    <t>WOS:000330853800036</t>
  </si>
  <si>
    <t>Bartels-Rausch, T; Jacobi, HW; Kahan, TF; Thomas, JL; Thomson, ES; Abbatt, JPD; Ammann, M; Blackford, JR; Bluhm, H; Boxe, C; Domine, F; Frey, MM; Gladich, I; Guzmán, MI; Heger, D; Huthwelker, T; Klán, P; Kuhs, WF; Kuo, MH; Maus, S; Moussa, SG; McNeill, VF; Newberg, JT; Pettersson, JBC; Roeselová, M; Sodeau, JR</t>
  </si>
  <si>
    <t>Bartels-Rausch, T.; Jacobi, H. -W.; Kahan, T. F.; Thomas, J. L.; Thomson, E. S.; Abbatt, J. P. D.; Ammann, M.; Blackford, J. R.; Bluhm, H.; Boxe, C.; Domine, F.; Frey, M. M.; Gladich, I.; Guzman, M. I.; Heger, D.; Huthwelker, Th.; Klan, P.; Kuhs, W. F.; Kuo, M. H.; Maus, S.; Moussa, S. G.; McNeill, V. F.; Newberg, J. T.; Pettersson, J. B. C.; Roeselova, M.; Sodeau, J. R.</t>
  </si>
  <si>
    <t>A review of air-ice chemical and physical interactions (AICI): liquids, quasi-liquids, and solids in snow</t>
  </si>
  <si>
    <t>ATMOSPHERIC TRACE GASES; SUPERCOOLED AQUEOUS-SOLUTIONS; TO-FIRN TRANSFER; MOLECULAR-DYNAMICS; HYDROGEN-PEROXIDE; NITRIC-ACID; SELF-DIFFUSION; HEXAGONAL ICE; NITROUS-ACID; POLAR ICE</t>
  </si>
  <si>
    <t>Snow in the environment acts as a host to rich chemistry and provides a matrix for physical exchange of contaminants within the ecosystem. The goal of this review is to summarise the current state of knowledge of physical processes and chemical reactivity in surface snow with relevance to polar regions. It focuses on a description of impurities in distinct compartments present in surface snow, such as snow crystals, grain boundaries, crystal surfaces, and liquid parts. It emphasises the microscopic description of the ice surface and its link with the environment. Distinct differences between the disordered air-ice interface, often termed quasi-liquid layer, and a liquid phase are highlighted. The reactivity in these different compartments of surface snow is discussed using many experimental studies, simulations, and selected snow models from the molecular to the macro-scale. Although new experimental techniques have extended our knowledge of the surface properties of ice and their impact on some single reactions and processes, others occurring on, at or within snow grains remain unquantified. The presence of liquid or liquid-like compartments either due to the formation of brine or disorder at surfaces of snow crystals below the freezing point may strongly modify reaction rates. Therefore, future experiments should include a detailed characterisation of the surface properties of the ice matrices. A further point that remains largely unresolved is the distribution of impurities between the different domains of the condensed phase inside the snowpack, i.e. in the bulk solid, in liquid at the surface or trapped in confined pockets within or between grains, or at the surface. While surface-sensitive laboratory techniques may in the future help to resolve this point for equilibrium conditions, additional uncertainty for the environmental snowpack may be caused by the highly dynamic nature of the snowpack due to the fast metamorphism occurring under certain environmental conditions. Due to these gaps in knowledge the first snow chemistry models have attempted to reproduce certain processes like the long-term incorporation of volatile compounds in snow and firn or the release of reactive species from the snowpack. Although so far none of the models offers a coupled approach of physical and chemical processes or a detailed representation of the different compartments, they have successfully been used to reproduce some field experiments. A fully coupled snow chemistry and physics model remains to be developed.</t>
  </si>
  <si>
    <t>[Bartels-Rausch, T.; Ammann, M.] Paul Scherrer Inst, Lab Radio &amp; Environm Chem, CH-5232 Villigen, Switzerland; [Jacobi, H. -W.] CNRS, Lab Glaciol &amp; Geophys Environnm UMR5183, F-38041 Grenoble, France; [Jacobi, H. -W.] Univ Grenoble Alpes, LGGE UMR5183, F-38041 Grenoble, France; [Kahan, T. F.] Syracuse Univ, Dept Chem, Syracuse, NY USA; [Thomas, J. L.] Univ Paris 06, CNRS INSU, LATMOS IPSL, UMR8190, Paris, France; [Thomas, J. L.] Univ Calif Los Angeles, Dept Atmospher &amp; Ocean Sci, Los Angeles, CA 90095 USA; [Thomson, E. S.; Pettersson, J. B. C.] Univ Gothenburg, Dept Chem &amp; Mol Biol Atmospher Sci, S-41296 Gothenburg, Sweden; [Abbatt, J. P. D.] Univ Toronto, Dept Chem, Toronto, ON M5S 3H6, Canada; [Blackford, J. R.] Univ Edinburgh, Sch Engn, Inst Mat &amp; Proc, Edinburgh EH9 3JL, Midlothian, Scotland; [Bluhm, H.] Univ Calif Berkeley, Lawrence Berkeley Natl Lab, Div Chem Sci, Berkeley, CA 94720 USA; [Boxe, C.] CUNY, Medgar Evers Coll, Dept Chem &amp; Environm Sci, Brooklyn, NY 11235 USA; [Boxe, C.] CUNY, Grad Ctr, Dept Chem, Dept Earth &amp; Environm Sci, New York, NY 10016 USA; [Domine, F.] Univ Laval, Takuvik Joint Int Lab, Quebec City, PQ G1V 0A6, Canada; [Domine, F.] CNRS, Quebec City, PQ G1V 0A6, Canada; [Domine, F.] Dept Chem, Quebec City, PQ G1V 0A6, Canada; [Frey, M. M.] British Antarctic Survey, Nat Environm Res Council, Cambridge CB3 0ET, England; [Gladich, I.] Acad Sci Czech Republ, Inst Organ Chem &amp; Biochem, Prague 16610 6, Czech Republic; [Guzman, M. I.] Univ Kentucky, Dept Chem, Lexington, KY 40506 USA; [Heger, D.; Klan, P.] Masaryk Univ, Fac Sci, Dept Chem, Brno 62500, Czech Republic; [Heger, D.; Klan, P.] Masaryk Univ, Fac Sci, RECETOX, Brno 62500, Czech Republic; [Huthwelker, Th.] Paul Scherrer Inst, Swiss Light Source, CH-5232 Villigen, Switzerland; [Kuhs, W. F.] Univ Gottingen, GZG Abt Kristallographie, D-37077 Gottingen, Germany; [Kuo, M. H.; Moussa, S. G.; McNeill, V. F.] Columbia Univ, Dept Chem Engn, New York, NY USA; [Maus, S.] Univ Bergen, Inst Geophys, N-5007 Bergen, Norway; [Newberg, J. T.] Univ Delaware, Dept Chem &amp; Biochem, Newark, DE 19716 USA; [Sodeau, J. R.] Univ Coll Cork, Dept Chem, Cork, Ireland; [Sodeau, J. R.] Univ Coll Cork, Environm Res Inst, Cork, Ireland</t>
  </si>
  <si>
    <t>Swiss Federal Institutes of Technology Domain; Paul Scherrer Institute; Centre National de la Recherche Scientifique (CNRS); Communaute Universite Grenoble Alpes; Universite Grenoble Alpes (UGA); Syracuse University; Sorbonne Universite; Universite Paris Saclay; Centre National de la Recherche Scientifique (CNRS); CNRS - National Institute for Earth Sciences &amp; Astronomy (INSU); University of California System; University of California Los Angeles; University of Gothenburg; University of Toronto; University of Edinburgh; United States Department of Energy (DOE); Lawrence Berkeley National Laboratory; University of California System; University of California Berkeley; City University of New York (CUNY) System; Medgar Evers College; City University of New York (CUNY) System; Laval University; UK Research &amp; Innovation (UKRI); Natural Environment Research Council (NERC); NERC British Antarctic Survey; Czech Academy of Sciences; Institute of Organic Chemistry &amp; Biochemistry of the Czech Academy of Sciences; University of Kentucky; Masaryk University Brno; Masaryk University Brno; Swiss Federal Institutes of Technology Domain; Paul Scherrer Institute; University of Gottingen; Columbia University; University of Bergen; University of Delaware; University College Cork; University College Cork</t>
  </si>
  <si>
    <t>Bartels-Rausch, T (corresponding author), Paul Scherrer Inst, Lab Radio &amp; Environm Chem, CH-5232 Villigen, Switzerland.</t>
  </si>
  <si>
    <t>thorsten.bartels-rausch@psi.ch</t>
  </si>
  <si>
    <t>Frey, Markus/G-1756-2012; Sodeau, John/IAM-0533-2023; Ammann, Markus/E-4576-2011; Klán, Petr/JCE-4586-2023; Guzman, Marcelo I./C-5966-2008; Heger, Dominik/V-4369-2019; Heger, Dominik/H-9934-2012; Bartels-Rausch, Thorsten/A-7651-2008; Klán, Petr/H-1189-2012; Pettersson, Jan B C/D-2250-2009; Newberg, John/E-8961-2010; Thomson, Erik S/C-6187-2014; Gladich, Ivan/A-9807-2018</t>
  </si>
  <si>
    <t>Frey, Markus/0000-0003-0535-0416; Ammann, Markus/0000-0001-5922-9000; Klán, Petr/0000-0001-6287-2742; Guzman, Marcelo I./0000-0002-6730-7766; Heger, Dominik/0000-0002-6881-8699; Heger, Dominik/0000-0002-6881-8699; Bartels-Rausch, Thorsten/0000-0002-7548-2572; Klán, Petr/0000-0001-6287-2742; Thomson, Erik S/0000-0003-2428-7539; Jacobi, Hans-Werner/0000-0003-2230-3136; Newberg, John/0000-0003-1576-4436; Abbatt, Jonathan/0000-0002-3372-334X; Gladich, Ivan/0000-0003-0929-3439; Huthwelker, Thomas/0000-0003-4174-8958</t>
  </si>
  <si>
    <t>IGAC; Columbia University School of Engineering and Applied Sciences; Swiss National Science Foundation [121857, 125179, 140400, 149629]; LEFE-CHAT program of INSU-CNRS; NSF [ATM-0845043, ANT-1019347]; Czech Science Foundation [P208/10/1724, P503/10/0947]; project CETOCOEN [CZ.1.05/2.1.00/01.0001]; U.S. National Science Foundation [CHE-1255290]; Division of Chemical Sciences, Geosciences, and Biosciences of the U.S. Department of Energy [DE-AC02-05CH11231]; European Regional Development Fund; [RVO 61388963]; Direct For Mathematical &amp; Physical Scien [1255290] Funding Source: National Science Foundation; Div Atmospheric &amp; Geospace Sciences; Directorate For Geosciences [0845043] Funding Source: National Science Foundation; Division Of Chemistry [1255290] Funding Source: National Science Foundation; Natural Environment Research Council [bas0100024] Funding Source: researchfish; NERC [bas0100024] Funding Source: UKRI</t>
  </si>
  <si>
    <t>IGAC; Columbia University School of Engineering and Applied Sciences; Swiss National Science Foundation(Swiss National Science Foundation (SNSF)); LEFE-CHAT program of INSU-CNRS; NSF(National Science Foundation (NSF)); Czech Science Foundation(Grant Agency of the Czech Republic); project CETOCOEN; U.S. National Science Foundation(National Science Foundation (NSF)); Division of Chemical Sciences, Geosciences, and Biosciences of the U.S. Department of Energy(United States Department of Energy (DOE)); European Regional Development Fund(European Union (EU)); ; Direct For Mathematical &amp; Physical Scien(National Science Foundation (NSF)NSF - Directorate for Mathematical &amp; Physical Sciences (MPS)); Div Atmospheric &amp; Geospace Sciences; Directorate For Geosciences(National Science Foundation (NSF)NSF - Directorate for Geosciences (GEO)); Division Of Chemistry(National Science Foundation (NSF)NSF - Directorate for Mathematical &amp; Physical Sciences (MPS)); Natural Environment Research Council(UK Research &amp; Innovation (UKRI)Natural Environment Research Council (NERC)); NERC(UK Research &amp; Innovation (UKRI)Natural Environment Research Council (NERC))</t>
  </si>
  <si>
    <t>This review was initiated and planned during the 3rd Workshop on Air-Ice Chemical Interactions held in June 2011, in New York, NY. The workshop was sponsored in part by IGAC and the Columbia University School of Engineering and Applied Sciences. T. Bartels-Rausch and M. Ammann appreciate support by the Swiss National Science Foundation (grants 121857, 125179, 140400, and 149629) and valuable input to this review by Sepp Schreiber. H.-W. Jacobi acknowledges support by the LEFE-CHAT program of INSU-CNRS. E. S. Thomson and J. B. C. Pettersson benefit from the scientific support of the Swedish Research Council and the Nordic top-level research initiative CRAICC. M. H. Kuo, V. F. McNeill, and S. G. Moussa acknowledge a NSF CAREER award for V. F. McNeill (ATM-0845043). M. Roeselova acknowledges support from the Czech Science Foundation (grant P208/10/1724) and RVO 61388963. P. Klan and D. Heger appreciate support by the Czech Science Foundation (P503/10/0947), and the project CETOCOEN (CZ.1.05/2.1.00/01.0001) granted by the European Regional Development Fund. M. I. Guzman thanks the U.S. National Science Foundation for a CAREER award (CHE-1255290). F. Domine thanks the French Polar Institute (IPEV) for continuous support. H. Bluhm acknowledges support from the Director, Office of Science, Office of Basic Energy Sciences, and by the Division of Chemical Sciences, Geosciences, and Biosciences of the U.S. Department of Energy under Contract Nr. DE-AC02-05CH11231. J. T. Newberg acknowledges support from an NSF Postdoctoral Fellowship (ANT-1019347).</t>
  </si>
  <si>
    <t>10.5194/acp-14-1587-2014</t>
  </si>
  <si>
    <t>AC2ZN</t>
  </si>
  <si>
    <t>Green Accepted, Green Published, Green Submitted, gold</t>
  </si>
  <si>
    <t>WOS:000332384900028</t>
  </si>
  <si>
    <t>Fiebig, M; Hirdman, D; Lunder, CR; Ogren, JA; Solberg, S; Stohl, A; Thompson, RL</t>
  </si>
  <si>
    <t>Fiebig, M.; Hirdman, D.; Lunder, C. R.; Ogren, J. A.; Solberg, S.; Stohl, A.; Thompson, R. L.</t>
  </si>
  <si>
    <t>Annual cycle of Antarctic baseline aerosol: controlled by photooxidation-limited aerosol formation</t>
  </si>
  <si>
    <t>DISPERSION MODEL FLEXPART; SIZE DISTRIBUTION; CHEMICAL-COMPOSITION; PARTICLE FORMATION; NEPHELOMETER; RANGE</t>
  </si>
  <si>
    <t>This article investigates the annual cycle observed in the Antarctic baseline aerosol scattering coefficient, total particle number concentration, and particle number size distribution (PNSD), as measured at Troll Atmospheric Observatory. Mie theory shows that the annual cycles in microphysical and optical aerosol properties have a common cause. By comparison with observations at other Antarctic stations, it is shown that the annual cycle is not a local phenomenon, but common to central Antarctic baseline air masses. Observations of ground-level ozone at Troll as well as backward plume calculations for the air masses arriving at Troll demonstrate that the baseline air masses originate from the free troposphere and lower stratosphere region, and descend over the central Antarctic continent. The Antarctic summer PNSD is dominated by particles with diameters &lt; 100 nm recently formed from the gas-phase despite the absence of external sources of condensible gases. The total particle volume in Antarctic baseline aerosol is linearly correlated with the integral insolation the aerosol received on its transport pathway, and the photooxidative production of particle volume is mostly limited by photooxidative capacity, not availability of aerosol precursor gases. The photooxidative particle volume formation rate in central Antarctic baseline air is quantified to 207 +/- 4 mu m(3)/(MJ m). Further research is proposed to investigate the applicability of this number to other atmospheric reservoirs, and to use the observed annual cycle in Antarctic baseline aerosol properties as a benchmark for the representation of natural atmospheric aerosol processes in climate models.</t>
  </si>
  <si>
    <t>[Fiebig, M.; Solberg, S.; Stohl, A.; Thompson, R. L.] Norwegian Inst Air Res, Dept Atmospher &amp; Climate Res, Kjeller, Norway; [Hirdman, D.] SMHI, Norrkoping, Sweden; [Lunder, C. R.] Norwegian Inst Air Res, Monitoring &amp; Informat Technol Dept, Kjeller, Norway; [Ogren, J. A.] NOAA, Earth Syst Res Lab, Global Monitoring Div, Boulder, CO USA</t>
  </si>
  <si>
    <t>NILU; Swedish Meteorological &amp; Hydrological Institute; NILU; National Oceanic Atmospheric Admin (NOAA) - USA</t>
  </si>
  <si>
    <t>Fiebig, M (corresponding author), Norwegian Inst Air Res, Dept Atmospher &amp; Climate Res, Kjeller, Norway.</t>
  </si>
  <si>
    <t>markus.fiebig@nilu.no</t>
  </si>
  <si>
    <t>Solberg, Sverre/AAC-1439-2021; Stohl, Andreas/A-7535-2008; Ogren, John A/M-8255-2015; Fiebig, Markus/I-4872-2012</t>
  </si>
  <si>
    <t>Solberg, Sverre/0000-0001-7869-9286; Stohl, Andreas/0000-0002-2524-5755; Ogren, John A/0000-0002-7895-9583; Thompson, Rona/0000-0001-9485-7176; Fiebig, Markus/0000-0002-3380-3470</t>
  </si>
  <si>
    <t>Norwegian Antarctic Research (NARE) programme; European Science Foundation/Norwegian Research Council</t>
  </si>
  <si>
    <t>This research has been supported by the Norwegian Antarctic Research (NARE) programme, as well as the European Science Foundation/Norwegian Research Council funded project CLimate IMpacts of Short-Lived pollutants In the Polar region (CLIMSLIP).</t>
  </si>
  <si>
    <t>10.5194/acp-14-3083-2014</t>
  </si>
  <si>
    <t>WOS:000334104700020</t>
  </si>
  <si>
    <t>Schanz, A; Hocke, K; Kämpfer, N</t>
  </si>
  <si>
    <t>Schanz, A.; Hocke, K.; Kaempfer, N.</t>
  </si>
  <si>
    <t>Daily ozone cycle in the stratosphere: global, regional and seasonal behaviour modelled with the Whole Atmosphere Community Climate Model</t>
  </si>
  <si>
    <t>DIURNAL-VARIATION; ANTARCTIC OZONE; VARIABILITY; MESOSPHERE; CHLORINE; PROFILE; TRENDS; SBUV; PHOTOCHEMISTRY; 21ST-CENTURY</t>
  </si>
  <si>
    <t>The Whole Atmosphere Community Climate Model (WACCM) is utilised to study the daily ozone cycle and underlying photochemical and dynamical processes. The analysis is focused on the daily ozone cycle in the middle stratosphere at 5 hPa where satellite-based trend estimates of stratospheric ozone are most biased by diurnal sampling effects and drifting satellite orbits. The simulated ozone cycle shows a minimum after sunrise and a maximum in the late afternoon. Further, a seasonal variation of the daily ozone cycle in the stratosphere was found. Depending on season and latitude, the peak-to-valley difference of the daily ozone cycle varies mostly between 3 and 5% (0.4 ppmv) with respect to the midnight ozone volume mixing ratio. The maximal variation of 15% (0.8 ppmv) is found at the polar circle in summer. The global pattern of the strength of the daily ozone cycle is mainly governed by the solar zenith angle and the sunshine duration. In addition, we find synoptic-scale variations in the strength of the daily ozone cycle. These variations are often anti-correlated to regional temperature anomalies and are due to the temperature dependence of the rate coefficients k(2) and k(3) of the Chapman cycle reactions. Further, the NOx catalytic cycle counteracts the accumulation of ozone during daytime and leads to an anti-correlation between anomalies in NOx and the strength of the daily ozone cycle. Similarly, ozone recombines with atomic oxygen which leads to an anti-correlation between anomalies in ozone abundance and the strength of the daily ozone cycle. At higher latitudes, an increase of the westerly (easterly) wind cause a decrease (increase) in the sunshine duration of an air parcel leading to a weaker (stronger) daily ozone cycle.</t>
  </si>
  <si>
    <t>[Schanz, A.; Hocke, K.; Kaempfer, N.] Univ Bern, Inst Appl Phys, Oeschger Ctr Climate Change Res, CH-3012 Bern, Switzerland</t>
  </si>
  <si>
    <t>University of Bern</t>
  </si>
  <si>
    <t>Schanz, A (corresponding author), Univ Bern, Inst Appl Phys, Oeschger Ctr Climate Change Res, Sidlerstr 5, CH-3012 Bern, Switzerland.</t>
  </si>
  <si>
    <t>ansgar.schanz@iap.unibe.ch</t>
  </si>
  <si>
    <t>Hocke, Klemens/0000-0003-2178-9920</t>
  </si>
  <si>
    <t>European Community [284421]</t>
  </si>
  <si>
    <t>The research leading to these results has received funding from the European Community's Seventh Framework Programme ([FP7/2007-2013]) under grant agreement no. 284421 (see Article II. 30. of the Grant Agreement). Also we would like to acknowledge the International Space Science Institute, Bern, Switzerland (ISSI Team #246, Characterizing Diurnal Variations of Ozone for Improving Ozone Trend Estimates, http://www.issibern.ch/teams/ozonetrend/) and the Ubuntu Foundation for providing open source software.</t>
  </si>
  <si>
    <t>10.5194/acp-14-7645-2014</t>
  </si>
  <si>
    <t>AM5XR</t>
  </si>
  <si>
    <t>WOS:000339934900031</t>
  </si>
  <si>
    <t>Nadzir, MSM; Phang, SM; Abas, MR; Rahman, NA; Abu Samah, A; Sturges, WT; Oram, DE; Mills, GP; Leedham, EC; Pyle, JA; Harris, NRP; Robinson, AD; Ashfold, MJ; Mead, MI; Latif, MT; Khan, MF; Amiruddin, AM; Banan, N; Hanafiah, MM</t>
  </si>
  <si>
    <t>Nadzir, M. S. Mohd; Phang, S. M.; Abas, M. R.; Rahman, N. Abdul; Abu Samah, A.; Sturges, W. T.; Oram, D. E.; Mills, G. P.; Leedham, E. C.; Pyle, J. A.; Harris, N. R. P.; Robinson, A. D.; Ashfold, M. J.; Mead, M. I.; Latif, M. T.; Khan, M. F.; Amiruddin, A. M.; Banan, N.; Hanafiah, M. M.</t>
  </si>
  <si>
    <t>Bromocarbons in the tropical coastal and open ocean atmosphere during the 2009 Prime Expedition Scientific Cruise (PESC-09)</t>
  </si>
  <si>
    <t>BOUNDARY-LAYER; BROMOFORM; ATLANTIC; HYDROCARBONS; HALOCARBONS; CHEMISTRY; BROMINE; FLUXES</t>
  </si>
  <si>
    <t>Atmospheric concentrations of very short-lived species (VSLS) bromocarbons, including CHBr3, CH2Br2, CHCl2Br, CHClBr2, and CH2BrCl, were measured in the Strait of Malacca and the South China and Sulu-Sulawesi seas during a two-month research cruise in June-July 2009. The highest bromocarbon concentrations were found in the Strait of Malacca, with smaller enhancements in coastal regions of northern Borneo. CHBr3 was the most abundant bromocarbon, ranging from 5.2 pmol mol(-1) in the Strait of Malacca to 0.94 pmol mol(-1) over the open ocean. Other bromocarbons showed lower concentrations, in the range of 0.8-1.3 pmol mol(-1) for CH2Br2, 0.1-0.5 pmol mol(-1) for CHCl2Br, and 0.1-0.4 pmol mol(-1) for CHClBr2. There was no significant correlation between bromocarbons and in situ chlorophyll a, but positive correlations with both MODIS and SeaWiFS satellite chlorophyll a. Together, the short-lived bromocarbons contribute an average of 8.9 pmol mol(-1) (range 5.2-21.4 pmol mol(-1)) to tropospheric bromine loading, which is similar to that found in previous studies from global sampling networks (Montzka et al., 2011). Statistical tests showed strong Spearman correlations between brominated compounds, suggesting a common source. Log-log plots of CHBr3/CH2Br2 versus CHBr2Cl/CH2Br2 show that both chemical reactions and dilution into the background atmosphere contribute to the composition of these halocarbons at each sampling point. We have used the correlation to make a crude estimate of the regional emissions of CHBr3 and to derive a value of 32 Gg yr(-1) for the Southeast (SE) Asian region (10 degrees N-20 degrees S, 90-150 degrees E). Finally, we note that satellite-derived chlorophyll a (chl a) products do not always agree well with in situ measurements, particularly in coastal regions of high turbidity, meaning that satellite chl a may not always be a good proxy for marine productivity.</t>
  </si>
  <si>
    <t>[Nadzir, M. S. Mohd; Abas, M. R.; Rahman, N. Abdul] Univ Malaya, Dept Chem, Environm Res Grp, Kuala Lumpur 50603, Malaysia; [Abu Samah, A.] Univ Malaya, Natl Antarctic Res Ctr, Kuala Lumpur 50603, Malaysia; [Nadzir, M. S. Mohd; Phang, S. M.; Abas, M. R.; Rahman, N. Abdul; Abu Samah, A.] Univ Malaya, Inst Ocean &amp; Earth Sci, Kuala Lumpur 50603, Malaysia; [Nadzir, M. S. Mohd; Sturges, W. T.; Oram, D. E.; Mills, G. P.; Leedham, E. C.] Univ E Anglia, Sch Environm Sci, Ctr Ocean &amp; Atmospher Sci, Norwich NR4 7TJ, Norfolk, England; [Oram, D. E.; Pyle, J. A.; Harris, N. R. P.; Robinson, A. D.; Ashfold, M. J.; Mead, M. I.] Univ Cambridge, Dept Chem, Ctr Atmospher Sci, Cambridge CB2 1EW, England; [Amiruddin, A. M.] Univ Putra Malaysia, Fac Environm Studies, Dept Environm Management, Serdang 43400, Selangor, Malaysia; [Pyle, J. A.] Natl Ctr Atmospher Sci, Boulder, CO USA; [Latif, M. T.; Khan, M. F.; Banan, N.] Univ Kebangsaan Malaysia, Inst Climate Change, Ctr Trop Climate Change Syst IKLIM, Bangi 43600, Selangor, Malaysia; [Latif, M. T.; Hanafiah, M. M.] Univ Kebangsaan Malaysia, Fac Sci &amp; Technol, Sch Environm &amp; Nat Resource Sci, Bangi 43600, Malaysia</t>
  </si>
  <si>
    <t>Universiti Malaya; Universiti Malaya; Universiti Malaya; University of East Anglia; University of Cambridge; Universiti Putra Malaysia; National Center Atmospheric Research (NCAR) - USA; Universiti Kebangsaan Malaysia; Universiti Kebangsaan Malaysia</t>
  </si>
  <si>
    <t>Nadzir, MSM (corresponding author), Univ Kebangsaan Malaysia, Fac Sci &amp; Technol, Sch Environm &amp; Nat Resource Sci, Bangi 43600, Malaysia.</t>
  </si>
  <si>
    <t>shahrulnadzir@ukm.edu.my</t>
  </si>
  <si>
    <t>Rahman, Noorsaadah Abd./B-9291-2010; ABU SAMAH, AZIZAN HJ/B-8295-2010; Ashfold, Matthew/IVU-9997-2023; Hanafiah, Marlia Mohd/AAN-4611-2020; Latif, Mohd Talib/E-9560-2010; Lee, Muhammad Hisyam/G-1914-2017; Ashfold, Matthew/K-3909-2019; ABAS, MHD RADZI/B-9002-2010; Khan, Md Firoz/I-6065-2013; Phang, Siew Moi/A-7653-2008; Saad, Omar/KCV-6684-2024</t>
  </si>
  <si>
    <t>Rahman, Noorsaadah Abd./0000-0001-5847-8961; Ashfold, Matthew/0000-0002-2191-1554; Hanafiah, Marlia Mohd/0000-0002-8565-0488; Latif, Mohd Talib/0000-0003-2339-3321; Lee, Muhammad Hisyam/0000-0002-3700-2363; Ashfold, Matthew/0000-0002-2191-1554; Khan, Md Firoz/0000-0003-3567-9634; Leedham Elvidge, Emma C/0000-0002-6993-1271; Mead, Mohammed Iqbal/0000-0003-0436-4074; Amiruddin, Abd Muhaimin/0000-0002-3445-0101; Pyle, John/0000-0003-3629-9916; Harris, Neil/0000-0003-1256-3006</t>
  </si>
  <si>
    <t>MOSTI (Malaysian Ministry of Science, Technology and Innovation); SHIVA European FP7 project [226224]; NERC; NERC-NCAS; British Council; Ministry of Higher Education Malaysia (KPT's) ERGS [ER025-2013A]; Universiti Kebangsaan Malaysia (UKM) [ICONIC-2013-004]; MOSTI [04-01-02-SF-0752]; UKM [GGPM-2013-080, DPP-2014-162, GUP-2013-057]; NERC [NE/G014655/1, NE/J016047/1, ncas10006, NE/F020341/1] Funding Source: UKRI; Natural Environment Research Council [ncas10006, NE/J016047/1, NE/F020341/1, NE/G014655/1] Funding Source: researchfish</t>
  </si>
  <si>
    <t>MOSTI (Malaysian Ministry of Science, Technology and Innovation); SHIVA European FP7 project; NERC(UK Research &amp; Innovation (UKRI)Natural Environment Research Council (NERC)); NERC-NCAS(UK Research &amp; Innovation (UKRI)Natural Environment Research Council (NERC)); British Council(The British Council in India); Ministry of Higher Education Malaysia (KPT's) ERGS; Universiti Kebangsaan Malaysia (UKM); MOSTI(Ministry of Energy, Science, Technology, Environment and Climate Change (MESTECC), Malaysia); UKM; NERC(UK Research &amp; Innovation (UKRI)Natural Environment Research Council (NERC)); Natural Environment Research Council(UK Research &amp; Innovation (UKRI)Natural Environment Research Council (NERC))</t>
  </si>
  <si>
    <t>We would like to thank MOSTI (Malaysian Ministry of Science, Technology and Innovation). for giving opportunities and financial support for the University of Malaya (UM) and Universiti Kebangsaan Malaysia to participate in this scientific cruise, and other Malaysian public universities and agencies who helped during sampling. The Malaysian Royal Navy is thanked for their help and assistance in all aspects of the cruise. We also thank the SHIVA European FP7 project (grant 226224), NERC, NERC-NCAS and the British Council, through a PMI2 grant, for their support. Neil Harris would like to thank NERC for his Research Fellowship; Emma Leedham and Matt Ashfold thank NERC for studentships, and Doreena Dominick, Lin Chin Yik, Fatimah Ahamad and Nur Ily Hamizah for their assistance and the Ministry of Higher Education Malaysia (KPT's) ERGS grant ER025-2013A. Finally, we also would like to thank Universiti Kebangsaan Malaysia (UKM) for the ICONIC-2013-004 grant, MOSTI e-science grant 04-01-02-SF-0752 for Universiti Kebangsaan Malaysia (UKM), UKM GGPM-2013-080 and UKM DPP-2014-162 and GUP-2013-057 for financial support.</t>
  </si>
  <si>
    <t>10.5194/acp-14-8137-2014</t>
  </si>
  <si>
    <t>AO1VN</t>
  </si>
  <si>
    <t>Green Accepted, Green Submitted, gold</t>
  </si>
  <si>
    <t>WOS:000341103600030</t>
  </si>
  <si>
    <t>Grosvenor, DP; King, JC; Choularton, TW; Lachlan-Cope, T</t>
  </si>
  <si>
    <t>Grosvenor, D. P.; King, J. C.; Choularton, T. W.; Lachlan-Cope, T.</t>
  </si>
  <si>
    <t>Downslope fohn winds over the Antarctic Peninsula and their effect on the Larsen ice shelves</t>
  </si>
  <si>
    <t>HEMISPHERE CLIMATE-CHANGE; SUMMER TEMPERATURES; WEATHER RESEARCH; STRATIFIED FLOW; ANNULAR MODE; SURFACE; FLUID; WAVES</t>
  </si>
  <si>
    <t>Mesoscale model simulations are presented of a westerly fohn event over the Antarctic Peninsula mountain ridge and onto the Larsen C ice shelf, just south of the recently collapsed Larsen B ice shelf. Aircraft observations showed the presence of fohn jets descending near the ice shelf surface with maximum wind speeds at 250-350m in height. Surface flux measurements suggested that melting was occurring. Simulated profiles of wind speed, temperature and wind direction were very similar to the observations. However, the good match only occurred at a model time corresponding to similar to 9 h before the aircraft observations were made since the model fohn jets died down after this. This was despite the fact that the model was nudged towards analysis for heights greater than similar to 1.15 km above the surface. Timing issues aside, the otherwise good comparison between the model and observations gave confidence that the model flow structure was similar to that in reality. Details of the model jet structure are explored and discussed and are found to have ramifications for the placement of automatic weather station (AWS) stations on the ice shelf in order to detect fohn flow. Cross sections of the flow are also examined and were found to compare well to the aircraft measurements. Gravity wave breaking above the mountain crest likely created a situation similar to hydraulic flow and allowed fohn flow and ice shelf surface warming to occur despite strong upwind blocking, which in previous studies of this region has generally not been considered. Our results therefore suggest that reduced upwind blocking, due to wind speed increases or stability decreases, might not result in an increased likelihood of fohn events over the Antarctic Peninsula, as previously suggested. The surface energy budget of the model during the melting periods showed that the net downwelling short-wave surface flux was the largest contributor to the melting energy, indicating that the cloud clearing effect of fohn events is likely to be the most important factor for increased melting relative to non-fohn days. The results also indicate that the warmth of the fohn jets through sensible heat flux (SH) may not be critical in causing melting beyond boundary layer stabilisation effects (which may help to prevent cloud cover and suppress loss of heat by convection) and are actually cancelled by latent heat flux (LH) effects (snow ablation). It was found that ground heat flux (GRD) was likely to be an important factor when considering the changing surface energy budget for the southern regions of the ice shelf as the climate warms.</t>
  </si>
  <si>
    <t>[Grosvenor, D. P.; Choularton, T. W.] Univ Manchester, Ctr Atmospher Sci, SEAES, Manchester, Lancs, England; [King, J. C.; Lachlan-Cope, T.] British Antarctic Survey, Cambridge CB3 0ET, England</t>
  </si>
  <si>
    <t>University of Manchester; UK Research &amp; Innovation (UKRI); Natural Environment Research Council (NERC); NERC British Antarctic Survey</t>
  </si>
  <si>
    <t>Grosvenor, DP (corresponding author), Univ Leeds, Sch Earth &amp; Environm, Leeds, W Yorkshire, England.</t>
  </si>
  <si>
    <t>daniel.p.grosvenor@gmail.com</t>
  </si>
  <si>
    <t>Choularton, Thomas/0000-0002-0409-4329; King, John/0000-0003-3315-7568; Grosvenor, Daniel/0000-0002-4919-7751</t>
  </si>
  <si>
    <t>UK Natural Environment Research Council [NE/G014124/1]; British Antarctic Survey (BAS) BCF; NERC [bas0100023, NE/G013314/1, NE/I015612/1, NE/G014124/1] Funding Source: UKRI; Natural Environment Research Council [bas0100023, NE/I015612/1, NE/G013314/1, NE/G014124/1] Funding Source: researchfish</t>
  </si>
  <si>
    <t>UK Natural Environment Research Council(UK Research &amp; Innovation (UKRI)Natural Environment Research Council (NERC)); British Antarctic Survey (BAS) BCF; NERC(UK Research &amp; Innovation (UKRI)Natural Environment Research Council (NERC)); Natural Environment Research Council(UK Research &amp; Innovation (UKRI)Natural Environment Research Council (NERC))</t>
  </si>
  <si>
    <t>J. C. King and T. Lachlan-Cope acknowledge support from the UK Natural Environment Research Council under grant no. NE/G014124/1 Orographic Flows and the Climate of the Antarctic Peninsula (OFCAP). We also acknowledge ECMWF for access to archived analysis data and DPG acknowledges British Antarctic Survey (BAS) BCF support. We are also very thankful to Russ Ladkin for aircraft support. We very much appreciate the time taken by the anonymous referees and the editor in providing feedback that improved the paper.</t>
  </si>
  <si>
    <t>10.5194/acp-14-9481-2014</t>
  </si>
  <si>
    <t>gold, Green Accepted</t>
  </si>
  <si>
    <t>WOS:000341993100002</t>
  </si>
  <si>
    <t>Spolaor, A; Vallelonga, P; Gabrieli, J; Martma, T; Björkman, MP; Isaksson, E; Cozzi, G; Turetta, C; Kjær, HA; Curran, MAJ; Moy, AD; Schönhardt, A; Blechschmidt, AM; Burrows, JP; Plane, JMC; Barbante, C</t>
  </si>
  <si>
    <t>Spolaor, A.; Vallelonga, P.; Gabrieli, J.; Martma, T.; Bjorkman, M. P.; Isaksson, E.; Cozzi, G.; Turetta, C.; Kjaer, H. A.; Curran, M. A. J.; Moy, A. D.; Schoenhardt, A.; Blechschmidt, A. -M.; Burrows, J. P.; Plane, J. M. C.; Barbante, C.</t>
  </si>
  <si>
    <t>Seasonality of halogen deposition in polar snow and ice</t>
  </si>
  <si>
    <t>MARINE BOUNDARY-LAYER; SEA-ICE; OZONE DEPLETION; SATELLITE-OBSERVATIONS; METHANESULFONIC-ACID; COASTAL ANTARCTICA; IODINE EMISSIONS; EAST ANTARCTICA; LAW DOME; MONOXIDE</t>
  </si>
  <si>
    <t>The atmospheric chemistry of iodine and bromine in Polar regions is of interest due to the key role of halogens in many atmospheric processes, particularly tropospheric ozone destruction. Bromine is emitted from the open ocean but is enriched above first-year sea ice during springtime bromine explosion events, whereas iodine emission is attributed to biological communities in the open ocean and hosted by sea ice. It has been previously demonstrated that bromine and iodine are present in Antarctic ice over glacial-interglacial cycles. Here we investigate seasonal variability of bromine and iodine in polar snow and ice, to evaluate their emission, transport and deposition in Antarctica and the Arctic and better understand potential links to sea ice. We find that bromine and iodine concentrations and Br enrichment (relative to sea salt content) in polar ice do vary seasonally in Arctic snow and Antarctic ice. Although seasonal variability in halogen emission sources is recorded by satellite-based observations of tropospheric halogen concentrations, seasonal patterns observed in snowpack are likely also influenced by photolysis-driven processes. Peaks of bromine concentration and Br enrichment in Arctic snow and Antarctic ice occur in spring and summer, when sunlight is present. A secondary bromine peak, observed at the end of summer, is attributed to bromine deposition at the end of the polar day. Iodine concentrations are largest in winter Antarctic ice strata, contrary to contemporary observations of summer maxima in iodine emissions. These findings support previous observations of iodine peaks in winter snow strata attributed to the absence of sunlight-driven photolytic re-mobilisation of iodine from surface snow. Further investigation is required to confirm these proposed mechanisms explaining observations of halogens in polar snow and ice, and to evaluate the extent to which halogens may be applied as sea ice proxies.</t>
  </si>
  <si>
    <t>[Spolaor, A.; Barbante, C.] Univ Ca Foscari Venice, Dept Environm Sci Informat &amp; Stat, I-30123 Venice, Italy; [Spolaor, A.; Gabrieli, J.; Cozzi, G.; Turetta, C.; Barbante, C.] Univ Venice, Inst Dynam Environm Proc CNR, I-30123 Venice, Italy; [Vallelonga, P.; Kjaer, H. A.] Niels Bohr Inst, Ctr Ice &amp; Climate, DK-2100 Copenhagen, Denmark; [Vallelonga, P.] Curtin Univ Technol, Dept Imaging &amp; Appl Phys, Bentley, WA 6102, Australia; [Martma, T.] Tallinn Univ Technol, Inst Geol, EE-19086 Tallinn, Estonia; [Bjorkman, M. P.; Isaksson, E.] Norwegian Polar Res Inst, Fram Ctr, N-9296 Tromso, Norway; [Curran, M. A. J.; Moy, A. D.] Australian Antarctic Div, Dept Environm, Kingston, Tas 7050, Australia; [Curran, M. A. J.] Univ Tasmania, Antarctic Climate &amp; Ecosyst Cooperat Res Ctr, Hobart, Tas 7001, Australia; [Moy, A. D.; Schoenhardt, A.; Blechschmidt, A. -M.; Burrows, J. P.] Univ Bremen, Inst Environm Phys, D-28334 Bremen, Germany; [Plane, J. M. C.] Univ Leeds, Sch Chem, Leeds LS2 9JT, W Yorkshire, England</t>
  </si>
  <si>
    <t>Universita Ca Foscari Venezia; Consiglio Nazionale delle Ricerche (CNR); Istituto per la Dinamica dei Processi Ambientali (IDPA-CNR); Universita Ca Foscari Venezia; University of Copenhagen; Niels Bohr Institute; Curtin University; Tallinn University of Technology; Norwegian Polar Institute; Australian Antarctic Division; Antarctic Climate &amp; Ecosystems Cooperative Research Centre (ACE CRC); University of Tasmania; University of Bremen; University of Leeds</t>
  </si>
  <si>
    <t>Vallelonga, P (corresponding author), Niels Bohr Inst, Ctr Ice &amp; Climate, Juliane Maries Vej 30, DK-2100 Copenhagen, Denmark.</t>
  </si>
  <si>
    <t>ptravis@nbi.ku.dk</t>
  </si>
  <si>
    <t>Kjær, Helle Astrid/HGC-7941-2022; Spolaor, Andrea/AAX-8808-2020; Cozzi, Giulio/R-4554-2019; Barbante, Carlo/B-3195-2011; Burrows, John Philip/AAF-8468-2019; Turetta, Clara/O-2849-2015; Martma, Tonu/B-7386-2019; Plane, John/C-7444-2015; Vallelonga, Paul/I-9650-2016</t>
  </si>
  <si>
    <t>Kjær, Helle Astrid/0000-0002-3781-9509; Spolaor, Andrea/0000-0001-8635-9193; Cozzi, Giulio/0000-0001-8796-4176; Burrows, John Philip/0000-0002-6821-5580; Turetta, Clara/0000-0003-3130-2901; Barbante, Carlo/0000-0003-4177-2288; Martma, Tonu/0000-0001-5894-7692; Jacopo, Gabrieli/0009-0001-7005-7390; Plane, John/0000-0003-3648-6893; Vallelonga, Paul/0000-0003-1055-7235</t>
  </si>
  <si>
    <t>Italian National Research Council (CNR); Italian Ministry of Research through PRIN; EU Regional Development Foundation [3.2.0801.12-0044]; State of Bremen; German Research Foundation; DFG; German Aerospace; DLR; European Space Agency</t>
  </si>
  <si>
    <t>Italian National Research Council (CNR)(Consiglio Nazionale delle Ricerche (CNR)); Italian Ministry of Research through PRIN; EU Regional Development Foundation; State of Bremen; German Research Foundation(German Research Foundation (DFG)); DFG(German Research Foundation (DFG)); German Aerospace; DLR(Helmholtz AssociationGerman Aerospace Centre (DLR)); European Space Agency(European Space Agency)</t>
  </si>
  <si>
    <t>This work was supported by the Italian National Research Council (CNR), the Italian Ministry of Research through the PRIN project 2009 and by the EU Regional Development Foundation, project 3.2.0801.12-0044. The authors are grateful to R. Sparapani and E. Liberatori (CNR) for logistical assistance, J. Kohler, H. Sevestre and UNIS (The University Centre in Svalbard) for supporting the field operations. NCEP data was provided by the NOAA/OAR/ESRL PSD through their web site at http://www.esrl.noaa.gov/psd/. We thank E. S. Saltzman and A. Saiz-Lopez for helpful comments as well as the many individuals and organisations involved in field logistics, drilling, ice-core processing and analysis involved in the NEEM and Law Dome ice core projects. The contributions of the University of Bremen have been supported by the State of Bremen, the German Research Foundation, DFG, the German Aerospace, DLR and the European Space Agency. We thank Elga Lab water (High Wycombe, UK) for supplying the pure water systems used in this study.</t>
  </si>
  <si>
    <t>10.5194/acp-14-9613-2014</t>
  </si>
  <si>
    <t>gold, Green Accepted, Green Submitted</t>
  </si>
  <si>
    <t>WOS:000341993100010</t>
  </si>
  <si>
    <t>Chambers, SD; Hong, SB; Williams, AG; Crawford, J; Griffiths, AD; Park, SJ</t>
  </si>
  <si>
    <t>Chambers, S. D.; Hong, S. -B.; Williams, A. G.; Crawford, J.; Griffiths, A. D.; Park, S. -J.</t>
  </si>
  <si>
    <t>Characterising terrestrial influences on Antarctic air masses using Radon-222 measurements at King George Island</t>
  </si>
  <si>
    <t>SOUTH-POLE; BOUNDARY-LAYER; ATMOSPHERIC TRANSPORT; NEUMAYER-STATION; SURFACE OZONE; RADON; CHEMISTRY; TROPOSPHERE; RADIOACTIVITY; PENINSULA</t>
  </si>
  <si>
    <t>We report on one year of high-precision direct hourly radon observations at King Sejong Station (King George Island) beginning in February 2013. Findings are compared with historic and ongoing radon measurements from other Antarctic sites. Monthly median concentrations reduced from 72 mBqm(-3) in late-summer to 44 mBqm(-3) in late winter and early spring. Monthly 10th percentiles, ranging from 29 to 49 mBqm(-3), were typical of oceanic baseline values. Diurnal cycles were rarely evident and local influences were minor, consistent with regional radon flux estimates one tenth of the global average for ice-free land. The predominant fetch region for terrestrially influenced air masses was South America (47-53 degrees S), with minor influences also attributed to aged Australian air masses and local sources. Plume dilution factors of 2.8-4.0 were estimated for the most terrestrially influenced (South American) air masses, and a seasonal cycle in terrestrial influence on tropospheric air descending at the pole was identified and characterised.</t>
  </si>
  <si>
    <t>[Chambers, S. D.; Williams, A. G.; Crawford, J.; Griffiths, A. D.] Australian Nucl Sci &amp; Technol Org, Kirrawee Dc, NSW 2232, Australia; [Hong, S. -B.; Park, S. -J.] Korea Polar Res Inst, Inchon 406840, South Korea</t>
  </si>
  <si>
    <t>Australian Nuclear Science &amp; Technology Organisation; Korea Institute of Ocean Science &amp; Technology (KIOST); Korea Polar Research Institute (KOPRI)</t>
  </si>
  <si>
    <t>Chambers, SD (corresponding author), Australian Nucl Sci &amp; Technol Org, Locked Bag 2001, Kirrawee Dc, NSW 2232, Australia.</t>
  </si>
  <si>
    <t>szc@ansto.gov.au</t>
  </si>
  <si>
    <t>Williams, Alastair/P-6946-2014; , Scott/AAI-6917-2020; Williams, Alastair/N-3193-2019; park, sang-jong/B-7049-2011; Griffiths, Alan/I-4766-2014</t>
  </si>
  <si>
    <t>Williams, Alastair/0000-0002-0568-8487; Williams, Alastair/0000-0002-0568-8487; park, sang-jong/0000-0002-6944-6962; Griffiths, Alan/0000-0003-1135-1810; Chambers, Scott/0000-0002-2521-959X</t>
  </si>
  <si>
    <t>KOPRI [PE14160, PE14010]</t>
  </si>
  <si>
    <t>KOPRI(Korea Polar Research Institute of Marine Research Placement (KOPRI))</t>
  </si>
  <si>
    <t>This research was partly supported by KOPRI research grants PE14160 and PE14010. We thank the staff at King Sejong Station, King George Island, Antarctica, as well as Ot Sisoutham and Sylvester Werczynski at the Australian Nuclear Science and Technology Organisation for their support of the radon measurement program at King Sejong Station. We also acknowledge NOAA Air Resources Laboratory (ARL) who made available the HYSPLIT transport and dispersion model and the relevant input files for the generation of back trajectories used in this paper.</t>
  </si>
  <si>
    <t>10.5194/acp-14-9903-2014</t>
  </si>
  <si>
    <t>WOS:000341993100026</t>
  </si>
  <si>
    <t>Legrand, M; Preunkert, S; Frey, M; Bartels-Rausch, T; Kukui, A; King, MD; Savarino, J; Kerbrat, M; Jourdain, B</t>
  </si>
  <si>
    <t>Legrand, M.; Preunkert, S.; Frey, M.; Bartels-Rausch, Th; Kukui, A.; King, M. D.; Savarino, J.; Kerbrat, M.; Jourdain, B.</t>
  </si>
  <si>
    <t>Large mixing ratios of atmospheric nitrous acid (HONO) at Concordia (East Antarctic Plateau) in summer: a strong source from surface snow?</t>
  </si>
  <si>
    <t>SOUTH-POLE; PEROXYNITRIC ACID; PHOTOCHEMICAL NO; DOME C; CHEMISTRY; INSTRUMENT; EMISSIONS; MECHANISMS; GREENLAND; KINETICS</t>
  </si>
  <si>
    <t>During the austral summer 2011/2012 atmospheric nitrous acid (HONO) was investigated for the second time at the Concordia site (75 degrees 06'S, 123 degrees 33'E), located on the East Antarctic Plateau, by deploying a long-path absorption photometer (LOPAP). Hourly mixing ratios of HONO measured in December 2011/January 2012 (35 +/- 5.0 pptv) were similar to those measured in December 2010/January 2011 (30.4 +/- 3.5 pptv). The large value of the HONO mixing ratio at the remote Concordia site suggests a local source of HONO in addition to weak production from oxidation of NO by the OH radical. Laboratory experiments demonstrate that surface snow removed from Concordia can produce gasphase HONO at mixing ratios half that of the NOx mixing ratio produced in the same experiment at typical temperatures encountered at Concordia in summer. Using these lab data and the emission flux of NOx from snow estimated from the vertical gradient of atmospheric concentrations measured during the campaign, a mean diurnal HONO snow emission ranging between 0.5 and 0.8x10(9) molecules cm(-2) s(-1) is calculated. Model calculations indicate that, in addition to around 1.2 pptv of HONO produced by the NO oxidation, these HONO snow emissions can only explain 6.5 to 10.5 pptv of HONO in the atmosphere at Concordia. To explain the difference between observed and simulated HONO mixing ratios, tests were done both in the field and at lab to explore the possibility that the presence of HNO4 had biased the measurements of HONO.</t>
  </si>
  <si>
    <t>[Legrand, M.; Preunkert, S.; Savarino, J.; Kerbrat, M.; Jourdain, B.] CNRS, LGGE, F-38041 Grenoble, France; [Legrand, M.; Preunkert, S.; Savarino, J.; Kerbrat, M.; Jourdain, B.] Univ Grenoble Alpes, LGGE, F-38041 Grenoble, France; [Frey, M.] British Antarctic Survey, NERC, Cambridge CB3 0ET, England; [Bartels-Rausch, Th] Paul Scherrer Inst, Lab Radio &amp; Environm Chem, CH-5232 Villigen, Switzerland; [Kukui, A.] Lab Atmospheres Milieux Observat Spatiales LATMOS, Paris, France; [Kukui, A.] CNRS, UMR, LPC2E, F-45071 Orleans, France; [King, M. D.] Royal Holloway Univ London, Dept Earth Sci, Egham TW20 0EX, Surrey, England</t>
  </si>
  <si>
    <t>Communaute Universite Grenoble Alpes; Universite Grenoble Alpes (UGA); Centre National de la Recherche Scientifique (CNRS); Communaute Universite Grenoble Alpes; Universite Grenoble Alpes (UGA); UK Research &amp; Innovation (UKRI); Natural Environment Research Council (NERC); NERC British Antarctic Survey; Swiss Federal Institutes of Technology Domain; Paul Scherrer Institute; Sorbonne Universite; Universite Paris Saclay; Centre National de la Recherche Scientifique (CNRS); Universite de Orleans; University of London; Royal Holloway University London</t>
  </si>
  <si>
    <t>Legrand, M (corresponding author), CNRS, LGGE, F-38041 Grenoble, France.</t>
  </si>
  <si>
    <t>legrand@lgge.obs.ujf-grenoble.fr</t>
  </si>
  <si>
    <t>King, Martin/B-1308-2009; Frey, Markus/G-1756-2012; Bartels-Rausch, Thorsten/A-7651-2008; Kukui, Alexandre/K-6643-2012; Savarino, Joel/H-9730-2012; Legrand, Michel/AAU-4678-2020</t>
  </si>
  <si>
    <t>King, Martin/0000-0002-0089-7693; Frey, Markus/0000-0003-0535-0416; Bartels-Rausch, Thorsten/0000-0002-7548-2572; Savarino, Joel/0000-0002-6708-9623; Kukui, Alexandre/0000-0002-3657-0414</t>
  </si>
  <si>
    <t>ANR (Agence National de Recherche) [ANR-09-BLAN-0226]; Institut Polaire Francais-Paul Emile Victor (IPEV) [414, 903, 1011]; NERC [NE/F0004796/1, NE/F010788]; NERC FSF [555.0608, 584.0609]; [ANR-11-JS56-005-01]; NERC [bas0100024, NE/F004796/1] Funding Source: UKRI; Natural Environment Research Council [bas0100024, NE/F004796/1] Funding Source: researchfish</t>
  </si>
  <si>
    <t>ANR (Agence National de Recherche)(Agence Nationale de la Recherche (ANR)); Institut Polaire Francais-Paul Emile Victor (IPEV); NERC(UK Research &amp; Innovation (UKRI)Natural Environment Research Council (NERC)); NERC FSF; ; NERC(UK Research &amp; Innovation (UKRI)Natural Environment Research Council (NERC)); Natural Environment Research Council(UK Research &amp; Innovation (UKRI)Natural Environment Research Council (NERC))</t>
  </si>
  <si>
    <t>The OPALE project was funded by the ANR (Agence National de Recherche) contract ANR-09-BLAN-0226. The measurement of the specific snow area was developed in the framework of the MONISNOW projet funded by the ANR-11-JS56-005-01 contract. National financial support and field logistic supplies for the summer campaign were provided by Institut Polaire Francais-Paul Emile Victor (IPEV) within programmes No. 414, 903, and 1011. M. D. King was supported by NERC NE/F0004796/1 and NE/F010788, and NERC FSF grants 555.0608 and 584.0609. Thanks to our Italian colleagues from Meteo-Climatological Observatory of PNRA for the meteorological data collected at Concordia.</t>
  </si>
  <si>
    <t>10.5194/acp-14-9963-2014</t>
  </si>
  <si>
    <t>WOS:000341993100031</t>
  </si>
  <si>
    <t>Yang, X; Abraham, NL; Archibald, AT; Braesicke, P; Keeble, J; Telford, PJ; Warwick, NJ; Pyle, JA</t>
  </si>
  <si>
    <t>Yang, X.; Abraham, N. L.; Archibald, A. T.; Braesicke, P.; Keeble, J.; Telford, P. J.; Warwick, N. J.; Pyle, J. A.</t>
  </si>
  <si>
    <t>How sensitive is the recovery of stratospheric ozone to changes in concentrations of very short-lived bromocarbons?</t>
  </si>
  <si>
    <t>CLIMATE-CHANGE; BR-Y; BROMINE; CHEMISTRY; BROMOFORM; MODEL; TROPOSPHERE; EMISSIONS; CHLORINE; IMPACT</t>
  </si>
  <si>
    <t>Naturally produced very short-lived substances (VSLS) account for almost a quarter of the current stratospheric inorganic bromine, Br-y. Following VSLS oxidation, bromine radicals (Br and BrO) can catalytically destroy ozone. The extent to which possible increases in surface emissions or transport of these VSLS bromocarbons to the stratosphere could counteract the effect of halogen reductions under the Montreal Protocol is an important policy question. Here, by using a chemistry-climate model, UM-UKCA, we investigate the impact of a hypothetical doubling (an increase of 5 ppt Br-y) of VSLS bromocarbons on ozone and how the resulting ozone changes depend on the background concentrations of chlorine and bromine. Our model experiments indicate that for the 5 ppt increase in Br-y from VSLS, the ozone decrease in the lowermost stratosphere of the Southern Hemisphere (SH) may reach up to 10% in the annual mean; the ozone decrease in the Northern Hemisphere (NH) is smaller (4-6 %). The largest impact on the ozone column is found in the Antarctic spring. There is a significantly larger ozone decrease following the doubling of the VSLS burden under a high stratospheric chlorine background than under a low chlorine background, indicating the importance of the inter-halogen reactions. For example, the decline in the high-latitude, lower-stratospheric ozone concentration as a function of Br-y is higher by about 30-40% when stratospheric Cl-y is similar to 3 ppb (present day), compared with Cl-y of similar to 0.8 ppb (a pre-industrial or projected future situation). Bromine will play an important role in the future ozone layer. However, even if bromine levels from natural VSLS were to increase significantly later this century, changes in the concentration of ozone will likely be dominated by the decrease in anthropogenic chlorine. Our calculation suggests that for a 5 ppt increase in Br-y from VSLS, the Antarctic ozone hole recovery date could be delayed by approximately 6-8 years, depending on Cl-y levels.</t>
  </si>
  <si>
    <t>[Yang, X.; Abraham, N. L.; Archibald, A. T.; Braesicke, P.; Telford, P. J.; Warwick, N. J.; Pyle, J. A.] Natl Ctr Atmospher Sci NCAS Climate, Cambridge, England; [Yang, X.; Abraham, N. L.; Archibald, A. T.; Braesicke, P.; Keeble, J.; Telford, P. J.; Warwick, N. J.; Pyle, J. A.] Univ Cambridge, Dept Chem, Ctr Atmospher Sci, Cambridge CB2 1EW, England</t>
  </si>
  <si>
    <t>Yang, X (corresponding author), British Antarctic Survey, Cambridge, England.</t>
  </si>
  <si>
    <t>xinyang55@bas.ac.uk</t>
  </si>
  <si>
    <t>Braesicke, Peter/D-8330-2016; Yang, Xin/AGB-3514-2022; Archibald, Alexander/GRR-5452-2022</t>
  </si>
  <si>
    <t>Braesicke, Peter/0000-0003-1423-0619; Yang, Xin/0000-0002-3838-9758; Warwick, Nicola/0000-0003-1840-0283; Abraham, Nathan Luke/0000-0003-3750-3544; Archibald, Alexander/0000-0001-9302-4180; Pyle, John/0000-0003-3629-9916; Keeble, James/0000-0003-2714-1084</t>
  </si>
  <si>
    <t>EU through SHIVA [SHIVA-226224-EP7-ENV-2008-1]; ERC through the ACCI [267760]; Natural Environment Research Council [ncas10009] Funding Source: researchfish</t>
  </si>
  <si>
    <t>EU through SHIVA; ERC through the ACCI(European Research Council (ERC)); Natural Environment Research Council(UK Research &amp; Innovation (UKRI)Natural Environment Research Council (NERC))</t>
  </si>
  <si>
    <t>J. A. Pyle and X. Yang thank the EU for support through SHIVA (SHIVA-226224-EP7-ENV-2008-1) and the ERC for support through the ACCI project (project number 267760). We thank Tara Banerjee for information on changes in the HO2+BrO flux with climate change. We thank NCAS-CMS for modelling support. Model integrations have been performed using the UK National Supercomputing Service HECToR.</t>
  </si>
  <si>
    <t>10.5194/acp-14-10431-2014</t>
  </si>
  <si>
    <t>AS3GF</t>
  </si>
  <si>
    <t>WOS:000344164800003</t>
  </si>
  <si>
    <t>Jones, AE; Brough, N; Anderson, PS; Wolff, EW</t>
  </si>
  <si>
    <t>Jones, A. E.; Brough, N.; Anderson, P. S.; Wolff, E. W.</t>
  </si>
  <si>
    <t>HO2NO2 and HNO3 in the coastal Antarctic winter night: a lab-in-the-field experiment</t>
  </si>
  <si>
    <t>CIRRUS CLOUD PARTICLES; SOUTH-POLE; NITRIC-ACID; REACTIVE NITROGEN; CHABLIS CAMPAIGN; PERNITRIC ACID; BOUNDARY-LAYER; ISCAT 2000; ICE; CHEMISTRY</t>
  </si>
  <si>
    <t>Observations of peroxynitric acid (HO2NO2) and nitric acid (HNO3) were made during a 4 month period of Antarctic winter darkness at the coastal Antarctic research station, Halley. Mixing ratios of HNO3 ranged from instrumental detection limits to similar to 8 parts per trillion by volume (pptv), and of HO2NO2 from detection limits to similar to 5 pptv; the average ratio of HNO3 : HO2No2 was 2.0(+/- 0.6) : 1, with HNO3 always present at greater mixing ratios than HO2NO2 during the winter darkness. An extremely strong association existed for the entire measurement period between mixing ratios of the respective trace gases and temperature: for HO2NO2, R-2 = 0.72, and for HNO3, R-2 = 0.70. We focus on three cases with considerable variation in temperature, where wind speeds were low and constant, such that, with the lack of photochemistry, changes in mixing ratio were likely to be driven by physical mechanisms alone. We derived enthalpies of adsorption (Delta H-ads) for these three cases. The average Delta H-ads for HNO3 was -42 +/- 2 kJ mol(-1) and for HO2NO2 was -56 +/- 1 kJ mol(-1); these values are extremely close to those derived in laboratory studies. This exercise demonstrates (i) that adsorption to/desorption from the snow pack should be taken into account when addressing budgets of boundary layer HO2NO2 and HNO3 at any snow-covered site, and (ii) that Antarctic winter can be used as a natural laboratory in the field for testing data on physical exchange mechanisms.</t>
  </si>
  <si>
    <t>[Jones, A. E.; Brough, N.; Anderson, P. S.; Wolff, E. W.] British Antarctic Survey, NERC, Cambridge, England</t>
  </si>
  <si>
    <t>Jones, AE (corresponding author), British Antarctic Survey, NERC, Cambridge, England.</t>
  </si>
  <si>
    <t>aejo@bas.ac.uk</t>
  </si>
  <si>
    <t>brough, neil/AAG-8550-2019; Wolff, Eric W/D-7925-2014</t>
  </si>
  <si>
    <t>brough, neil/0000-0002-2316-5292; Wolff, Eric W/0000-0002-5914-8531</t>
  </si>
  <si>
    <t>Natural Environment Research Council (NERC); NERC [bas0100024] Funding Source: UKRI; Natural Environment Research Council [bas0100024] Funding Source: researchfish</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</si>
  <si>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</si>
  <si>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The authors thank Greg Huey and Dave Tanner for providing the CIMS instrument used in this work, and for their help in setting it up at Halley. A. E. Jones thanks Robert Mulvaney for useful discussions around this work. The authors are also grateful for Thorsten Bartels-Rausch for discussions and his subsequent modelling calculations. This study is part of the British Antarctic Survey Polar Science for Planet Earth Programme. It was funded by The Natural Environment Research Council (NERC).</t>
  </si>
  <si>
    <t>10.5194/acp-14-11843-2014</t>
  </si>
  <si>
    <t>AT5LY</t>
  </si>
  <si>
    <t>WOS:000344985700017</t>
  </si>
  <si>
    <t>Kukui, A; Legrand, M; Preunkert, S; Frey, MM; Loisil, R; Roca, JG; Jourdain, B; King, MD; France, JL; Ancellet, G</t>
  </si>
  <si>
    <t>Kukui, A.; Legrand, M.; Preunkert, S.; Frey, M. M.; Loisil, R.; Roca, J. Gil; Jourdain, B.; King, M. D.; France, J. L.; Ancellet, G.</t>
  </si>
  <si>
    <t>Measurements of OH and RO2 radicals at Dome C, East Antarctica</t>
  </si>
  <si>
    <t>LASER-INDUCED FLUORESCENCE; NITROUS-ACID HONO; SOUTH-POLE; TROPOSPHERIC OH; PEROXY-RADICALS; NOX EMISSIONS; HO2; INSTRUMENT; GREENLAND; CHEMISTRY</t>
  </si>
  <si>
    <t>Concentrations of OH radicals and the sum of peroxy radicals, RO2, were measured in the boundary layer for the first time on the East Antarctic Plateau at the Concordia Station (Dome C, 75.10 degrees S, 123.31 degrees E) during the austral summer 2011/2012. The median concentrations of OH and RO2 radicals were 3.1 x 106 molecule cm 3 and 9.9 x 107 molecule cm 3, respectively. These values are comparable to those observed at the South Pole, confirming that the elevated oxidative capacity of the Antarctic atmospheric boundary layer found at the South Pole is not restricted to the South Pole but common over the high Antarctic plateau. At Concordia, the concentration of radicals showed distinct diurnal profiles with the median maximum of 5.2 x 10(6) molecule cm(-3) at 11:00 and the median minimum of 1.1 x 10(6) molecule cm(-3) at 01:00 for OH radicals and 1.7 x 10(8) molecule cm(-3) and 2.5 x 10(7) molecule cm(-3) for RO2 radicals at 13:00 and 23:00, respectively (all times are local times). Concurrent measurements of O-3, HONO, NO, NO2, HCHO and H2O2 demonstrated that the major primary source of OH and RO2 radicals at Dome C was the photolysis of HONO, HCHO and H2O2, with the photolysis of HONO contributing x75% of total primary radical production. However, photochemical modelling with accounting for all these radical sources overestimates the concentrations of OH and RO2 radicals by a factor of 2 compared to field observations. Neglecting the net OH production from HONO in the photochemical modelling results in an underestimation of the concentrations of OH and RO2 radicals by a factor of 2. To explain the observations of radicals in this case an additional source of OH equivalent to about (25-35)% of measured photolysis of HONO is required. Even with a factor of 5 reduction in the concentrations of HONO, the photolysis of HONO represents the major primary radical source at Dome C. To account for a possibility of an overestimation of NO2 observed at Dome C the calculations were also performed with NO2 concentrations estimated by assuming steady-state NO2 / NO ratios. In this case the net radical production from the photolysis of HONO should be reduced by a factor of 5 or completely removed based on the photochemical budget of OH or 0-D modelling, respectively. Another major factor leading to the large concentration of OH radicals measured at Dome C was large concentrations of NO molecules and fast recycling of peroxy radicals to OH radicals.</t>
  </si>
  <si>
    <t>[Kukui, A.; Roca, J. Gil; Ancellet, G.] Univ Paris 06, Univ Versailles St Quentin, CNRS,UMR8190, Lab Atmosphere Milieux &amp; Observ Spatiales LATMOS, Paris, France; [Legrand, M.; Preunkert, S.; Jourdain, B.] Univ Grenoble 1, CNRS, LGGE, Grenoble, France; [Frey, M. M.] British Antarctic Survey, NERC, Cambridge CB3 0ET, England; [Kukui, A.] Univ Orleans, CNRS, Lab Phys &amp; Chim Environm &amp; Espace LPC2E, UMR6115, F-45071 Orleans 2, France; [Loisil, R.] INSU, Div Tech UPS855, Meudon, France; [King, M. D.; France, J. L.] Royal Holloway Univ London, Dept Earth Sci, Egham TW20 OEX, Surrey, England</t>
  </si>
  <si>
    <t>Sorbonne Universite; Centre National de la Recherche Scientifique (CNRS); CNRS - National Institute for Earth Sciences &amp; Astronomy (INSU); Universite Paris Saclay; Communaute Universite Grenoble Alpes; Universite Grenoble Alpes (UGA); Centre National de la Recherche Scientifique (CNRS); UK Research &amp; Innovation (UKRI); Natural Environment Research Council (NERC); NERC British Antarctic Survey; Centre National de la Recherche Scientifique (CNRS); Universite de Orleans; Centre National de la Recherche Scientifique (CNRS); CNRS - National Institute for Earth Sciences &amp; Astronomy (INSU); University of London; Royal Holloway University London</t>
  </si>
  <si>
    <t>Kukui, A (corresponding author), Univ Paris 06, Univ Versailles St Quentin, CNRS,UMR8190, Lab Atmosphere Milieux &amp; Observ Spatiales LATMOS, Paris, France.</t>
  </si>
  <si>
    <t>alexandre.kukui@cnrs-orleans.fr</t>
  </si>
  <si>
    <t>Legrand, Michel/AAU-4678-2020; King, Martin/B-1308-2009; Kukui, Alexandre/K-6643-2012; Frey, Markus/G-1756-2012; France, James/L-9719-2015</t>
  </si>
  <si>
    <t>King, Martin/0000-0002-0089-7693; Frey, Markus/0000-0003-0535-0416; Kukui, Alexandre/0000-0002-3657-0414; LOISIL, Rodrigue/0000-0002-7482-2803; Ancellet, Gerard/0000-0002-1542-6085; France, James/0000-0002-8785-1240</t>
  </si>
  <si>
    <t>ANR (Agence National de Recherche) [ANR-09-BLAN-0226]; Institut Polaire Francais-Paul Emile Victor (IPEV) [414, 903]; NERC [bas0100024, fsf010001] Funding Source: UKRI; Natural Environment Research Council [bas0100024, fsf010001] Funding Source: researchfish; Agence Nationale de la Recherche (ANR) [ANR-09-BLAN-0226] Funding Source: Agence Nationale de la Recherche (ANR)</t>
  </si>
  <si>
    <t>ANR (Agence National de Recherche)(Agence Nationale de la Recherche (ANR)); Institut Polaire Francais-Paul Emile Victor (IPEV); NERC(UK Research &amp; Innovation (UKRI)Natural Environment Research Council (NERC)); Natural Environment Research Council(UK Research &amp; Innovation (UKRI)Natural Environment Research Council (NERC)); Agence Nationale de la Recherche (ANR)(Agence Nationale de la Recherche (ANR))</t>
  </si>
  <si>
    <t>The OPALE project was funded by the ANR (Agence National de Recherche) contract ANR-09-BLAN-0226. National financial support and field logistic supplies for the summer campaign were provided by Institut Polaire Francais-Paul Emile Victor (IPEV) within programs No. 414 and 903. M. D. King and J. L. France wish to thank NERC (NE/F0004796/1 and NE/F0104788) and NERC FSF (555.0608 and 584.0609).</t>
  </si>
  <si>
    <t>10.5194/acp-14-12373-2014</t>
  </si>
  <si>
    <t>AU0CL</t>
  </si>
  <si>
    <t>WOS:000345290700024</t>
  </si>
  <si>
    <t>Keeble, J; Braesicke, P; Abraham, NL; Roscoe, HK; Pyle, JA</t>
  </si>
  <si>
    <t>Keeble, J.; Braesicke, P.; Abraham, N. L.; Roscoe, H. K.; Pyle, J. A.</t>
  </si>
  <si>
    <t>The impact of polar stratospheric ozone loss on Southern Hemisphere stratospheric circulation and climate</t>
  </si>
  <si>
    <t>ANTARCTIC OZONE; VORTEX; WINTER; DEPLETION; TRENDS; MODEL</t>
  </si>
  <si>
    <t>The impact of polar stratospheric ozone loss resulting from chlorine activation on polar stratospheric clouds is examined using a pair of model integrations run with the fully coupled chemistry climate model UM-UKCA. Suppressing chlorine activation through heterogeneous reactions is found to produce modelled ozone differences consistent with observed ozone differences between the present and pre-ozone hole period. Statistically significant high-latitude Southern Hemisphere (SH) ozone loss begins in August and peaks in October-November, with &gt;75% of ozone destroyed at 50 hPa. Associated with this ozone destruction is a &gt; 12K decrease of the lower polar stratospheric temperatures and an increase of &gt; 6K in the upper stratosphere. The heating components of this temperature change are diagnosed and it is found that the temperature dipole is the result of decreased short-wave heating in the lower stratosphere and increased dynamical heating in the upper stratosphere. The cooling of the polar lower stratosphere leads, through thermal wind balance, to an acceleration of the polar vortex and delays its breakdown by similar to 2 weeks. A link between lower stratospheric zonal wind speed, the vertical component of the Eliassen-Palm (EP) flux, F-z and the residual mean vertical circulation, (w) over bar*, is identified. In November and December, increased westerly winds and a delay in the breakup of the polar vortex lead to increases in F-z, indicating increased wave activity entering the stratosphere and propagating to higher altitudes. The resulting increase in wave breaking, diagnosed by decreases to the EP flux divergence, drives enhanced downwelling over the polar cap. Many of the stratospheric signals modelled in this study propagate down to the troposphere, and lead to significant surface changes in December.</t>
  </si>
  <si>
    <t>[Keeble, J.] Univ Cambridge, Dept Chem, Cambridge CB2 1EW, England; [Braesicke, P.] Karlsruhe Inst Technol, Inst Meteorol &amp; Climate Res, D-76021 Karlsruhe, Germany; [Abraham, N. L.; Pyle, J. A.] Univ Cambridge, Dept Chem, NCAS, Cambridge CB2 1EW, England; [Roscoe, H. K.] British Antarctic Survey, NERC, Cambridge CB3 0ET, England</t>
  </si>
  <si>
    <t>University of Cambridge; Helmholtz Association; Karlsruhe Institute of Technology; University of Cambridge; UK Research &amp; Innovation (UKRI); Natural Environment Research Council (NERC); NERC British Antarctic Survey</t>
  </si>
  <si>
    <t>Keeble, J (corresponding author), Univ Cambridge, Dept Chem, Lensfield Rd, Cambridge CB2 1EW, England.</t>
  </si>
  <si>
    <t>jmk64@cam.ac.uk</t>
  </si>
  <si>
    <t>Braesicke, Peter/D-8330-2016</t>
  </si>
  <si>
    <t>Braesicke, Peter/0000-0003-1423-0619; Keeble, James/0000-0003-2714-1084; Pyle, John/0000-0003-3629-9916; Abraham, Nathan Luke/0000-0003-3750-3544</t>
  </si>
  <si>
    <t>NERC [NE/H024778/1]; Natural Environment Research Council; Natural Environment Research Council [NE/H024778/1, bas0100023] Funding Source: researchfish; NERC [bas0100023, NE/H024778/1] Funding Source: UKRI</t>
  </si>
  <si>
    <t>NERC(UK Research &amp; Innovation (UKRI)Natural Environment Research Council (NERC));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</si>
  <si>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NCAS-CMS for modelling support. Model integrations have been performed using the UK National Supercomputing Service HECToR. J. Keeble, P. Braesicke and H. Roscoe thank NERC for support through grant NE/H024778/1. H. Roscoe also participated as part of the British Antarctic Survey's Polar Science for Planet Earth programme, also funded by the Natural Environment Research Council. We would also like to thank two anonymous reviewers for their comments, which helped improve aspects of the paper.</t>
  </si>
  <si>
    <t>10.5194/acp-14-13705-2014</t>
  </si>
  <si>
    <t>AZ0TI</t>
  </si>
  <si>
    <t>Green Accepted, Green Submitted, Green Published, gold</t>
  </si>
  <si>
    <t>WOS:000347957100015</t>
  </si>
  <si>
    <t>Schmitt, J; Seth, B; Bock, M; Fischer, H</t>
  </si>
  <si>
    <t>Schmitt, J.; Seth, B.; Bock, M.; Fischer, H.</t>
  </si>
  <si>
    <t>Online technique for isotope and mixing ratios of CH4, N2O, Xe and mixing ratios of organic trace gases on a single ice core sample</t>
  </si>
  <si>
    <t>MASS-SPECTROMETRY SYSTEM; FIRN-AIR; ANTARCTIC ICE; NITROUS-OXIDE; CHRONOLOGY AICC2012; RECENT DECREASES; ATMOSPHERIC CH4; AGE SCALE; METHANE; CARBON</t>
  </si>
  <si>
    <t>Firn and polar ice cores enclosing trace gas species offer a unique archive to study changes in the past atmosphere and in terrestrial/marine source regions. Here we present a new online technique for ice core and air samples to measure a suite of isotope ratios and mixing ratios of trace gas species on a single sample. Isotope ratios are determined on methane, nitrous oxide and xenon with reproducibilities for ice core samples of 0.15% for delta C-13-CH4, 0.22% for delta N-15-N2O, 0.34% for delta O-18-N2O, and 0.05% per mass difference for delta Xe-136 for typical concentrations of glacial ice. Mixing ratios are determined on methane, nitrous oxide, xenon, ethane, propane, methyl chloride and dichlorodifluoromethane with reproducibilities of 7 ppb for CH4, 3 ppb for N2O, 70 ppt for C2H6, 70 ppt for C3H8, 20 ppt for CH3Cl, and 2 ppt for CCl2F2. However, the blank contribution for C2H6 and C3H8 is large in view of the measured values for Antarctic ice samples. The system consists of a vacuum extraction device, a preconcentration unit and a gas chromatograph coupled to an isotope ratio mass spectrometer. CH4 is combusted to CO2 prior to detection while we bypass the oven for all other species. The highly automated system uses only similar to 160 g of ice, equivalent to similar to 16mL air, which is less than previous methods. The measurement of this large suite of parameters on a single ice sample is new and key to understanding phase relationships of parameters which are usually not measured together. A multi-parameter data set is also key to understand in situ production processes of organic species in the ice, a critical issue observed in many organic trace gases. Novel is the determination of xenon isotope ratios using doubly charged Xe ions. The attained precision for delta Xe-136 is suitable to correct the isotopic ratios and mixing ratios for gravitational firn diffusion effects, with the benefit that this information is derived from the same sample. Lastly, anomalies in the Xe mixing ratio, delta Xe/air, can be used to detect melt layers.</t>
  </si>
  <si>
    <t>[Schmitt, J.] Univ Bern, Inst Phys, Bern, Switzerland; Univ Bern, Oeschger Ctr Climate Change Res, Bern, Switzerland</t>
  </si>
  <si>
    <t>Schmitt, J (corresponding author), Univ Bern, Inst Phys, Bern, Switzerland.</t>
  </si>
  <si>
    <t>schmitt@climate.unibe.ch</t>
  </si>
  <si>
    <t>Schmitt, Jochen/B-7893-2009; Fischer, Hubertus/A-1211-2014</t>
  </si>
  <si>
    <t>Schmitt, Jochen/0000-0003-4695-3029; Seth, Barbara/0000-0003-2262-6963; Bock, Michael/0000-0001-5744-3169; Fischer, Hubertus/0000-0002-2787-4221</t>
  </si>
  <si>
    <t>European Research Council Advanced Grant MATRICs; Schweizerischer National-fonds (SNF project primeMETHANE)</t>
  </si>
  <si>
    <t>European Research Council Advanced Grant MATRICs(European Research Council (ERC)); Schweizerischer National-fonds (SNF project primeMETHANE)</t>
  </si>
  <si>
    <t>The Tabs Dome Ice core project (TALDICE), a joint European programme, is funded by national contributions from Italy, France, Germany, Switzerland and the United Kingdom. Primary logistical support was provided by PNRA at Tabs Dome. This is TALDICE publication no. 39. Financial support for this work has been provided in part by the European Research Council Advanced Grant MATRICs, and the Schweizerischer National-fonds (SNF project primeMETHANE). B34 ice core samples were provided by the Alfred Wegener Institute, Helmholtz Centre for Polar and Marine Research. We thank Matthias Baumgartner for measuring replicate ice core samples from the TALDICE core. Martin Vollmer from the Swiss Federal Laboratories for Materials Testing and Research (Empa) kindly calibrated our working standards for the ppt-level species. We thank Peter Nyfeler for calibrating our CO2 cylinder. The authors are very grateful to Hinrich Schaefer and an anonymous reviewer for their thorough reviews and the many valuable suggestions on the discussion version which improved the final version of this manuscript.</t>
  </si>
  <si>
    <t>10.5194/amt-7-2645-2014</t>
  </si>
  <si>
    <t>WOS:000341605200017</t>
  </si>
  <si>
    <t>Grise, KM; Son, SW; Correa, GJP; Polvani, LM</t>
  </si>
  <si>
    <t>Grise, Kevin M.; Son, Seok-Woo; Correa, Gustavo J. P.; Polvani, Lorenzo M.</t>
  </si>
  <si>
    <t>The response of extratropical cyclones in the Southern Hemisphere to stratospheric ozone depletion in the 20th century</t>
  </si>
  <si>
    <t>ATMOSPHERIC SCIENCE LETTERS</t>
  </si>
  <si>
    <t>extratropical cyclones; stratospheric ozone; Southern Hemisphere</t>
  </si>
  <si>
    <t>FEATURE TRACKING; CLIMATE-CHANGE; STORM TRACKS; REANALYSIS; RESOLUTION; MODELS; JET</t>
  </si>
  <si>
    <t>This study explores the impact of Antarctic stratospheric ozone depletion on extratropical cyclones. Output from the Community Atmosphere Model is combined with a Lagrangian cyclone-tracking algorithm to identify the response of Southern Hemisphere extratropical cyclones to ozone and greenhouse gas forcings over the period 1960-2000. Stratospheric ozone depletion induces a significant poleward shift in cyclone frequency over the Southern Ocean, but has minimal influence on cyclone intensity and lifetime. The response of the cyclones to late 20th century greenhouse gas increases has similar characteristics, but falls within the range of natural variability in the model.</t>
  </si>
  <si>
    <t>[Grise, Kevin M.; Correa, Gustavo J. P.; Polvani, Lorenzo M.] Columbia Univ, Lamont Doherty Earth Observ, Palisades, NY 10964 USA; [Son, Seok-Woo] Seoul Natl Univ, Sch Earth &amp; Environm Sci, Seoul, South Korea; [Polvani, Lorenzo M.] Columbia Univ, Dept Appl Phys &amp; Appl Math, New York, NY USA; [Polvani, Lorenzo M.] Columbia Univ, Dept Earth &amp; Environm Sci, New York, NY USA</t>
  </si>
  <si>
    <t>Columbia University; Seoul National University (SNU); Columbia University; Columbia University</t>
  </si>
  <si>
    <t>Grise, KM (corresponding author), Columbia Univ, Lamont Doherty Earth Observ, Palisades, NY 10964 USA.</t>
  </si>
  <si>
    <t>kgrise@ldeo.columbia.edu</t>
  </si>
  <si>
    <t>Grise, Kevin/B-6939-2013; Son, Seok-Woo/A-8797-2013; Polvani, Lorenzo M/E-5949-2011</t>
  </si>
  <si>
    <t>Grise, Kevin/0000-0003-0934-8129; Correa, Gustavo/0000-0002-0098-7322</t>
  </si>
  <si>
    <t>Korea Polar Research Institute (KOPRI) [PE13010]; National Science Foundation</t>
  </si>
  <si>
    <t>Korea Polar Research Institute (KOPRI); National Science Foundation(National Science Foundation (NSF))</t>
  </si>
  <si>
    <t>We thank J. F. Booth for helpful comments and assistance with the cyclone tracking algorithms. We also thank K. I. Hodges for providing us with his tracking algorithm. K. M. G. and L. M. P. were supported by a grant from the National Science Foundation to Columbia University. S. W. S. was supported by the Korea Polar Research Institute (KOPRI) grant under Project PE13010.</t>
  </si>
  <si>
    <t>1530-261X</t>
  </si>
  <si>
    <t>ATMOS SCI LETT</t>
  </si>
  <si>
    <t>Atmos. Sci. Lett.</t>
  </si>
  <si>
    <t>10.1002/asl2.458</t>
  </si>
  <si>
    <t>292SZ</t>
  </si>
  <si>
    <t>WOS:000329924000005</t>
  </si>
  <si>
    <t>TRANSFORMATION OF COASTAL COMMUNITIES: WHERE IS THE MARINE SECTOR HEADING?</t>
  </si>
  <si>
    <t>AUSTRALASIAN JOURNAL OF REGIONAL STUDIES</t>
  </si>
  <si>
    <t>fishing communities; demographic change; marine climate change; marine sector</t>
  </si>
  <si>
    <t>CLIMATE-CHANGE; POPULATION; AUSTRALIA; FISHERY; TRENDS; RIGHTS</t>
  </si>
  <si>
    <t>Much has been said about migration to coastal areas and the consequent change in coastal community demographics. Even though coastal communities are changing they are often still colloquially referred to as 'fishing towns' which is the presumed dominant economic activity. However, the commercial fishing sector is contracting and communities are re-orienting to other marine sectors such as marine tourism and aquaculture, and some non-marine sectors often with a net loss of employment opportunities. Our aim is to examine the additional pressure of climate change on coastal communities typically referred to as 'fishing towns'. Climate change may prove to be the 'tipping point' for both the fishing fleet and coastal fishing towns. The purpose of this paper is not to examine the details of climate change-which have been documented elsewhere-but to identify the effects on fishing towns. Our approach is to consider a coastal community's vulnerability to climate change in the marine environment in the context of its size, demographics, and economic characteristics. Small coastal communities characterised by an older demographic, high unemployment, a declining commercial fishing fleet, high participation in the marine sector, and limited local sea-based or land-based employment opportunities are assumed to be especially vulnerable to the effects of climate change in the marine environment. Together with qualitative survey results from 66 community members in three typical coastal communities across Australia, we provide insight into trends and change in these coastal communities. Our results suggest that the effects of climate change such as declines in fish abundances and coastal inundations, are likely to affect small coastal communities that were previously 'fishing towns'. Moreover, transformations of structure and function of communities are likely to occur as the fishing component of communities' declines further. The future of coastal communities in Australia is likely to look very different.</t>
  </si>
  <si>
    <t>[van Putten, Ingrid] CSIRO Marine &amp; Atmospher Res, CSIRO Wealth Oceans Natl Res Flagship, GPO Box 1538, Hobart, Tas 7001, Australia; [Metcalf, Sarah; Tull, Malcolm] Murdoch Univ, Sch Management &amp; Governance, Murdoch, WA 6150, Australia; [Frusher, Stewart] Univ Tasmania, Inst Marine &amp; Antarctic Studies, Hobart, Tas 7005, Australia; [Marshall, Nadine] CSIRO Ecosyst Sci &amp; Climate Adaptat Flagship, Townsville, Qld, Australia</t>
  </si>
  <si>
    <t>Commonwealth Scientific &amp; Industrial Research Organisation (CSIRO); Murdoch University; University of Tasmania; Commonwealth Scientific &amp; Industrial Research Organisation (CSIRO)</t>
  </si>
  <si>
    <t>van Putten, I (corresponding author), CSIRO Marine &amp; Atmospher Res, CSIRO Wealth Oceans Natl Res Flagship, GPO Box 1538, Hobart, Tas 7001, Australia.</t>
  </si>
  <si>
    <t>Ingrid.vanputten@csiro.au; S.Metcalf@murdoch.edu.au; Stewart.Frusher@utas.edu.au; Nadine.marshall@csiro.au; M.Tull@murdoch.edu.au</t>
  </si>
  <si>
    <t>van putten, ingrid/AAV-1301-2021; Tull, Malcolm/IWV-4012-2023</t>
  </si>
  <si>
    <t>van putten, ingrid/0000-0001-8397-9768;</t>
  </si>
  <si>
    <t>Fisheries Research and Development Corporation; Australian Department of Climate Change and Energy Efficiency</t>
  </si>
  <si>
    <t>Fisheries Research and Development Corporation; Australian Department of Climate Change and Energy Efficiency(Australian Government)</t>
  </si>
  <si>
    <t>Funding for this article was provided by the Fisheries Research and Development Corporation and the Australian Department of Climate Change and Energy Efficiency. The authors would also like to thank Dr Anne Garnett (Murdoch University), Toni Cannard (CSIRO) and two anonymous referees for their valuable comments on this paper.</t>
  </si>
  <si>
    <t>REGIONAL SCIENCE ASSOC, AUSTRALIAN &amp; NEW ZEALAND SECTION</t>
  </si>
  <si>
    <t>WOLLONGONG</t>
  </si>
  <si>
    <t>UNIV WOLLONGONG, PO BOX U236, WOLLONGONG, NSW 2500, AUSTRALIA</t>
  </si>
  <si>
    <t>1030-7923</t>
  </si>
  <si>
    <t>AUSTRALAS J REG STUD</t>
  </si>
  <si>
    <t>Australas. J. Reg. Stud.</t>
  </si>
  <si>
    <t>V00RU</t>
  </si>
  <si>
    <t>WOS:000213552500004</t>
  </si>
  <si>
    <t>Yamamoto, T; Takahashi, A; Sato, K; Oka, N; Yamamoto, M; Trathan, PN</t>
  </si>
  <si>
    <t>Yamamoto, Takashi; Takahashi, Akinori; Sato, Katsufumi; Oka, Nariko; Yamamoto, Maki; Trathan, Philip N.</t>
  </si>
  <si>
    <t>Individual consistency in migratory behaviour of a pelagic seabird</t>
  </si>
  <si>
    <t>BEHAVIOUR</t>
  </si>
  <si>
    <t>seabird; migration; individual difference; consistency; geolocator; streaked shearwater; Calonectris leucomelas</t>
  </si>
  <si>
    <t>LONG-DISTANCE MIGRANT; RECENT CLIMATE-CHANGE; STREAKED SHEARWATERS; SEA-TURTLES; PHENOTYPIC PLASTICITY; NONBREEDING PERIOD; ELEPHANT SEALS; FIDELITY; ARRIVAL; ROUTES</t>
  </si>
  <si>
    <t>Many animals migrate between breeding and wintering areas; however, whether each animal behaves consistently in space and time between consecutive years is less well understood. Furthermore, previous breeding state (successful or failed) is often not considered when attempting to understand consistent individual differences in behaviour that are likely to impact upon the subsequent behaviour. Between 2006 and 2010, we used geolocators to track the migratory movements of a pelagic seabird, the streaked shearwater Calonectris leucomelas, with individuals (N = 46) being followed for two years or more, including 23 birds that had chicks in two seasons and 23 birds in just one season. All individuals, except for one bird, migrated to the same broad wintering areas, and their migratory route as well as the centre of wintering distribution did not change in relation to the previous breeding outcomes. Migration schedules (dates of departure from the breeding colony, southward and northward migrations, and first return to the colony) did not differ significantly between years for individuals that had chicks during both years, while failed individuals left the breeding colony and appeared to start the southward migration at an earlier date than the previous successful year. Nonetheless, the timing of the southward migration was consistent within individuals, including both males and females, over successive years regardless of the previous breeding outcome, and also the timing of first return back to the colony for females that had chicks in the both previous years and eggs in the both following season. This may imply the existence of individual-specific broad time schedules, possibly a circannual rhythm, though ecological conditions might affect the exact timing of the actual departure event. Our results present evidence for high levels of individually consistent behaviour for this pelagic seabird outside the breeding season.</t>
  </si>
  <si>
    <t>[Yamamoto, Takashi; Takahashi, Akinori] Grad Univ Adv Studies, Dept Polar Sci, Tachikawa, Tokyo 1908518, Japan; [Takahashi, Akinori] Natl Inst Polar Res, Tachikawa, Tokyo 1908518, Japan; [Sato, Katsufumi] Univ Tokyo, Int Coastal Res Ctr, Atmosphere &amp; Ocean Res Inst, Kashiwa, Chiba 2778564, Japan; [Oka, Nariko] Yamashina Inst Ornithol, Div Nat Hist, Abiko, Chiba 2701145, Japan; [Yamamoto, Maki] Nagaoka Univ Technol, Dept Bioengn, Nagaoka, Niigata 9402188, Japan; [Trathan, Philip N.] British Antarctic Survey, Nat Environm Res Council, Cambridge CB3 0ET, England</t>
  </si>
  <si>
    <t>Graduate University for Advanced Studies - Japan; Research Organization of Information &amp; Systems (ROIS); National Institute of Polar Research (NIPR) - Japan; University of Tokyo; Nagaoka University of Technology; UK Research &amp; Innovation (UKRI); Natural Environment Research Council (NERC); NERC British Antarctic Survey</t>
  </si>
  <si>
    <t>Yamamoto, T (corresponding author), Natl Inst Polar Res, Arctic Environm Res Ctr, 10-3 Midoricho, Tachikawa, Tokyo 1908518, Japan.</t>
  </si>
  <si>
    <t>taka.y@nipr.ac.jp</t>
  </si>
  <si>
    <t>Takahashi, Akinori/0000-0002-9868-0408</t>
  </si>
  <si>
    <t>Japan Society for the Promotion of Science (JSPS) [22-1252]; JSPS [19651100, 19255001]; Ministry of Education, Culture, Sports, Science and Technology-Japan [19, 110]; Grants-in-Aid for Scientific Research [24810031, 19255001, 19651100] Funding Source: KAKEN; Natural Environment Research Council [bas0100025] Funding Source: researchfish; NERC [bas0100025] Funding Source: UKRI</t>
  </si>
  <si>
    <t>Japan Society for the Promotion of Science (JSPS)(Ministry of Education, Culture, Sports, Science and Technology, Japan (MEXT)Japan Society for the Promotion of Science); JSPS(Ministry of Education, Culture, Sports, Science and Technology, Japan (MEXT)Japan Society for the Promotion of Science); Ministry of Education, Culture, Sports, Science and Technology-Japan(Ministry of Education, Culture, Sports, Science and Technology, Japan (MEXT)); Grants-in-Aid for Scientific Research(Ministry of Education, Culture, Sports, Science and Technology, Japan (MEXT)Japan Society for the Promotion of ScienceGrants-in-Aid for Scientific Research (KAKENHI)); Natural Environment Research Council(UK Research &amp; Innovation (UKRI)Natural Environment Research Council (NERC)); NERC(UK Research &amp; Innovation (UKRI)Natural Environment Research Council (NERC))</t>
  </si>
  <si>
    <t>We are grateful to the late Setsuo Kurimoto, to N. Miura and T. Honbo for logistic support in the field. We also thank many colleagues for field assistance. K. Yoda, R.M. Suryan, and two anonymous reviewers provided valuable comments on the manuscript. This work was partially supported by the Japan Society for the Promotion of Science (JSPS) Research Fellowship for Young Scientists (22-1252 to T.Y.), JSPS research grants (19651100 to A.T., 19255001 to K.S.), Grant-in-Aid for Scientific Research (Special Promotion) of the Ministry of Education, Culture, Sports, Science and Technology-Japan to N.O. of YIO, Fujiwara Natural History Foundation (2009) to T.Y. (No. 19), and Cooperative Program (No. 110, 2009) of Atmosphere and Ocean Research Institute, The University of Tokyo. The work was conducted with permits from the Ministry of the Environment; Nos 060609001, 070718001, 080605001 and 090520001 for Sangan Island, 18-340, 19-354 and 20-484 for Mikura Island, and 20-28, 21-22-5 and 22-5 for Awa Island on behalf of K.S., N.O. and M.Y., respectively, and the Agency for Cultural Affairs (Nos 4-413, 4-325 and 4-486).</t>
  </si>
  <si>
    <t>BRILL ACADEMIC PUBLISHERS</t>
  </si>
  <si>
    <t>LEIDEN</t>
  </si>
  <si>
    <t>PLANTIJNSTRAAT 2, P O BOX 9000, 2300 PA LEIDEN, NETHERLANDS</t>
  </si>
  <si>
    <t>0005-7959</t>
  </si>
  <si>
    <t>1568-539X</t>
  </si>
  <si>
    <t>Behaviour</t>
  </si>
  <si>
    <t>10.1163/1568539X-00003163</t>
  </si>
  <si>
    <t>Behavioral Sciences; Zoology</t>
  </si>
  <si>
    <t>AD8WP</t>
  </si>
  <si>
    <t>WOS:000333546700008</t>
  </si>
  <si>
    <t>Antcibor, I; Eschenbach, A; Zubrzycki, S; Kutzbach, L; Bolshiyanov, D; Pfeiffer, EM</t>
  </si>
  <si>
    <t>Antcibor, I.; Eschenbach, A.; Zubrzycki, S.; Kutzbach, L.; Bolshiyanov, D.; Pfeiffer, E-M.</t>
  </si>
  <si>
    <t>Trace metal distribution in pristine permafrost-affected soils of the Lena River delta and its hinterland, northern Siberia, Russia</t>
  </si>
  <si>
    <t>SEASONAL VARIABILITY; POLYGONAL TUNDRA; PECHORA BASIN; HEAVY-METALS; 0-5 CM; POLLUTION; CLIMATE; ENVIRONMENT; CATCHMENTS; CHEMISTRY</t>
  </si>
  <si>
    <t>Soils are an important compartment of ecosystems and have the ability to buffer and immobilize substances of natural and anthropogenic origin to prevent their movement to other environment compartments. Predicted climatic changes together with other anthropogenic influences on Arctic terrestrial environments may affect biogeochemical processes enhancing leaching and migration of trace elements in permafrost-affected soils. This is especially important since Arctic ecosystems are considered to be highly sensitive to climatic changes as well as to chemical contamination. This study characterises background levels of trace metals in permafrost-affected soils of the Lena River delta and its hinterland in northern Siberia (73.5-69.5 degrees N), representing a remote region far from evident anthropogenic trace metal sources. Investigations on the element content of iron (Fe), arsenic (As), manganese (Mn), zinc (Zn), nickel (Ni), copper (Cu), lead (Pb), cadmium (Cd), cobalt (Co), and mercury (Hg) in different soil types developed in different geological parent materials have been carried out. The highest median concentrations of Fe and Mn were observed in soils belonging to ice-rich permafrost sediments formed during the Pleistocene (ice-complex) while the highest median values of Ni, Pb and Zn were found in soils of both the ice-complex and the Holocene estuarine terrace of the Lena River delta region, as well as in the southernmost study unit of the hinterland area. Detailed observations of trace metal distribution on the micro scale showed that organic matter content, soil texture and iron-oxide contents influenced by cryogenic processes, temperature, and hydrological regimes are the most important factors determining the metal abundance in permafrost-affected soils. The observed range of trace element back-ground concentrations was similar to trace metal levels reported for other pristine northern areas.</t>
  </si>
  <si>
    <t>[Antcibor, I.; Eschenbach, A.; Zubrzycki, S.; Kutzbach, L.; Pfeiffer, E-M.] Univ Hamburg, Inst Soil Sci, Hamburg, Germany; [Bolshiyanov, D.] Arctic &amp; Antarctic Res Inst, State Res Ctr, St Petersburg 199226, Russia</t>
  </si>
  <si>
    <t>University of Hamburg; Arctic &amp; Antarctic Research Institute</t>
  </si>
  <si>
    <t>Antcibor, I (corresponding author), Univ Hamburg, Inst Soil Sci, KlimaCampus, Hamburg, Germany.</t>
  </si>
  <si>
    <t>julia.antsibor@uni-hamburg.de</t>
  </si>
  <si>
    <t>Eschenbach, Annette/E-9531-2017; Zubrzycki, Sebastian/J-7418-2016; Kutzbach, Lars/L-5765-2015; Antcibor, Iuliia/G-8810-2018</t>
  </si>
  <si>
    <t>Zubrzycki, Sebastian/0000-0002-6398-9173; Pfeiffer, Eva-Maria/0000-0003-3332-8830; Kutzbach, Lars/0000-0003-2631-2742; Antcibor, Iuliia/0000-0003-1553-3355</t>
  </si>
  <si>
    <t>State Research Center - Arctic and Antarctic Research Institute, St. Petersburg, Russia; University of Hamburg; Cluster of Excellence CliSAP [EXC177]; German Research Foundation (DFG); University of Hamburg (HmbNFG); German Academic Exchange Service (DAAD); Office of Polar Programs (OPP); Directorate For Geosciences [1107997] Funding Source: National Science Foundation</t>
  </si>
  <si>
    <t>State Research Center - Arctic and Antarctic Research Institute, St. Petersburg, Russia; University of Hamburg; Cluster of Excellence CliSAP; German Research Foundation (DFG)(German Research Foundation (DFG)); University of Hamburg (HmbNFG); German Academic Exchange Service (DAAD)(Deutscher Akademischer Austausch Dienst (DAAD)); Office of Polar Programs (OPP); Directorate For Geosciences(National Science Foundation (NSF)NSF - Directorate for Geosciences (GEO))</t>
  </si>
  <si>
    <t>This study was supported by the State Research Center - Arctic and Antarctic Research Institute, St. Petersburg, Russia, the University of Hamburg, and funded by the Cluster of Excellence CliSAP (EXC177), by the German Research Foundation (DFG). The dissertation fellowship of I. Antcibor was funded by the University of Hamburg (HmbNFG) and by the German Academic Exchange Service (DAAD). We would like to thank all Russian and German colleagues who helped us during the fieldwork. The authors particularly appreciate Monika Voss and Andreas Behr for the assistance in trace metal content measurements, and Christian Wille and Benjamin Runkle for valuable advice and ideas during the preparation of this manuscript.</t>
  </si>
  <si>
    <t>10.5194/bg-11-1-2014</t>
  </si>
  <si>
    <t>WOS:000329930700001</t>
  </si>
  <si>
    <t>Browning, TJ; Bouman, HA; Moore, CM; Schlosser, C; Tarran, GA; Woodward, EMS; Henderson, GM</t>
  </si>
  <si>
    <t>Browning, T. J.; Bouman, H. A.; Moore, C. M.; Schlosser, C.; Tarran, G. A.; Woodward, E. M. S.; Henderson, G. M.</t>
  </si>
  <si>
    <t>Nutrient regimes control phytoplankton ecophysiology in the South Atlantic</t>
  </si>
  <si>
    <t>PHOTOSYNTHETIC ENERGY-CONVERSION; BASIN-SCALE VARIABILITY; IRON LIMITATION; COMMUNITY STRUCTURE; QUANTUM EFFICIENCY; KERGUELEN-ISLANDS; DISSOLVED IRON; PHOTOSYSTEM-II; MIXED-LAYER; OCEAN</t>
  </si>
  <si>
    <t>Fast Repetition Rate fluorometry (FRRf) measurements of phytoplankton photophysiology from an across-basin South Atlantic cruise (as part of the GEOTRACES programme) characterised two dominant ecophysiological regimes which were interpreted on the basis of nutrient limitation. South of the South Subtropical Convergence (SSTC) in the northern sub-Antarctic sector of the Antarctic Circumpolar Current (ACC) in the Eastern Atlantic Basin, waters are characterised by elevated chlorophyll concentrations, a dominance by larger phytoplankton cells, and low apparent photochemical efficiency (F-v/F-m). Shipboard 24 h iron (Fe) addition incubation experiments confirmed that Fe stress was primarily responsible for the low F-v/F-m, with Fe addition to these waters, either within the artificial bottle additions or naturally occurring downstream enrichment from Gough Island, significantly increasing F-v/F-m values. To the north of the SSTC at the southern boundary of the South Atlantic Gyre, phytoplankton are characterised by high values of F-v/F-m which, coupled with the low macronutrient concentrations and increased presence of picocyanobacteria, are interpreted as conditions of Fe replete, balanced macronutrient-limited growth. Spatial correlation was found between F-v/F-m and Fe: nitrate ratios, supporting the suggestion that the relative supply ratios of these two nutrients can control patterns of limitation and consequently the ecophysiology of phytoplankton in subtropical gyre and ACC regimes.</t>
  </si>
  <si>
    <t>[Browning, T. J.; Bouman, H. A.; Henderson, G. M.] Univ Oxford, Dept Earth Sci, Oxford OX1 3PR, England; [Moore, C. M.; Schlosser, C.] Univ Southampton, Natl Oceanog Ctr Southampton, Southampton, Hants, England; [Tarran, G. A.; Woodward, E. M. S.] Plymouth Marine Lab, Plymouth, Devon, England</t>
  </si>
  <si>
    <t>University of Oxford; NERC National Oceanography Centre; University of Southampton; Plymouth Marine Laboratory</t>
  </si>
  <si>
    <t>Browning, TJ (corresponding author), Univ Oxford, Dept Earth Sci, South Parks Rd, Oxford OX1 3PR, England.</t>
  </si>
  <si>
    <t>thomasb@earth.ox.ac.uk</t>
  </si>
  <si>
    <t>Browning, Thomas J/B-8451-2019; Woodward, Ernest M S/D-5755-2016</t>
  </si>
  <si>
    <t>Browning, Thomas J/0000-0002-2864-6087; Henderson, Gideon/0000-0002-6279-7137; Moore, Mark/0000-0002-9541-6046</t>
  </si>
  <si>
    <t>UK-GEOTRACES National Environment Research Council (NERC) Consortium Grant [NE/H006095/1]; NERC [NE/H004289/1, pml010002, NE/F017316/1, NE/H006095/1] Funding Source: UKRI; Natural Environment Research Council [NE/H006095/1, pml010002, NE/F017316/1, NE/H004289/1] Funding Source: researchfish</t>
  </si>
  <si>
    <t>UK-GEOTRACES National Environment Research Council (NERC) Consortium Grant; NERC(UK Research &amp; Innovation (UKRI)Natural Environment Research Council (NERC)); Natural Environment Research Council(UK Research &amp; Innovation (UKRI)Natural Environment Research Council (NERC))</t>
  </si>
  <si>
    <t>We thank the officers, crew, technicians and scientists of the RRS James Cook for their help on the UK-GEOTRACES JC068 cruise. We thank two anonymous reviewers who provided helpful comments which improved the manuscript. This work was funded by the UK-GEOTRACES National Environment Research Council (NERC) Consortium Grant (NE/H006095/1) which included a studentship to T. J. Browning.</t>
  </si>
  <si>
    <t>10.5194/bg-11-463-2014</t>
  </si>
  <si>
    <t>AA7EU</t>
  </si>
  <si>
    <t>WOS:000331260900019</t>
  </si>
  <si>
    <t>Piquet, AMT; van de Poll, WH; Visser, RJW; Wiencke, C; Bolhuis, H; Buma, AGJ</t>
  </si>
  <si>
    <t>Piquet, A. M. -T.; van de Poll, W. H.; Visser, R. J. W.; Wiencke, C.; Bolhuis, H.; Buma, A. G. J.</t>
  </si>
  <si>
    <t>Springtime phytoplankton dynamics in Arctic Krossfjorden and Kongsfjorden (Spitsbergen) as a function of glacier proximity</t>
  </si>
  <si>
    <t>MICROBIAL EUKARYOTES; ANTARCTIC PENINSULA; FJORD KONGSFJORDEN; COMMUNITIES; DIVERSITY; SVALBARD; SUMMER; OCEAN; ASSEMBLAGES; VARIABILITY</t>
  </si>
  <si>
    <t>The hydrographic properties of the Kongsfjorden-Krossfjorden system (79 degrees N, Spitsbergen) are affected by Atlantic water incursions as well as glacier meltwater runoff. This results in strong physical gradients (temperature, salinity and irradiance) within the fjords. Here, we tested the hypothesis that glaciers affect phytoplankton dynamics as early as the productive spring bloom period. During two campaigns in 2007 (late spring) and 2008 (early spring) we studied hydrographic characteristics and phytoplankton variability along two transects in both fjords, using high-performance liquid chromatography (HPLC)-CHEMTAX pigment fingerprinting, molecular fingerprinting (denaturing gradient gel electrophoresis, or DGGE) and sequencing of 18S rRNA genes. The sheltered inner fjord locations remained colder during spring as opposed to the outer locations. Vertical light attenuation coefficients increased from early spring onwards, at all locations, but in particular at the inner locations. In late spring meltwater input caused stratification of surface waters in both fjords. The inner fjord locations were characterized by overall lower phytoplankton biomass. Furthermore HPLC-CHEMTAX data revealed that diatoms and Phaeocystis sp. were replaced by small nano-and picophytoplankton during late spring, coinciding with low nutrient availability. The innermost stations showed higher relative abundances of nano-and picophytoplankton throughout, notably of cyanophytes and cryptophytes. Molecular fingerprinting revealed a high similarity between inner fjord samples from early spring and late spring samples from all locations, while outer samples from early spring clustered separately. We conclude that glacier influence, mediated by early meltwater input, modifies phytoplankton biomass and composition already during the spring bloom period, in favor of low biomass and small cell size communities. This may affect higher trophic levels especially when regional warming further increases the period and volume of meltwater.</t>
  </si>
  <si>
    <t>[Piquet, A. M. -T.; Visser, R. J. W.; Buma, A. G. J.] Univ Groningen, Energy &amp; Sustainabil Res Inst Groningen, Dept Ocean Ecosyst, NL-9747 AG Groningen, Netherlands; [van de Poll, W. H.] Royal Netherlands Inst Sea Res, Dept Biol Oceanog, NL-1790 AB Den Burg, Texel, Netherlands; [Wiencke, C.] Alfred Wegener Inst, Dept Funct Ecol, D-27570 Bremerhaven, Germany; [Bolhuis, H.] Royal Netherlands Inst Sea Res, NL-4400 AC Yerseke, Netherlands</t>
  </si>
  <si>
    <t>University of Groningen; Utrecht University; Royal Netherlands Institute for Sea Research (NIOZ); Helmholtz Association; Alfred Wegener Institute, Helmholtz Centre for Polar &amp; Marine Research; Utrecht University; Royal Netherlands Institute for Sea Research (NIOZ)</t>
  </si>
  <si>
    <t>Piquet, AMT (corresponding author), Univ Groningen, Energy &amp; Sustainabil Res Inst Groningen, Dept Ocean Ecosyst, Nijenborgh 7, NL-9747 AG Groningen, Netherlands.</t>
  </si>
  <si>
    <t>a.m.t.piquet@rug.nl</t>
  </si>
  <si>
    <t>Bolhuis, Henk/M-6677-2019; Bolhuis, Henk/S-2986-2019; Buma, Anita GJ/E-8372-2015</t>
  </si>
  <si>
    <t>Bolhuis, Henk/0000-0002-4772-1898; van de Poll, Willem/0000-0003-4095-4338</t>
  </si>
  <si>
    <t>NWO; AWI</t>
  </si>
  <si>
    <t>NWO(Netherlands Organization for Scientific Research (NWO)); AWI</t>
  </si>
  <si>
    <t>This research was financed by NWO, as part of the IPY-PAME framework. Field work at Koldeway station was supported and financed by AWI. We thank the Kings Bay AS personnel, in particular the captain of MS Teisten and the Kings Bay Marine Laboratory manager, for their excellent logistic support. Thanks to Douwe Maat for his valuable contribution during the 2008 fieldwork campaign. Nutrient analyses were run at the NIOZ by Jan van Ooijen. We are grateful for the microscopy analyses performed by Loes A. H. Venekamp.</t>
  </si>
  <si>
    <t>10.5194/bg-11-2263-2014</t>
  </si>
  <si>
    <t>AG4FH</t>
  </si>
  <si>
    <t>WOS:000335374200010</t>
  </si>
  <si>
    <t>Death, R; Wadham, JL; Monteiro, F; Le Brocq, AM; Tranter, M; Ridgwell, A; Dutkiewicz, S; Raiswell, R</t>
  </si>
  <si>
    <t>Death, R.; Wadham, J. L.; Monteiro, F.; Le Brocq, A. M.; Tranter, M.; Ridgwell, A.; Dutkiewicz, S.; Raiswell, R.</t>
  </si>
  <si>
    <t>Antarctic ice sheet fertilises the Southern Ocean</t>
  </si>
  <si>
    <t>ATMOSPHERIC IRON DEPOSITION; DISSOLVED IRON; PRIMARY PRODUCTIVITY; PHYTOPLANKTON; ICEBERGS; WEST; DISTRIBUTIONS; VARIABILITY; THICKNESS; DYNAMICS</t>
  </si>
  <si>
    <t>Southern Ocean (SO) marine primary productivity (PP) is strongly influenced by the availability of iron in surface waters, which is thought to exert a significant control upon atmospheric CO2 concentrations on glacial/interglacial timescales. The zone bordering the Antarctic Ice Sheet exhibits high PP and seasonal plankton blooms in response to light and variations in iron availability. The sources of iron stimulating elevated SO PP are in debate. Established contributors include dust, coastal sediments/upwelling, icebergs and sea ice. Subglacial meltwater exported at the ice margin is a more recent suggestion, arising from intense iron cycling beneath the ice sheet. Icebergs and subglacial meltwater may supply a large amount of bioavailable iron to the SO, estimated in this study at 0.07-0.2 Tg yr(-1). Here we apply the MIT global ocean model (Follows et al., 2007) to determine the potential impact of this level of iron export from the ice sheet upon SO PP. The export of iron from the ice sheet raises modelled SO PP by up to 40 %, and provides one plausible explanation for seasonally very high in situ measurements of PP in the near-coastal zone. The impact on SO PP is greatest in coastal regions, which are also areas of high measured marine PP. These results suggest that the export of Antarctic runoff and icebergs may have an important impact on SO PP and should be included in future biogeochemical modelling.</t>
  </si>
  <si>
    <t>[Death, R.; Wadham, J. L.; Monteiro, F.; Tranter, M.; Ridgwell, A.] Univ Bristol, Sch Geog Sci, Bristol BS8 1SS, Avon, England; [Le Brocq, A. M.] Univ Exeter, Coll Life &amp; Environm Sci, Exeter EX4 4RJ, Devon, England; [Dutkiewicz, S.] MIT, Dept Earth Atmosphere &amp; Planetary Sci, Cambridge, MA 02139 USA; [Raiswell, R.] Univ Leeds, Sch Earth &amp; Environm, Leeds LS2 9JT, W Yorkshire, England</t>
  </si>
  <si>
    <t>University of Bristol; University of Exeter; Massachusetts Institute of Technology (MIT); University of Leeds</t>
  </si>
  <si>
    <t>Wadham, JL (corresponding author), Univ Bristol, Sch Geog Sci, Bristol BS8 1SS, Avon, England.</t>
  </si>
  <si>
    <t>j.l.wadham@bris.ac.uk</t>
  </si>
  <si>
    <t>Wadham, Jemma L/G-3138-2014; Ridgwell, Andy/AAD-9487-2021; Tranter, Martyn/E-3722-2010; Monteiro, Fanny/B-8591-2011</t>
  </si>
  <si>
    <t>Ridgwell, Andy/0000-0003-2333-0128; Tranter, Martyn/0000-0003-2071-3094; Monteiro, Fanny/0000-0002-8790-0188</t>
  </si>
  <si>
    <t>Philip Leverhulme Prize; Leverhulme Research Fellowship; Leverhulme [F/00182/BY]; Royal Society; European Community; NERC [NE/J019062/1]; US National Science Foundation (NSF); NERC [NE/E004016/1, NE/J019062/1, NE/G005028/1] Funding Source: UKRI; Natural Environment Research Council [NE/G005028/1, NE/E004016/1, NE/J019062/1, NER/B/S/2003/00762] Funding Source: researchfish</t>
  </si>
  <si>
    <t>Philip Leverhulme Prize(Leverhulme Trust); Leverhulme Research Fellowship(Leverhulme Trust); Leverhulme(Leverhulme Trust); Royal Society(Royal Society); European Community; NERC(UK Research &amp; Innovation (UKRI)Natural Environment Research Council (NERC)); US National Science Foundation (NSF)(National Science Foundation (NSF)); NERC(UK Research &amp; Innovation (UKRI)Natural Environment Research Council (NERC)); Natural Environment Research Council(UK Research &amp; Innovation (UKRI)Natural Environment Research Council (NERC))</t>
  </si>
  <si>
    <t>We acknowledge support from the following sources: Philip Leverhulme Prize and a Leverhulme Research Fellowship to J. L. Wadham and Leverhulme grant F/00182/BY to Tranter, the latter providing support to R. Death as PDRA. A. Ridgwell is supported by a Royal Society Fellowship and F. Monteiro by Marie Curie Intra European Fellowship within the 7th European Community Framework Programme and NERC Fellowship NE/J019062/1. This research used data provided by the Ocean Drilling Program (ODP). ODP is sponsored by the US National Science Foundation (NSF) and participating countries under management of Joint Oceanographic Institutions (JOI), Inc. We would also like to thank Alessandro Tagliabue for providing the Southern Ocean observational iron data set.</t>
  </si>
  <si>
    <t>10.5194/bg-11-2635-2014</t>
  </si>
  <si>
    <t>WOS:000337947500006</t>
  </si>
  <si>
    <t>Gattuso, JP; Kirkwood, W; Barry, JP; Cox, E; Gazeau, F; Hansson, L; Hendriks, I; Kline, DI; Mahacek, P; Martin, S; McElhany, P; Peltzer, ET; Reeve, J; Roberts, D; Saderne, V; Tait, K; Widdicombe, S; Brewer, PG</t>
  </si>
  <si>
    <t>Gattuso, J. -P.; Kirkwood, W.; Barry, J. P.; Cox, E.; Gazeau, F.; Hansson, L.; Hendriks, I.; Kline, D. I.; Mahacek, P.; Martin, S.; McElhany, P.; Peltzer, E. T.; Reeve, J.; Roberts, D.; Saderne, V.; Tait, K.; Widdicombe, S.; Brewer, P. G.</t>
  </si>
  <si>
    <t>Free-ocean CO2 enrichment (FOCE) systems: present status and future developments</t>
  </si>
  <si>
    <t>CARBON-DIOXIDE; ACIDIFICATION; PSEUDOREPLICATION; IMPACT; PH; ORGANISMS; RESPONSES; OPPORTUNITIES; METABOLISM; CHEMISTRY</t>
  </si>
  <si>
    <t>Free-ocean CO2 enrichment (FOCE) systems are designed to assess the impact of ocean acidification on biological communities in situ for extended periods of time (weeks to months). They overcome some of the drawbacks of laboratory experiments and field observations by enabling (1) precise control of CO2 enrichment by monitoring pH as an offset of ambient pH, (2) consideration of indirect effects such as those mediated through interspecific relationships and food webs, and (3) relatively long experiments with intact communities. Bringing perturbation experiments from the laboratory to the field is, however, extremely challenging. The main goal of this paper is to provide guidelines on the general design, engineering, and sensor options required to conduct FOCE experiments. Another goal is to introduce xFOCE, a community-led initiative to promote awareness, provide resources for in situ perturbation experiments, and build a user community. Present and existing FOCE systems are briefly described and examples of data collected presented. Future developments are also addressed as it is anticipated that the next generation of FOCE systems will include, in addition to pH, options for oxygen and/or temperature control. FOCE systems should become an important experimental approach for projecting the future response of marine ecosystems to environmental change.</t>
  </si>
  <si>
    <t>[Gattuso, J. -P.; Cox, E.; Gazeau, F.; Mahacek, P.] Univ Paris 06, Sorbonne Univ, Observ Oceanol, F-06230 Villefranche Sur Mer, France; [Gattuso, J. -P.; Cox, E.; Gazeau, F.; Mahacek, P.] CNRS INSU, Lab Oceanog Villefranche, F-06230 Villefranche Sur Mer, France; [Kirkwood, W.; Barry, J. P.; Peltzer, E. T.; Brewer, P. G.] Monterey Bay Aquarium Res Inst, Moss Landing, CA 95039 USA; [Hansson, L.] IAEA Environm Labs, Ocean Acidificat Int Coordinat Ctr, Monaco 98000, Monaco; [Hendriks, I.] Inst Mediterraneo Estudios Avanzados, IMEDEA CSIC UIB, Global Change Dept, Esporles 07190, Mallorca, Spain; [Kline, D. I.] Univ Calif San Diego, Integrat Oceanog Div, Scripps Inst Oceanog, La Jolla, CA 92093 USA; [Martin, S.] Univ Paris 06, Sorbonne Univ, Stn Biol, F-29688 Roscoff, France; [Martin, S.] CNRS, Stn Biol, F-29688 Roscoff, France; [McElhany, P.] NOAA, Conservat Biol Div, NW Fisheries Sci Ctr, Natl Marine Fisheries Serv, Seattle, WA 98112 USA; [Reeve, J.] Channel Highway, Dept Environm, Kingston, Tas, Australia; [Roberts, D.] Univ Tasmania, Antarctic Climate &amp; Ecosyst Cooperat Res Ctr, Hobart, Tas 7001, Australia; [Saderne, V.] GEOMAR Helmholtz Ctr Ocean Res Kiel, Benth Ecol Grp, Kiel, Schleswig Holst, Germany; [Tait, K.; Widdicombe, S.] Plymouth Marine Lab, Plymouth PL1 3DH, Devon, England</t>
  </si>
  <si>
    <t>Sorbonne Universite; Sorbonne Universite; Centre National de la Recherche Scientifique (CNRS); CNRS - National Institute for Earth Sciences &amp; Astronomy (INSU); Monterey Bay Aquarium Research Institute; Universitat de les Illes Balears; Consejo Superior de Investigaciones Cientificas (CSIC); ATTITUS Educacao; University of California System; University of California San Diego; Scripps Institution of Oceanography; Sorbonne Universite; Centre National de la Recherche Scientifique (CNRS); Sorbonne Universite; National Oceanic Atmospheric Admin (NOAA) - USA; Antarctic Climate &amp; Ecosystems Cooperative Research Centre (ACE CRC); University of Tasmania; Helmholtz Association; GEOMAR Helmholtz Center for Ocean Research Kiel; Plymouth Marine Laboratory</t>
  </si>
  <si>
    <t>Gattuso, JP (corresponding author), Univ Paris 06, Sorbonne Univ, Observ Oceanol, F-06230 Villefranche Sur Mer, France.</t>
  </si>
  <si>
    <t>gattuso@obs-vlfr.fr</t>
  </si>
  <si>
    <t>Gattuso, Jean-Pierre/AAG-8643-2019; Saderne, Vincent/ABE-5850-2020; Saderne, Vincent/JCD-7500-2023; Gazeau, Frédéric/G-3050-2011; Hendriks, Iris Eline/O-4696-2019; Gattuso, Jean-Pierre/E-6631-2010; Martin, Sophie G/AAE-3198-2019; Hendriks, Iris/C-3316-2013</t>
  </si>
  <si>
    <t>Gattuso, Jean-Pierre/0000-0002-4533-4114; Gazeau, Frédéric/0000-0001-8807-4597; Martin, Sophie G/0000-0002-5317-2557; Hendriks, Iris/0000-0002-2238-6018; Peltzer, Edward/0000-0003-2821-3553; Roberts, Donna/0000-0001-6701-6662; Brewer, Peter/0000-0002-5448-0199; Tait, Karen/0000-0001-8137-6998; MARTIN, Sophie/0000-0002-1256-3674; Kline, David/0000-0001-5128-9439</t>
  </si>
  <si>
    <t>The BNP Paribas Foundation; MBARI; Australian Research Council; Pacific Blue Foundation; University of Queensland; BNP Paribas Foundation; CNRS; Universite Pierre et Marie Curie-Paris 6; Center for Solutions; Hopkins Marine Station; Antarctic Climate and Ecosystem CRC; Australian Antarctic Division; University of Tasmania; The International Atomic Energy Agency, government of the Principality of Monaco; NERC [pml010004, NE/H01747X/1] Funding Source: UKRI; Natural Environment Research Council [NE/H01747X/1, pml010004] Funding Source: researchfish</t>
  </si>
  <si>
    <t>The BNP Paribas Foundation; MBARI; Australian Research Council(Australian Research Council); Pacific Blue Foundation; University of Queensland(University of Queensland); BNP Paribas Foundation; CNRS(Centre National de la Recherche Scientifique (CNRS)); Universite Pierre et Marie Curie-Paris 6; Center for Solutions; Hopkins Marine Station; Antarctic Climate and Ecosystem CRC(Australian GovernmentDepartment of Industry, Innovation and ScienceCooperative Research Centres (CRC) Programme); Australian Antarctic Division; University of Tasmania; The International Atomic Energy Agency, government of the Principality of Monaco; NERC(UK Research &amp; Innovation (UKRI)Natural Environment Research Council (NERC)); Natural Environment Research Council(UK Research &amp; Innovation (UKRI)Natural Environment Research Council (NERC))</t>
  </si>
  <si>
    <t>The BNP Paribas Foundation is gratefully acknowledged for its support of the 2012 and 2013 xFOCE meetings and for supporting a 52 min eFOCE documentary. Additional support for the 2013 meeting was provided by the French Embassy in Washington DC. dpFOCE was supported by MBARI; cpFOCE by the Australian Research Council, the Pacific Blue Foundation, and the University of Queensland; eFOCE by the BNP Paribas Foundation, CNRS, and Universite Pierre et Marie Curie-Paris 6; and swFOCE by MBARI, the Center for Solutions, and Hopkins Marine Station; antFOCE by the Australian Research Council, the Antarctic Climate and Ecosystem CRC, MBARI, the Australian Antarctic Division, and the University of Tasmania. The International Atomic Energy Agency is grateful for the support provided to its Environment Laboratories by the government of the Principality of Monaco. E. Acain and M. Khamla kindly helped in producing Fig. 1. The contribution of the following individuals is gratefully acknowledged: E. Acain, J. Acain, S. Alliouane, R. Patrix, and E. Tanguy. The comments and suggestions of S. Dupont and K. Yates significantly improved an earlier version of this paper.</t>
  </si>
  <si>
    <t>10.5194/bg-11-4057-2014</t>
  </si>
  <si>
    <t>AO1VU</t>
  </si>
  <si>
    <t>WOS:000341104400002</t>
  </si>
  <si>
    <t>Koch, BP; Kattner, G; Witt, M; Passow, U</t>
  </si>
  <si>
    <t>Koch, B. P.; Kattner, G.; Witt, M.; Passow, U.</t>
  </si>
  <si>
    <t>Molecular insights into the microbial formation of marine dissolved organic matter: recalcitrant or labile?</t>
  </si>
  <si>
    <t>TRANSPARENT EXOPOLYMER PARTICLES; LIQUID-CHROMATOGRAPHY; BACTERIAL UTILIZATION; OPTICAL-PROPERTIES; GROWTH EFFICIENCY; CARBON-CYCLE; TEP; DOM; TRANSFORMATION; DEGRADATION</t>
  </si>
  <si>
    <t>The degradation of marine dissolved organic matter (DOM) is an important control variable in the global carbon cycle. For our understanding of the kinetics of organic matter cycling in the ocean, it is crucial to achieve a mechanistic and molecular understanding of its transformation processes. A long-term microbial experiment was performed to follow the production of non-labile DOM by marine bacteria. Two different glucose concentrations and dissolved algal exudates were used as substrates. We monitored the bacterial abundance, concentrations of dissolved and particulate organic carbon (DOC, POC), nutrients, amino acids and transparent exopolymer particles (TEP) for 2 years. The molecular characterization of extracted DOM was performed by ultrahigh resolution Fourier transform ion cyclotron resonance mass spectrometry (FT-ICR MS) after 70 days and after similar to 2 years of incubation. Although glucose quickly degraded, a non-labile DOC background (5-9% of the initial DOC) was generated in the glucose incubations. Only 20% of the organic carbon from the algal exudate degraded within the 2 years of incubation. The degradation rates for the non-labile DOC background in the different treatments varied between 1 and 11 mol DOCL-1 year(-1). Transparent exopolymer particles, which are released by microorganisms, were produced during glucose degradation but decreased back to half of the maximum concentration within less than 3 weeks (degradation rate: 25 mu g xanthan gum equivalents L-1 d(-1)) and were below detection in all treatments after 2 years. Additional glucose was added after 2 years to test whether labile substrate can promote the degradation of background DOC (co-metabolism; priming effect). A priming effect was not observed but the glucose addition led to a slight increase of background DOC. The molecular analysis demonstrated that DOM generated during glucose degradation differed appreciably from DOM transformed during the degradation of the algal exudates. Our results led to several conclusions: (i) based on our experimental setup, higher substrate concentration resulted in a higher concentration of non-labile DOC; (ii) TEP, generated by bacteria, degrade rapidly, thus limiting their potential contribution to carbon sequestration; (iii) the molecular signatures of DOM derived from algal exudates and glucose after 70 days of incubation differed strongly from refractory DOM. After 2 years, however, the molecular patterns of DOM in glucose incubations were more similar to deep ocean DOM whereas the degraded exudate was still different.</t>
  </si>
  <si>
    <t>[Koch, B. P.; Kattner, G.] Alfred Wegener Inst Polar &amp; Marine Res, Helmholtz Zentrum Polar &amp; Meeresforsch, D-27570 Bremerhaven, Germany; [Koch, B. P.] Univ Appl Sci, D-27568 Bremerhaven, Germany; [Witt, M.] Bruker Daltonik GmbH, D-28359 Bremen, Germany; [Passow, U.] Univ Calif Santa Barbara, Inst Marine Sci, Santa Barbara, CA 93106 USA</t>
  </si>
  <si>
    <t>Helmholtz Association; Alfred Wegener Institute, Helmholtz Centre for Polar &amp; Marine Research; Bruker Corporation; Bruker Daltonik GmbH; University of California System; University of California Santa Barbara</t>
  </si>
  <si>
    <t>Koch, BP (corresponding author), Alfred Wegener Inst Polar &amp; Marine Res, Helmholtz Zentrum Polar &amp; Meeresforsch, Handelshafen 12, D-27570 Bremerhaven, Germany.</t>
  </si>
  <si>
    <t>boris.koch@awi.de</t>
  </si>
  <si>
    <t>Koch, Boris/B-2784-2009</t>
  </si>
  <si>
    <t>Koch, Boris/0000-0002-8453-731X</t>
  </si>
  <si>
    <t>Deutsche Forschungsgemeinschaft (DFG) [DFG KO 2164/3-1]; Directorate For Geosciences [1041038] Funding Source: National Science Foundation; Division Of Ocean Sciences [1041038] Funding Source: National Science Foundation</t>
  </si>
  <si>
    <t>Deutsche Forschungsgemeinschaft (DFG)(German Research Foundation (DFG)); Directorate For Geosciences(National Science Foundation (NSF)NSF - Directorate for Geosciences (GEO)); Division Of Ocean Sciences(National Science Foundation (NSF)NSF - Directorate for Geosciences (GEO))</t>
  </si>
  <si>
    <t>Two anonymous reviewers and Ronald Benner are acknowledged for their helpful and constructive suggestions. Also, many thanks to Helmuth Thomas for handling the manuscript as the guest editor of this special issue. We thank Kai-Uwe Ludwichowski for amino acid and glucose analyses, Nadine Bitter, Sonja Wiegmann and Tina Brenneis for cell counting and Anika Schroer for assistance during the sampling. We also acknowledge Elisabeth Helmke, Oliver Lechtenfeld and Paul del Giorgio for the helpful discussion. This work was supported by the Deutsche Forschungsgemeinschaft (DFG) in the framework of the priority program Antarctic Research with comparative investigations in Arctic ice areas (grant DFG KO 2164/3-1).</t>
  </si>
  <si>
    <t>10.5194/bg-11-4173-2014</t>
  </si>
  <si>
    <t>WOS:000341104400009</t>
  </si>
  <si>
    <t>Heim, B; Abramova, E; Doerffer, R; Günther, F; Hölemann, J; Kraberg, A; Lantuit, H; Loginova, A; Martynov, F; Overduin, PP; Wegner, C</t>
  </si>
  <si>
    <t>Heim, B.; Abramova, E.; Doerffer, R.; Guenther, F.; Hoelemann, J.; Kraberg, A.; Lantuit, H.; Loginova, A.; Martynov, F.; Overduin, P. P.; Wegner, C.</t>
  </si>
  <si>
    <t>Ocean colour remote sensing in the southern Laptev Sea: evaluation and applications</t>
  </si>
  <si>
    <t>DISSOLVED ORGANIC-MATTER; BUOR-KHAYA BAY; ARCTIC-OCEAN; LENA RIVER; BEAUFORT SEA; INTERANNUAL VARIABILITY; SEDIMENT TRANSPORT; COASTAL EROSION; FRESH-WATER; CARBON</t>
  </si>
  <si>
    <t>Enhanced permafrost warming and increased Arctic river discharges have heightened concern about the input of terrigenous matter into Arctic coastal waters. We used optical operational satellite data from the ocean colour sensor MERIS (Medium-Resolution Imaging Spectrometer) aboard the ENVISAT satellite mission for synoptic monitoring of the pathways of terrigenous matter on the shallow Laptev Sea shelf. Despite the high cloud coverage in summer that is inherent to this Arctic region, time series from MERIS satellite data from 2006 on to 2011 could be acquired and were processed using the Case-2 Regional Processor (C2R) for optically complex surface waters installed in the open-source software ESA BEAM-VISAT. Since optical remote sensing using ocean colour satellite data has seen little application in Siberian Arctic coastal and shelf waters, we assess the applicability of the calculated MERIS C2R parameters with surface water sampling data from the Russian-German ship expeditions LENA2008, LENA2010 and TRANSDRIFT-XVII taking place in August 2008 and August and September 2010 in the southern Laptev Sea. The shallow Siberian shelf waters are optically not comparable to the deeper, more transparent waters of the Arctic Ocean. The inner-shelf waters are characterized by low transparencies, due to turbid river water input, terrestrial input by coastal erosion, resuspension events and, therefore, high background concentrations of suspended particulate matter and coloured dissolved organic matter. We compared the field-based measurements with the satellite data that are closest in time. The match-up analyses related to LENA2008 and LENA2010 expedition data show the technical limits of matching in optically highly heterogeneous and dynamic shallow inner-shelf waters. The matchup analyses using the data from the marine TRANSDRIFT expedition were constrained by several days' difference between a match-up pair of satellite-derived and in situ parameters but are also based on the more stable hydrodynamic conditions of the deeper inner-and the outer-shelf waters. The relationship of satellite-derived turbidity-related parameters versus in situ suspended matter from TRANSDRIFT data shows that the backscattering coefficient C2R_bb_spm can be used to derive a Laptev-Sea-adapted SPM algorithm. Satellite-derived Chl a estimates are highly overestimated by a minimum factor of 10 if applied to the inner-shelf region due to elevated concentrations of terrestrial organic matter. To evaluate the applicability of ocean colour remote sensing, we include the visual analysis of lateral hydrographical features. The mapped turbidity-related MERIS C2R parameters show that the Laptev Sea is dominated by resuspension above submarine shallow banks and by frontal instabilities such as frontal meanders with amplitudes up to 30 km and eddies and filaments with horizontal scales up to 100 km that prevail throughout the sea-ice-free season. The widespread turbidity above submarine shallow banks indicates inner-shelf vertical mixing that seems frequently to reach down to submarine depths of a minimum of 10 m. The resuspension events and the frontal meanders, filaments and eddies indicate enhanced vertical mixing being widespread on the inner shelf. It is a new finding for the Laptev Sea that numerous frontal instabilities are made visible, and how highly time-dependent and turbulent the Laptev Sea shelf is. The meanders, filaments and eddies revealed by the ocean colour parameters indicate the lateral transportation pathways of terrestrial and living biological material in surface waters.</t>
  </si>
  <si>
    <t>[Heim, B.; Guenther, F.; Hoelemann, J.; Kraberg, A.; Lantuit, H.; Overduin, P. P.] Alfred Wegener Inst, Helmholtz Zentrum Polar &amp; Meeresforsch, Bremerhaven, Germany; [Doerffer, R.] Helmholtz Ctr Geesthacht HZG, Inst Coastal Res, Geesthacht, Germany; [Loginova, A.; Wegner, C.] GEOMAR Helmholtz Ctr Ocean Res, Kiel, Germany; [Loginova, A.; Martynov, F.] St Petersburg Univ, St Petersburg, Russia; [Abramova, E.] Lena Tiksi Reservate, St Petersburg, Russia; [Abramova, E.; Hoelemann, J.; Loginova, A.; Martynov, F.] Arctic &amp; Antarctic Res Inst, Otto Schmidt Lab, St Petersburg 199226, Russia</t>
  </si>
  <si>
    <t>Helmholtz Association; Alfred Wegener Institute, Helmholtz Centre for Polar &amp; Marine Research; Helmholtz Association; Helmholtz-Zentrum Hereon; Helmholtz Association; GEOMAR Helmholtz Center for Ocean Research Kiel; Saint Petersburg State University; Arctic &amp; Antarctic Research Institute</t>
  </si>
  <si>
    <t>Heim, B (corresponding author), Alfred Wegener Inst, Helmholtz Zentrum Polar &amp; Meeresforsch, Bremerhaven, Germany.</t>
  </si>
  <si>
    <t>birgit.heim@awi.de</t>
  </si>
  <si>
    <t>Overduin, Paul P/B-3258-2017; Lantuit, Hugues/ABC-8692-2020; Günther, Frank/O-5226-2015; Hoelemann, Jens/N-3608-2016; Heim, Birgit/B-2815-2017</t>
  </si>
  <si>
    <t>Overduin, Paul P/0000-0001-9849-4712; Lantuit, Hugues/0000-0003-1497-6760; Günther, Frank/0000-0001-8298-8937; Kraberg, Alexandra/0000-0003-2571-2074; Hoelemann, Jens/0000-0001-5102-4086; Heim, Birgit/0000-0003-2614-9391; Loginova, Alexandra/0000-0003-2805-7386</t>
  </si>
  <si>
    <t>German Science Foundation [DFG 4575]; Helmholtz Climate Initiative REKLIM (Regionale Klimaanderungen/Regional climate change); AWI (Germany); Arctic and Antarctic Research Institute (AARI; St. Petersburg, RU); German Federal Ministry for Education and Research; Russian Ministry of Education and Science; The ESA ENVISAT project [MERIS-ID 5504]; German Aerospace Agency (DLR) [424]; ESA</t>
  </si>
  <si>
    <t>German Science Foundation(German Research Foundation (DFG)); Helmholtz Climate Initiative REKLIM (Regionale Klimaanderungen/Regional climate change); AWI (Germany); Arctic and Antarctic Research Institute (AARI; St. Petersburg, RU); German Federal Ministry for Education and Research(Federal Ministry of Education &amp; Research (BMBF)); Russian Ministry of Education and Science(Ministry of Education and Science, Russian Federation); The ESA ENVISAT project; German Aerospace Agency (DLR)(Helmholtz AssociationGerman Aerospace Centre (DLR)); ESA(European Space Agency)</t>
  </si>
  <si>
    <t>This work is supported by the German Science Foundation (DFG 4575) and the Helmholtz Climate Initiative REKLIM (Regionale Klimaanderungen/Regional climate change). The Russian-German LENA08 and LENA10 ship expeditions are supported and organized by the AWI (Germany) and the Arctic and Antarctic Research Institute (AARI; St. Petersburg, RU). The vessels used were the Russian river vessel Puteyski 405 in 2008 and 2010, and PTS TB-0012 in the Buor-Khaya Gulf in 2010. The TRANSDRIFT expedition is an integral part of the joined Russian-German project Laptev Sea System funded by the German Federal Ministry for Education and Research and the Russian Ministry of Education and Science. The vessel used for the TRANSDRIFT-XVII expedition in September 2010 was the RV NIKOLAY EVGENOV. We thank the captains and the crews for their support.; The ESA ENVISAT project (MERIS-ID 5504) granted the used MERIS data. We thank the German Aerospace Agency (DLR) for providing RapidEye data from the RESA (RapidEye Science Archive) programme (grant number 424 Geomonitoring PROGRESS). BEAM-VISAT is open-source software initiated by ESA and developed and realized by Brockmann Consult (DE). The C2R processor has been developed as a joint effort between the HZG Research Centre, Institute for Coastal Research, and Brockmann Consult, under ESA contract.</t>
  </si>
  <si>
    <t>10.5194/bg-11-4191-2014</t>
  </si>
  <si>
    <t>WOS:000341104400010</t>
  </si>
  <si>
    <t>Wang, S; Bailey, D; Lindsay, K; Moore, JK; Holland, M</t>
  </si>
  <si>
    <t>Wang, S.; Bailey, D.; Lindsay, K.; Moore, J. K.; Holland, M.</t>
  </si>
  <si>
    <t>Impact of sea ice on the marine iron cycle and phytoplankton productivity</t>
  </si>
  <si>
    <t>ROSS SEA; DISSOLVED IRON; SOUTHERN-OCEAN; SPATIAL-DISTRIBUTION; ECOSYSTEM MODEL; AMUNDSEN SEA; DUST; DISTRIBUTIONS; VARIABILITY; SEDIMENTS</t>
  </si>
  <si>
    <t>Iron is a key nutrient for phytoplankton growth in the surface ocean. At high latitudes, the iron cycle is closely related to the dynamics of sea ice. In recent decades, Arctic sea ice cover has been declining rapidly and Antarctic sea ice has exhibited large regional trends. A significant reduction of sea ice in both hemispheres is projected in future climate scenarios. In order to adequately study the effect of sea ice on the polar iron cycle, sea ice bearing iron was incorporated in the Community Earth System Model (CESM). Sea ice acts as a reservoir for iron during winter and releases the trace metal to the surface ocean in spring and summer. Simulated iron concentrations in sea ice generally agree with observations in regions where iron concentrations are relatively low. The maximum iron concentrations simulated in Arctic and Antarctic sea ice are much lower than observed, which is likely due to underestimation of iron inputs to sea ice or missing mechanisms. The largest iron source to sea ice is suspended sediments, contributing fluxes of iron of 2.2x10(8) mol Fe month(-1) in the Arctic and 4.1x10(6) mol Fe month(-1) in the Southern Ocean during summer. As a result of the iron flux from ice, iron concentrations increase significantly in the Arctic. Iron released from melting ice increases phytoplankton production in spring and summer and shifts phytoplankton community composition in the Southern Ocean. Results for the period of 1998 to 2007 indicate that a reduction of sea ice in the Southern Ocean will have a negative influence on phytoplankton production. Iron transport by sea ice appears to be an important process bringing iron to the central Arctic. The impact of ice to ocean iron fluxes on marine ecosystems is negligible in the current Arctic Ocean, as iron is not typically the growth-limiting nutrient. However, it may become a more important factor in the future, particularly in the central Arctic, as iron concentrations will decrease with declining sea ice cover and transport.</t>
  </si>
  <si>
    <t>[Wang, S.; Bailey, D.; Lindsay, K.; Holland, M.] Natl Ctr Atmospher Res, Boulder, CO 80307 USA; [Moore, J. K.] Univ Calif Irvine, Irvine, CA USA</t>
  </si>
  <si>
    <t>National Center Atmospheric Research (NCAR) - USA; University of California System; University of California Irvine</t>
  </si>
  <si>
    <t>Wang, S (corresponding author), Natl Ctr Atmospher Res, POB 3000, Boulder, CO 80307 USA.</t>
  </si>
  <si>
    <t>shanlinw@ucar.edu</t>
  </si>
  <si>
    <t>; Wang, Shanlin/A-2576-2017</t>
  </si>
  <si>
    <t>Lindsay, Keith/0000-0002-3672-1665; Holland, Marika/0000-0001-5621-8939; Bailey, David/0000-0002-6584-0663; Wang, Shanlin/0000-0002-7677-4745</t>
  </si>
  <si>
    <t>NCAR Advanced Study Program; National Science Foundation (NSF) Office of Polar Programs, NSF [OPP-0902068]; NSF [ARC-0902045, AGS-1048890]; National Science Foundation; Directorate For Geosciences; Office of Polar Programs (OPP) [1203303] Funding Source: National Science Foundation; Div Atmospheric &amp; Geospace Sciences; Directorate For Geosciences [1048890] Funding Source: National Science Foundation</t>
  </si>
  <si>
    <t>NCAR Advanced Study Program(National Science Foundation (NSF)NSF - Directorate for Geosciences (GEO)); National Science Foundation (NSF) Office of Polar Programs, NSF(National Science Foundation (NSF)); NSF(National Science Foundation (NSF)); National Science Foundation(National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t>
  </si>
  <si>
    <t>This work was supported by the NCAR Advanced Study Program, the National Science Foundation (NSF) Office of Polar Programs, NSF grants OPP-0902068 to Marika Holland, and NSF grants ARC-0902045 and AGS-1048890 to J. Keith Moore. Computational facilities have been provided by the Climate Simulation Laboratory, which is managed by Computational and Information Systems Laboratory at NCAR. NCAR is sponsored by the National Science Foundation.</t>
  </si>
  <si>
    <t>10.5194/bg-11-4713-2014</t>
  </si>
  <si>
    <t>AP5JR</t>
  </si>
  <si>
    <t>WOS:000342116000011</t>
  </si>
  <si>
    <t>Swart, NC; Fyfe, JC; Saenko, OA; Eby, M</t>
  </si>
  <si>
    <t>Swart, N. C.; Fyfe, J. C.; Saenko, O. A.; Eby, M.</t>
  </si>
  <si>
    <t>Wind-driven changes in the ocean carbon sink</t>
  </si>
  <si>
    <t>ANTARCTIC CIRCUMPOLAR CURRENT; SOUTHERN-OCEAN; CIRCULATION; TRENDS; MODELS</t>
  </si>
  <si>
    <t>We estimate changes in the historical ocean carbon sink and their uncertainty using an ocean biogeochemical model driven with wind forcing from six different reanalyses and using two different eddy parameterization schemes. First, we quantify wind-induced changes over the extended period from 1871 to 2010 using the 20th Century Reanalysis winds. Consistent with previous shorter-term studies, we find that the wind changes act to reduce the ocean carbon sink, but the wind-induced trends are subject to large uncertainties. One major source of uncertainty is the parameterization of mesoscale eddies in our coarse resolution simulations. Trends in the Southern Ocean residual meridional overturning circulation and the globally integrated surface carbon flux over 1950 to 2010 are about 2.5 times smaller when using a variable eddy transfer coefficient than when using a constant coefficient in this parameterization. A second major source of uncertainty arises from disagreement on historical wind trends. By comparing six reanalyses over 1980 to 2010, we show that there are statistically significant differences in estimated historical wind trends, which vary in both sign and magnitude amongst the products. Through simulations forced with these reanalysis winds, we show that the influence of historical wind changes on ocean carbon uptake is highly uncertain, and the resulting trends depend on the choice of surface wind product.</t>
  </si>
  <si>
    <t>[Swart, N. C.; Fyfe, J. C.; Saenko, O. A.] Univ Victoria, Canadian Ctr Climate Modelling &amp; Anal, Victoria, BC V8W 2Y2, Canada; [Eby, M.] Univ Victoria, Sch Earth &amp; Ocean Sci, Victoria, BC V8W 2Y2, Canada</t>
  </si>
  <si>
    <t>Environment &amp; Climate Change Canada; Canadian Centre for Climate Modelling &amp; Analysis (CCCma); University of Victoria; University of Victoria</t>
  </si>
  <si>
    <t>Swart, NC (corresponding author), Univ Victoria, Canadian Ctr Climate Modelling &amp; Anal, POB 1700 STN CSC, Victoria, BC V8W 2Y2, Canada.</t>
  </si>
  <si>
    <t>neil.swart@ec.gc.ca</t>
  </si>
  <si>
    <t>Eby, Michael/H-5278-2013; Swart, Neil/Q-6608-2019</t>
  </si>
  <si>
    <t>Swart, Neil/0000-0002-8200-6187</t>
  </si>
  <si>
    <t>10.5194/bg-11-6107-2014</t>
  </si>
  <si>
    <t>AT0UH</t>
  </si>
  <si>
    <t>WOS:000344649700008</t>
  </si>
  <si>
    <t>Robertson, G; Moreno, C; Arata, JA; Candy, SG; Lawton, K; Valencia, J; Wienecke, B; Kirkwood, R; Taylor, P; Suazo, CG</t>
  </si>
  <si>
    <t>Robertson, Graham; Moreno, Carlos; Arata, Javier A.; Candy, Steven G.; Lawton, Kieran; Valencia, Jose; Wienecke, Barbara; Kirkwood, Roger; Taylor, Phil; Suazo, Cristian G.</t>
  </si>
  <si>
    <t>Black-browed albatross numbers in Chile increase in response to reduced mortality in fisheries</t>
  </si>
  <si>
    <t>Albatross population trends; Longline fisheries; Trawl fisheries; Seabird bycatch; Innovation; Co-operative research</t>
  </si>
  <si>
    <t>GREY-HEADED ALBATROSSES; TOOTHFISH LONGLINE FISHERY; DIEGO-RAMIREZ ISLANDS; THALASSARCHE-MELANOPHRYS; SEABIRD MORTALITY; FACTORY TRAWLERS; FORAGING AREAS; DIVING DEPTHS; ARCHIPELAGO; DISCARDS</t>
  </si>
  <si>
    <t>Black-browed albatrosses (Thalassarche melanophrys) are a common victim of incidental mortality in commercial fishing operations. Chile holds globally important populations of black-browed albatrosses and grey-headed (Thalassarche chrysostoma) albatrosses with about 85% of the former species breeding at the Diego Ramirez and Ildefonso Archipelagos. In the nine years between 2002 and 2011 the number of black-browed albatrosses at these sites increased by 52% and 18%, respectively, or 23% for both sites combined. In the same period the population size of grey-headed albatrosses showed no signs of change. To explain the reason for the increases we examined trends in fishing effort for the five main longline and trawl fisheries with a history of interactions with seabirds; the extent of overlap between the fisheries and albatross foraging ranges; and albatross bycatch rates for each fishery. The circumstantial evidence and evidence from the SEABIRD population model suggest the most likely reason for the population increase was reduced mortality in the industrial longline fishery for Patagonian toothfish. In 2002 Spanish system vessels in this fishery took an estimated 1555 black-browed albatrosses. In 2006 and 2007 the fleet converted to a new method of fishing, called the Chilean system (or trotline-with-nets), which reduced seabird mortality to zero. Developed to minimise depredation of toothfish by sperm whales and killer whales, the re-designed gear configuration resulted in a fivefold increase in mean sink rates of baited hooks (from 0.15 m/s to 0.80 m/s), making them inaccessible to seabirds. The Chilean system is an example of innovation yielding both economic benefits to the fishing industry and conservation benefits to seabirds. The ability of black-browed albatrosses to respond to reduced mortality levels encourages continued efforts to implement seabird-friendly gears and practices in other fisheries with detrimental impacts on seabirds. (C) 2013 Elsevier Ltd. All rights reserved.</t>
  </si>
  <si>
    <t>[Robertson, Graham; Candy, Steven G.; Lawton, Kieran; Wienecke, Barbara; Kirkwood, Roger] Australian Antarctic Div, Kingston, Tas 7050, Australia; [Moreno, Carlos; Suazo, Cristian G.] Inst Ciencias Ambientales &amp; Evolutivas, Fac Ciencias, Valdivia, Chile; [Arata, Javier A.; Valencia, Jose] Inst Antarctico Chileno, Punta Arenas, Chile; [Taylor, Phil] Birdlife Int, Wellbrook Court, Cambridge CB3 0NA, England; [Lawton, Kieran] Skadia Pty Ltd, GIP Business Ctr, Horsham, Vic 3409, Australia; [Suazo, Cristian G.] Univ Giessen, Dept Anim Ecol &amp; Systemat, D-35392 Giessen, Germany</t>
  </si>
  <si>
    <t>Australian Antarctic Division; BirdLife International; Justus Liebig University Giessen</t>
  </si>
  <si>
    <t>Arata, Javier/U-9754-2017; Arata, Javier A./ABH-9557-2020; Valencia, Jose/IAO-2562-2023</t>
  </si>
  <si>
    <t>Arata, Javier/0000-0001-7320-0511; Kirkwood, Roger/0000-0003-4221-4050; Suazo, Cristian/0000-0003-3336-3660</t>
  </si>
  <si>
    <t>GAP Planeterra Foundation, Toronto, Canada; Munha Broadcasting Corporation, Republic of South Korea; Foundation for Antarctic Research</t>
  </si>
  <si>
    <t>We are grateful to the Armada de Chile for transport to and from Diego Ramirez and for providing logistical support on the island during the albatross tracking studies. We are grateful to Victor Raimilla for assistance with the field work in 2011 and to Jose Ojeda for help with the fleet descriptions of the trawl fishery. We thank Roger Wallis and Ben Wallis for transport and logistical assistance with the projects on Diego de Almagro, Ildefonso and Diego Ramirez, David Smith for assistance preparing Figs. 5 and 6 and Ben Raymond for providing the estimates of surface chlorophyll-a distribution. The aircraft overflights were conducted with Aerovias DAP, Pty Ltd, Chile. In 2011 the overflights were funded by the GAP Planeterra Foundation, Toronto, Canada and in 2011 by the Munha Broadcasting Corporation, Republic of South Korea, in collaboration with the Foundation for Antarctic Research. We thank two reviewers for suggesting improvements to the manuscript.</t>
  </si>
  <si>
    <t>10.1016/j.biocon.2013.12.002</t>
  </si>
  <si>
    <t>AD9GX</t>
  </si>
  <si>
    <t>WOS:000333574400036</t>
  </si>
  <si>
    <t>Wang, QF; Hou, YH; Shi, YL; Han, X; Chen, Q; Hu, ZG; Liu, YP; Li, YJ</t>
  </si>
  <si>
    <t>Wang, Quanfu; Hou, Yanhua; Shi, Yonglei; Han, Xiao; Chen, Qian; Hu, Zhiguo; Liu, Yuanping; Li, YuJin</t>
  </si>
  <si>
    <t>Cloning, Expression, Purification, and Characterization of Glutaredoxin from Antarctic Sea-Ice Bacterium Pseudoalteromonas sp AN178</t>
  </si>
  <si>
    <t>THIOLTRANSFERASE; TEMPERATURE; THIOREDOXIN</t>
  </si>
  <si>
    <t>Glutaredoxins (Grxs) are small ubiquitous redox enzymes that catalyze glutathione-dependent reactions to reduce protein disulfide. In this study, a full-length Grx gene (PsGrx) with 270 nucleotides was isolated from Antarctic sea-ice bacterium Pseudoalteromonas sp. AN178. It encoded deduced 89 amino acid residues with the molecular weight 9.8 kDa. Sequence analysis of the amino acid sequence revealed the catalytic motif CPYC. Recombinant PsGrx (rPsGrx) stably expressed in E. coli BL21 was purified to apparent homogeneity by Ni-affinity chromatography. rPsGrx exhibited optimal activity at 30 degrees C and pH 8.0 and showed 25.5% of the activity at 0 degrees C. It retained 65.0% of activity after incubation at 40 degrees C for 20 min and still exhibited 37.0% activity in 1.0 M NaCl. These results indicated that rPsGrx was a typical cold active protein with low thermostability.</t>
  </si>
  <si>
    <t>[Wang, Quanfu; Hou, Yanhua; Shi, Yonglei; Han, Xiao; Chen, Qian; Hu, Zhiguo] Harbin Inst Technol, Sch Marine &amp; Technol, Weihai 264209, Peoples R China; [Liu, Yuanping] Taixiang Grp, Shandong Prov Engn Technol Res Ctr Marine Hlth Fo, Rongcheng 264300, Peoples R China; [Li, YuJin] Taixiang Grp, Shandong Prov Key Lab Proc Technol Frozen Prepare, Rongcheng 264300, Peoples R China</t>
  </si>
  <si>
    <t>Hou, YH (corresponding author), Harbin Inst Technol, Sch Marine &amp; Technol, Weihai 264209, Peoples R China.</t>
  </si>
  <si>
    <t>houyanhua2006@163.com; r.lyj@163.com</t>
  </si>
  <si>
    <t>wang, quan fu/K-9703-2018</t>
  </si>
  <si>
    <t>National Natural Science Foundation of China [31100037]; Natural Science Foundation of Shandong Province [ZR2011CM003, ZR2009DQ023]; Natural Scientific Research Innovation Foundation in Harbin Institute of Technology [HIT-NSRIF201011]</t>
  </si>
  <si>
    <t>This study was supported by National Natural Science Foundation of China (31100037), the Natural Science Foundation of Shandong Province (ZR2011CM003 and ZR2009DQ023), and Natural Scientific Research Innovation Foundation in Harbin Institute of Technology (HIT-NSRIF201011).</t>
  </si>
  <si>
    <t>10.1155/2014/246871</t>
  </si>
  <si>
    <t>AL7KI</t>
  </si>
  <si>
    <t>WOS:000339312300001</t>
  </si>
  <si>
    <t>Husmann, G; Abele, D; Rosenstiel, P; Clark, MS; Kraemer, L; Philipp, EER</t>
  </si>
  <si>
    <t>Husmann, G.; Abele, D.; Rosenstiel, P.; Clark, M. S.; Kraemer, L.; Philipp, E. E. R.</t>
  </si>
  <si>
    <t>Age-dependent expression of stress and antimicrobial genes in the hemocytes and siphon tissue of the Antarctic bivalve, Laternula elliptica, exposed to injury and starvation</t>
  </si>
  <si>
    <t>CELL STRESS &amp; CHAPERONES</t>
  </si>
  <si>
    <t>Western Antarctic Peninsula; Transcriptome; Climate change; Antioxidants; Immune response</t>
  </si>
  <si>
    <t>OYSTER CRASSOSTREA-GIGAS; HEAT-SHOCK RESPONSE; PACIFIC OYSTER; BURROWING CAPACITY; DISEASE ECOLOGY; IMMUNE-RESPONSE; INNATE IMMUNITY; CG-TIMP; MARINE; DEFENSE</t>
  </si>
  <si>
    <t>Increasing temperatures and glacier melting at the Western Antarctic Peninsula (WAP) are causing rapid changes in shallow coastal and shelf systems. Climate change-related rising water temperatures, enhanced ice scouring, as well as coastal sediment runoff, in combination with changing feeding conditions and microbial community composition, will affect all elements of the nearshore benthic ecosystem, a major component of which is the Antarctic soft-shelled clam Laternula elliptica. A 454-based RNA sequencing was carried out on tissues and hemocytes of L. elliptica, resulting in 42,525 contigs, of which 48% was assigned putative functions. Changes in the expression of putative stress response genes were then investigated in hemocytes and siphon tissue of young and old animals subjected to starvation and injury experiments in order to investigate their response to sedimentation (food dilution and starvation) and iceberg scouring (injury). Analysis of antioxidant defense (Le-SOD and Le-catalase), wound repair (Le-TIMP and Le-chitinase), and stress and immune response (Le-HSP70, Le-actin, and Le-theromacin) genes revealed that most transcripts were more clearly affected by injury rather than starvation. The upregulation of these genes was particularly high in the hemocytes of young, fed individuals after acute injury. Only minor changes in expression were detected in young animals under the selected starvation conditions and in older individuals. The stress response of L. elliptica thus depends on the nature of the environmental cue and on age. This has consequences for future population predictions as the environmental changes at the WAP will differentially impact L. elliptica age classes and is bound to alter population structure.</t>
  </si>
  <si>
    <t>[Husmann, G.; Rosenstiel, P.; Kraemer, L.; Philipp, E. E. R.] Univ Kiel, Inst Clin Mol Biol, D-24105 Kiel, Germany; [Abele, D.] Alfred Wegener Inst Polar &amp; Marine Res, D-27570 Bremerhaven, Germany; [Clark, M. S.] British Antarctic Survey, Nat Environm Res Council, Cambridge CB3 0ET, England</t>
  </si>
  <si>
    <t>University of Kiel; Helmholtz Association; Alfred Wegener Institute, Helmholtz Centre for Polar &amp; Marine Research; UK Research &amp; Innovation (UKRI); Natural Environment Research Council (NERC); NERC British Antarctic Survey</t>
  </si>
  <si>
    <t>Philipp, EER (corresponding author), Univ Kiel, Inst Clin Mol Biol, Schittenhelmstr 12, D-24105 Kiel, Germany.</t>
  </si>
  <si>
    <t>doris.abele@awi.de; e.philipp@ikmb.uni-kiel.de</t>
  </si>
  <si>
    <t>Rosenstiel, Philip/A-5137-2009; Kraemer, Lars/B-9289-2017; Clark, Melody/D-7371-2014</t>
  </si>
  <si>
    <t>Rosenstiel, Philip/0000-0002-9692-8828; Kraemer, Lars/0000-0002-0586-8357; Clark, Melody/0000-0002-3442-3824; Abele, Doris/0000-0002-5766-5017</t>
  </si>
  <si>
    <t>DFG [PH141-5-1]; Cluster of Excellence The Future Ocean.; Natural Environment Research Council; NERC [bas0100025] Funding Source: UKRI; Natural Environment Research Council [bas0100025] Funding Source: researchfish</t>
  </si>
  <si>
    <t>DFG(German Research Foundation (DFG)); Cluster of Excellence The Future Ocean.;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</si>
  <si>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Many thanks to M. Schwanitz, C. Daniels, the Argentinean Dive Crews, and the Crew of Jubany for the logistic help at the Argentinean Antarctic Station Carlini. Rob Haesler and Dorina Oelsner from the ICMB helped with the real-time analysis. We are also grateful to Sven Neulinger from the ICMB and Mark Lenz from the GEOMAR Helmholtz Centre for Ocean Research Kiel for the valuable advice and assistance with the statistical analysis. The study was funded by the DFG PH141-5-1 (E. P. and G. H.) and the Cluster of Excellence The Future Ocean. The project is associated with the ESF-PolarCLIMATE program IMCOAST. MSC was funded by a Natural Environment Research Council core funding to BAS.</t>
  </si>
  <si>
    <t>1355-8145</t>
  </si>
  <si>
    <t>1466-1268</t>
  </si>
  <si>
    <t>CELL STRESS CHAPERON</t>
  </si>
  <si>
    <t>Cell Stress Chaperones</t>
  </si>
  <si>
    <t>10.1007/s12192-013-0431-1</t>
  </si>
  <si>
    <t>Cell Biology</t>
  </si>
  <si>
    <t>269AF</t>
  </si>
  <si>
    <t>hybrid, Green Accepted, Green Published</t>
  </si>
  <si>
    <t>WOS:000328211500002</t>
  </si>
  <si>
    <t>Qiu, XH; Li, TG; Chang, FM; Nan, QY; Xiong, ZF; Sun, HJ</t>
  </si>
  <si>
    <t>Qiu Xiaohua; Li Tiegang; Chang Fengming; Nan Qingyun; Xiong Zhifang; Sun Hanjie</t>
  </si>
  <si>
    <t>Sea surface temperature and salinity reconstruction based on stable isotopes and Mg/Ca of planktonic foraminifera in the western Pacific Warm Pool during the last 155 ka</t>
  </si>
  <si>
    <t>CHINESE JOURNAL OF OCEANOLOGY AND LIMNOLOGY</t>
  </si>
  <si>
    <t>Mg/Ca; sea surface temperature (SST); western Pacific Warm Pool (WPWP); ENSO; monsoon</t>
  </si>
  <si>
    <t>GLACIAL-INTERGLACIAL CHANGES; EASTERN EQUATORIAL PACIFIC; OCEAN-ATMOSPHERE SYSTEM; SOUTH CHINA SEA; TROPICAL PACIFIC; LATE PLEISTOCENE; INDIAN-OCEAN; EL-NINO; MILLENNIAL TIMESCALES; CLIMATE-CHANGE</t>
  </si>
  <si>
    <t>Changes in sea surface temperature (SST), seawater oxygen isotope (delta O-18(sw)), and local salinity proxy (delta O-18(sw-ss)) in the past 155 ka were studied using a sediment core (MD06-3052) from the northern edge of the western Pacific Warm Pool (WPWP), within the flow path of the bifurcation of the North Equatorial Current. Our records reveal a lead-lag relationship between paired Mg/Ca-SST and delta O-18 during Termination II and the last interglacial period. Similarity in SST between our site and the Antarctic temperature proxy and in CO2 profile showed a close connection between the WPWP and the Antarctic. Values of delta O-18 sw exhibited very similar variations to those of mean ocean delta O-18(sw), owing to the past sea-level changes on glacial-interglacial timescale. Calculated values of delta O-18(sw-ss) reflect a more saline condition during high local summer insolation (SI) periods. Such correspondence between delta O-18(sw-ss) and local SI in the WPWP may reflect complex interaction between ENSO and monsoon, which was stimulated by changes in solar irradiance and their influence on the local hydrologic cycle. This then caused a striking reorganization of atmospheric circulation over the WPWP.</t>
  </si>
  <si>
    <t>[Qiu Xiaohua; Li Tiegang; Chang Fengming; Nan Qingyun; Xiong Zhifang; Sun Hanjie] Chinese Acad Sci, Key Lab Marine Geol &amp; Environm, Inst Oceanol, Qingdao 266071, Peoples R China; [Qiu Xiaohua] Univ Chinese Acad Sci, Beijing 100049, Peoples R China</t>
  </si>
  <si>
    <t>Chinese Academy of Sciences; Institute of Oceanology, CAS; Chinese Academy of Sciences; University of Chinese Academy of Sciences, CAS</t>
  </si>
  <si>
    <t>Li, TG (corresponding author), Chinese Acad Sci, Key Lab Marine Geol &amp; Environm, Inst Oceanol, Qingdao 266071, Peoples R China.</t>
  </si>
  <si>
    <t>tgli@qdio.ac.cn</t>
  </si>
  <si>
    <t>Xiong, Zhifang/HMP-3975-2023</t>
  </si>
  <si>
    <t>Xiong, Zhifang/0000-0001-9370-0089</t>
  </si>
  <si>
    <t>National Natural Science Foundation of China [41230959, 41076030, 41106042, 40906038, 41206044]; Strategic Priority Research Program of the Chinese Academy of Sciences [XDA11030104]; Project of Global Change and Air-Sea Interaction</t>
  </si>
  <si>
    <t>National Natural Science Foundation of China(National Natural Science Foundation of China (NSFC)); Strategic Priority Research Program of the Chinese Academy of Sciences(Chinese Academy of Sciences); Project of Global Change and Air-Sea Interaction</t>
  </si>
  <si>
    <t>Supported by the National Natural Science Foundation of China (Nos. 41230959, 41076030, 41106042, 40906038, 41206044), the Strategic Priority Research Program of the Chinese Academy of Sciences (No. XDA11030104), and the Project of Global Change and Air-Sea Interaction</t>
  </si>
  <si>
    <t>16 DONGHUANGCHENGGEN NORTH ST, Building 5, Room 411, BEIJING, 100009, PEOPLES R CHINA</t>
  </si>
  <si>
    <t>0254-4059</t>
  </si>
  <si>
    <t>1993-5005</t>
  </si>
  <si>
    <t>CHIN J OCEANOL LIMN</t>
  </si>
  <si>
    <t>Chin. J. Oceanol. Limnol.</t>
  </si>
  <si>
    <t>10.1007/s00343-014-3073-y</t>
  </si>
  <si>
    <t>AB7XD</t>
  </si>
  <si>
    <t>WOS:000332003500021</t>
  </si>
  <si>
    <t>Luporini, P; Alimenti, C; Vallesi, A</t>
  </si>
  <si>
    <t>Hausmann, K; Radek, R</t>
  </si>
  <si>
    <t>Luporini, Pierangelo; Alimenti, Claudio; Vallesi, Adriana</t>
  </si>
  <si>
    <t>Ciliate Mating Types and Pheromones</t>
  </si>
  <si>
    <t>CILIA AND FLAGELLA CILIATES AND FLAGELLATES: ULTRASTRUCTURE AND CELL BIOLOGY, FUNCTION AND SYSTEMATICS, SYMBIOSIS AND BIODIVERSITY</t>
  </si>
  <si>
    <t>NMR SOLUTION STRUCTURE; CONJUGATION-INDUCING GLYCOPROTEIN; EUPLOTES-RAIKOVI AGAMALIEV; AMINO-ACID-SEQUENCE; STRUCTURAL-CHARACTERIZATION; PROTOZOAN CILIATE; ANTARCTIC CILIATE; PROTEIN PHEROMONE; SIGNAL PROTEINS; INITIAL-CHARACTERIZATION</t>
  </si>
  <si>
    <t>The story of our knowledge of ciliate mating types and their relevant signaling molecules, originally referred to as mating type substances/factors and today usually described as pheromones (to imply a more general function as chemicals used to communicate between individuals of the same species), is inextricably bound to our understanding about ciliate sexual activity. This activity is commonly manifested as conjugation, autogamy in ciliates, like parthenogenesis in animals, being an additional and much more sporadic alternative. Although conjugation has been described in a variety of organisms, ciliate conjugation is a unique phenomenon of cell-cell interaction and reversible union in mating pairs, that has nothing to do with phenomena of gamete-gamete interaction and irreversible union into a synkaryon. The two ciliates (designated as gamonts) which unite into a conjugal, or mating pair are de facto hermaphrodite, vegetatively reproducing cells which will generate two sexually complementary haploid gametic nuclei, one migratory (male) and one stationary (female), only as result of a meiotic process that involves their diploid micronuclei and is triggered by the cell mating union itself.</t>
  </si>
  <si>
    <t>[Luporini, Pierangelo; Alimenti, Claudio; Vallesi, Adriana] Univ Camerino, Dept Environm Sci, Lab Eukaryot Microbiol &amp; Anim Biol, Via Gentile 3 Varano, I-62032 Camerino, MC, Italy</t>
  </si>
  <si>
    <t>Luporini, P (corresponding author), Univ Camerino, Dept Environm Sci, Lab Eukaryot Microbiol &amp; Anim Biol, Via Gentile 3 Varano, I-62032 Camerino, MC, Italy.</t>
  </si>
  <si>
    <t>piero.luporini@unicam.it; claudio.alimenti@unicam.it; adriana.vallesi@unicam.it</t>
  </si>
  <si>
    <t>Vallesi, Adriana/0000-0002-4127-090X</t>
  </si>
  <si>
    <t>E SCHWEIZERBART'SCHE VERLAGSBUCHHANDLUNG</t>
  </si>
  <si>
    <t>JOHANNESTRASSE 3, W-7000 STUTTGART, GERMANY</t>
  </si>
  <si>
    <t>978-3-510-65287-7</t>
  </si>
  <si>
    <t>Cell Biology; Microbiology</t>
  </si>
  <si>
    <t>BM7EK</t>
  </si>
  <si>
    <t>WOS:000467821700006</t>
  </si>
  <si>
    <t>Maddison, B.</t>
  </si>
  <si>
    <t>Class and Colonialism in Antarctic Exploration, 1750-1920</t>
  </si>
  <si>
    <t>WOS:000363723700014</t>
  </si>
  <si>
    <t>CLASS AND COLONIALISM IN ANTARCTIC EXPLORATION, 1750-1920 INTRODUCTION</t>
  </si>
  <si>
    <t>WOS:000363723700001</t>
  </si>
  <si>
    <t>CLASS AND COLONIALISM IN ANTARCTIC EXPLORATION, 1750-1920 CONCLUDING REFLECTIONS</t>
  </si>
  <si>
    <t>WOS:000363723700013</t>
  </si>
  <si>
    <t>Rhein, M; Rintoul, SR; Aoki, S; Campos, E; Chambers, D; Feely, RA; Gulev, S; Johnson, GC; Josey, SA; Kostianoy, A; Mauritzen, C; Roemmich, D; Talley, LD; Wang, F; Allison, I; Aoyama, M; Baringer, M; Bates, NR; Boyer, T; Byrne, RH; Cooley, S; Cunningham, S; Delcroix, T; Domingues, CM; Doney, S; Dore, J; Durack, PJ; Fine, R; González-Dávila, M; Good, S; Gruber, N; Hemer, M; Hydes, D; Ishii, M; Jacobs, S; Kanzow, T; Karl, D; Kaser, G; Kazmin, A; Key, R; Khatiwala, S; Kleypas, J; Kwok, R; Lee, K; Leuliette, E; Menéndez, M; Mordy, C; Olafsson, J; Orr, J; Orsi, A; Park, GH; Polyakov, I; Purkey, SG; Qiu, B; Reverdin, G; Romanou, A; Schmidtko, S; Schmitt, R; Shimada, K; Smith, D; Smith, TM; Stöber, U; Stramma, L; Suga, T; Swart, N; Takahashi, T; Tanhua, T; von Schuckmann, K; von Storch, H; Wang, XL; Wanninkhof, R; Wijffels, S; Woodworth, P; Yashayaev, I; Yu, LS</t>
  </si>
  <si>
    <t>Stocker, TF; Qin, D; Plattner, GK; Tignor, MMB; Allen, SK; Boschung, J; Nauels, A; Xia, Y; Bex, V; Midgley, PM</t>
  </si>
  <si>
    <t>Rhein, Monika; Rintoul, Stephen R.; Aoki, Shigeru; Campos, Edmo; Chambers, Don; Feely, Richard A.; Gulev, Sergey; Johnson, Gregory C.; Josey, Simon A.; Kostianoy, Andrey; Mauritzen, Cecilie; Roemmich, Dean; Talley, Lynne D.; Wang, Fan; Allison, Ian; Aoyama, Michio; Baringer, Molly; Bates, Nicholas R.; Boyer, Timothy; Byrne, Robert H.; Cooley, Sarah; Cunningham, Stuart; Delcroix, Thierry; Domingues, Catia M.; Doney, Scott; Dore, John; Durack, Paul. J.; Fine, Rana; Gonzalez-Davila, Melchor; Good, Simon; Gruber, Nicolas; Hemer, Mark; Hydes, David; Ishii, Masayoshi; Jacobs, Stanley; Kanzow, Torsten; Karl, David; Kaser, Georg; Kazmin, Alexander; Key, Robert; Khatiwala, Samar; Kleypas, Joan; Kwok, Ronald; Lee, Kitack; Leuliette, Eric; Menendez, Melisa; Mordy, Calvin; Olafsson, Jon; Orr, James; Orsi, Alejandro; Park, Geun-Ha; Polyakov, Igor; Purkey, Sarah G.; Qiu, Bo; Reverdin, Gilles; Romanou, Anastasia; Schmidtko, Sunke; Schmitt, Raymond; Shimada, Koji; Smith, Doug; Smith, Thomas M.; Stoeber, Uwe; Stramma, Lothar; Suga, Toshio; Swart, Neil; Takahashi, Taro; Tanhua, Toste; von Schuckmann, Karina; von Storch, Hans; Wang, Xiaolan; Wanninkhof, Rik; Wijffels, Susan; Woodworth, Philip; Yashayaev, Igor; Yu, Lisan</t>
  </si>
  <si>
    <t>Observations: Ocean</t>
  </si>
  <si>
    <t>CLIMATE CHANGE 2013: THE PHYSICAL SCIENCE BASIS</t>
  </si>
  <si>
    <t>SEA-LEVEL RISE; NORTH-ATLANTIC OCEAN; MERIDIONAL OVERTURNING CIRCULATION; ANTARCTIC CIRCUMPOLAR CURRENT; ANTHROPOGENIC CO2 UPTAKE; LONG-TERM CHANGES; US EAST-COAST; DRAKE PASSAGE; DECADAL VARIABILITY; HEAT-CONTENT</t>
  </si>
  <si>
    <t>Swart, Neil/Q-6608-2019; Mauritzen, Cecilie/G-7682-2019; Allison, Ian F/I-4477-2015; Karl, David/AFP-3837-2022; Domingues, Catia M./A-2901-2015; Wang, Fan/J-5119-2012; Schmitt, Raymond W/B-7451-2011; Kwok, Ronald/L-3968-2019; Gruber, Nicolas/B-7013-2009; Doney, Scott/F-9247-2010; Baringer, Molly O/D-2277-2012; Johnson, Gregory C/I-6559-2012; Durack, Paul James/A-8758-2010; Schmidtko, Sunke/F-3355-2011; Feely, Richard A./ABI-5740-2020; Aoki, Shigeru/D-9105-2012; Kazmin, Alexander S./F-3074-2015; Rintoul, Stephen R/A-1471-2012; 王, 小兰/HOC-9816-2023; Menendez, Melisa/L-4600-2014; Hemer, Mark A/M-1905-2013; von Schuckmann, Karina/AAZ-8897-2021; von Storch, Hans/J-4165-2012; Mauritzen, Cecilie/HKO-1954-2023; Yu, Lisan/AIB-2264-2022; Campos, edmo/G-6995-2012; Kostianoy, Andrey/F-9322-2014; Cooley, Sarah R/K-7373-2012; Smith, Doug/ABD-5204-2021; Leuliette, Eric/D-1527-2010; Purkey, Sarah G/K-1983-2012; Qiu, Bo/D-9569-2017</t>
  </si>
  <si>
    <t>Swart, Neil/0000-0002-8200-6187; Mauritzen, Cecilie/0000-0001-5956-8811; Allison, Ian F/0000-0001-9599-0251; Domingues, Catia M./0000-0001-5100-4595; Wang, Fan/0000-0001-5932-7567; Kwok, Ronald/0000-0003-4051-5896; Gruber, Nicolas/0000-0002-2085-2310; Doney, Scott/0000-0002-3683-2437; Johnson, Gregory C/0000-0002-8023-4020; Durack, Paul James/0000-0003-2835-1438; Rintoul, Stephen R/0000-0002-7055-9876; von Schuckmann, Karina/0000-0002-9922-8528; von Storch, Hans/0000-0002-5825-8069; Mauritzen, Cecilie/0000-0001-5956-8811; Yu, Lisan/0000-0003-4157-9154; Campos, edmo/0000-0001-6399-5496; Leuliette, Eric/0000-0002-3425-4039;</t>
  </si>
  <si>
    <t>978-1-107-05799-9; 978-1-107-66182-0</t>
  </si>
  <si>
    <t>Environmental Sciences; Environmental Studies; Geosciences, Multidisciplinary</t>
  </si>
  <si>
    <t>BE1MD</t>
  </si>
  <si>
    <t>WOS:000368114000007</t>
  </si>
  <si>
    <t>Vaughan, DG; Comiso, JC; Allison, I; Carrasco, J; Kaser, G; Kwok, R; Mote, P; Murray, T; Paul, F; Ren, JW; Rignot, E; Solomina, O; Steffen, K; Zhang, TJ; Arendt, AA; Bahr, DB; van den Broeke, M; Brown, R; Cogley, JG; Gardner, AS; Gerland, S; Gruber, S; Haas, C; Hagen, JO; Hock, R; Holland, D; Huss, M; Markus, T; Marzeion, B; Massom, R; Moholdt, G; Overduin, PP; Payne, A; Pfeffer, WT; Prowse, T; Radic, V; Robinson, D; Sharp, M; Shiklomanov, N; Smith, S; Stammerjohn, S; Velicogna, I; Wadhams, P; Worby, A; Zhao, L</t>
  </si>
  <si>
    <t>Vaughan, David G.; Comiso, Josefino C.; Allison, Ian; Carrasco, Jorge; Kaser, Georg; Kwok, Ronald; Mote, Philip; Murray, Tavi; Paul, Frank; Ren, Jiawen; Rignot, Eric; Solomina, Olga; Steffen, Konrad; Zhang, Tingjun; Arendt, Anthony A.; Bahr, David B.; van den Broeke, Michiel; Brown, Ross; Cogley, J. Graham; Gardner, Alex S.; Gerland, Sebastian; Gruber, Stephan; Haas, Christian; Hagen, Jon Ove; Hock, Regine; Holland, David; Huss, Matthias; Markus, Thorsten; Marzeion, Ben; Massom, Rob; Moholdt, Geir; Overduin, Pier Paul; Payne, Antony; Pfeffer, W. Tad; Prowse, Terry; Radic, Valentina; Robinson, David; Sharp, Martin; Shiklomanov, Nikolay; Smith, Sharon; Stammerjohn, Sharon; Velicogna, Isabella; Wadhams, Peter; Worby, Anthony; Zhao, Lin</t>
  </si>
  <si>
    <t>Observations: Cryosphere</t>
  </si>
  <si>
    <t>GREENLAND ICE-SHEET; SEA-LEVEL RISE; GLACIAL ISOSTATIC-ADJUSTMENT; ANTARCTIC SNOW ACCUMULATION; NORTH-ATLANTIC OSCILLATION; MASS-BALANCE MEASUREMENTS; PINE ISLAND GLACIER; CLIMATE-CHANGE; THERMAL STATE; INTERANNUAL VARIABILITY</t>
  </si>
  <si>
    <t>Jiawen, Ren/K-7734-2012; Hock, Regine/C-6179-2013; Allison, Ian F/I-4477-2015; Marzeion, Ben/G-6514-2013; Huss, Matthias/O-1399-2019; Kwok, Ronald/L-3968-2019; payne, antony/A-8916-2008; Van den Broeke, Michiel R./F-7867-2011; Carrasco, Jorge/AAC-4799-2021; Carrasco, Jorge/ACG-6766-2022; Velicogna, Isabella/R-5561-2018; Mote, Philip/AAB-3500-2021; ZHANG, TINGJUN/AAX-3662-2020; Huss, Matthias/JLL-6340-2023; Rignot, Eric/A-4560-2014; Steffen, Konrad/C-6027-2013; Solomina, Olga N/J-8353-2013; Overduin, Paul P/B-3258-2017</t>
  </si>
  <si>
    <t>Allison, Ian F/0000-0001-9599-0251; Huss, Matthias/0000-0002-2377-6923; Kwok, Ronald/0000-0003-4051-5896; Van den Broeke, Michiel R./0000-0003-4662-7565; Carrasco, Jorge/0000-0003-2154-5483; Carrasco, Jorge/0000-0003-2154-5483; Rignot, Eric/0000-0002-3366-0481; Overduin, Paul P/0000-0001-9849-4712</t>
  </si>
  <si>
    <t>WOS:000368114000008</t>
  </si>
  <si>
    <t>Masson-Delmotte, V; Schulz, M; Abe-Ouchi, A; Beer, J; Ganopolski, A; Rouco, JFG; Jansen, E; Lambeck, K; Luterbacher, J; Naish, T; Osborn, T; Otto-Bliesner, B; Quinn, T; Ramesh, R; Rojas, M; Shao, XM; Timmermann, A; Anchukaitis, K; Arblaster, J; Bartlein, PJ; Benito, G; Clark, P; Comiso, JC; Crowley, T; De Deckker, P; de Vernal, A; Delmonte, B; DiNezio, P; Dokken, T; Dowsett, HJ; Edwards, RL; Fischer, H; Fleitmann, D; Foster, G; Fröhlich, C; Govin, A; Hall, A; Hargreaves, J; Haywood, A; Hollis, C; Horton, B; Kageyama, M; Knutti, R; Kopp, R; Krinner, G; Landais, A; Li, C; Lunt, D; Mahowald, N; McGregor, S; Meehl, G; Mitrovica, JX; Moberg, A; Mudelsee, M; Muhs, DR; Mulitza, S; Müller, S; Overland, J; Parrenin, F; Pearson, P; Robock, A; Rohling, E; Salzmann, U; Savarino, J; Sedlácek, J; Shakun, J; Shindell, D; Smerdon, J; Solomina, O; Tarasov, P; Vinther, B; Waelbroeck, C; Wolf-Gladrow, D; Yokoyama, Y; Yoshimori, M; Zachos, J; Zwartz, D</t>
  </si>
  <si>
    <t>Masson-Delmotte, Valerie; Schulz, Michael; Abe-Ouchi, Ayako; Beer, Jurg; Ganopolski, Andrey; Gonzalez Rouco, Jesus Fidel; Jansen, Eystein; Lambeck, Kurt; Luterbacher, Juerg; Naish, Tim; Osborn, Timothy; Otto-Bliesner, Bette; Quinn, Terrence; Ramesh, Rengaswamy; Rojas, Maisa; Shao, XueMei; Timmermann, Axel; Anchukaitis, Kevin; Arblaster, Julie; Bartlein, Patrick J.; Benito, Gerardo; Clark, Peter; Comiso, Josefino C.; Crowley, Thomas; De Deckker, Patrick; de Vernal, Anne; Delmonte, Barbara; DiNezio, Pedro; Dokken, Trond; Dowsett, Harry J.; Edwards, R. Lawrence; Fischer, Hubertus; Fleitmann, Dominik; Foster, Gavin; Frohlich, Claus; Govin, Aline; Hall, Alex; Hargreaves, Julia; Haywood, Alan; Hollis, Chris; Horton, Ben; Kageyama, Masa; Knutti, Reto; Kopp, Robert; Krinner, Gerhard; Landais, Amaelle; Li, Camille; Lunt, Dan; Mahowald, Natalie; McGregor, Shayne; Meehl, Gerald; Mitrovica, Jerry X.; Moberg, Anders; Mudelsee, Manfred; Muhs, Daniel R.; Mulitza, Stefan; Mueller, Stefanie; Overland, James; Parrenin, Frederic; Pearson, Paul; Robock, Alan; Rohling, Eelco; Salzmann, Ulrich; Savarino, Joel; Sedlacek, Jan; Shakun, Jeremy; Shindell, Drew; Smerdon, Jason; Solomina, Olga; Tarasov, Pavel; Vinther, Bo; Waelbroeck, Claire; Wolf-Gladrow, Dieter; Yokoyama, Yusuke; Yoshimori, Masakazu; Zachos, James; Zwartz, Dan</t>
  </si>
  <si>
    <t>Information from Paleoclimate Archives</t>
  </si>
  <si>
    <t>ANTARCTIC ICE-SHEET; LAST GLACIAL MAXIMUM; SEA-LEVEL RISE; MERIDIONAL OVERTURNING CIRCULATION; NORTH-ATLANTIC OSCILLATION; ASIAN SUMMER MONSOON; EPICA DOME-C; SURFACE-TEMPERATURE VARIABILITY; ATMOSPHERIC CO2 CONCENTRATIONS; SOLAR IRRADIANCE VARIATIONS</t>
  </si>
  <si>
    <t>Mudelsee, Manfred/C-6063-2018; Timmermann, Axel/F-4977-2011; Smerdon, Jason E/F-9952-2011; Timmermann, Axel/Y-2799-2019; Zachos, James C/A-7674-2008; McGregor, Shayne/A-9059-2013; Mulitza, Stefan/G-5357-2011; Mahowald, Natalie M/D-8388-2013; Edwards, R. Lawrence/I-3124-2014; Rojas, Maisa/A-7229-2013; González-Rouco, Jesús Fidel/B-1761-2012; Rohling, Eelco J/B-9736-2008; de Vernal, Anne/D-5602-2013; Foster, Gavin/CAF-4654-2022; Krinner, Gerhard/AAB-8837-2022; Savarino, Joel/H-9730-2012; Osborn, Timothy/E-9740-2011; KAGEYAMA, Masa/F-2389-2010; Krinner, Gerhard/A-6450-2011; Govin, Aline/E-6354-2013; Otto-Bliesner, Bette/AAY-7691-2020; Benito, Gerardo/E-5456-2013; Salzmann, Ulrich/H-9929-2017; Fleitmann, Domnik/HSF-0516-2023; Masson-Delmotte, Valerie L/G-1995-2011; Foster, Gavin/W-5968-2019; Li, Camille/G-5802-2011; Parrenin, Frédéric/H-3054-2014; Abe-Ouchi, Ayako A/M-6359-2013; Knutti, Reto/B-8763-2008; Arblaster, Julie/C-1342-2010; Delmonte, Barbara/L-2555-2015; Fischer, Hubertus/A-1211-2014; Solomina, Olga N/J-8353-2013; Shindell, Drew/D-4636-2012; Edwards, Richard/JAX-3732-2023; Robock, Alan/B-6385-2016; Osborn, Timothy/AAK-9279-2020; Dokken, Trond/AAE-9168-2021; Bartlein, Patrick J./E-4643-2011</t>
  </si>
  <si>
    <t>Timmermann, Axel/0000-0003-0657-2969; Mahowald, Natalie M/0000-0002-2873-997X; Rohling, Eelco J/0000-0001-5349-2158; Foster, Gavin/0000-0003-3688-9668; Krinner, Gerhard/0000-0002-2959-5920; Savarino, Joel/0000-0002-6708-9623; Benito, Gerardo/0000-0003-0724-1790; Salzmann, Ulrich/0000-0001-5598-5327; Masson-Delmotte, Valerie L/0000-0001-8296-381X; Li, Camille/0000-0002-5439-2973; Parrenin, Frédéric/0000-0002-9489-3991; Abe-Ouchi, Ayako A/0000-0003-1745-5952; Knutti, Reto/0000-0001-8303-6700; Delmonte, Barbara/0000-0002-9074-2061; Shindell, Drew/0000-0003-1552-4715; Osborn, Timothy/0000-0001-8425-6799; Bartlein, Patrick J./0000-0001-7657-5685</t>
  </si>
  <si>
    <t>WOS:000368114000009</t>
  </si>
  <si>
    <t>Radic, V; Bliss, A; Beedlow, AC; Hock, R; Miles, E; Cogley, JG</t>
  </si>
  <si>
    <t>Radic, Valentina; Bliss, Andrew; Beedlow, A. Cody; Hock, Regine; Miles, Evan; Cogley, J. Graham</t>
  </si>
  <si>
    <t>Regional and global projections of twenty-first century glacier mass changes in response to climate scenarios from global climate models</t>
  </si>
  <si>
    <t>Regional and global glacier mass changes; Projections of sea level rise; Global climate models</t>
  </si>
  <si>
    <t>SEA-LEVEL RISE; ICE CAPS; MOUNTAIN GLACIERS; BALANCE; SENSITIVITY; INVENTORY</t>
  </si>
  <si>
    <t>A large component of present-day sea-level rise is due to the melt of glaciers other than the ice sheets. Recent projections of their contribution to global sea-level rise for the twenty-first century range between 70 and 180 mm, but bear significant uncertainty due to poor glacier inventory and lack of hypsometric data. Here, we aim to update the projections and improve quantification of their uncertainties by using a recently released global inventory containing outlines of almost every glacier in the world. We model volume change for each glacier in response to transient spatially-differentiated temperature and precipitation projections from 14 global climate models with two emission scenarios (RCP4.5 and RCP8.5) prepared for the Fifth Assessment Report of the Intergovernmental Panel on Climate Change. The multi-model mean suggests sea-level rise of 155 +/- A 41 mm (RCP4.5) and 216 +/- A 44 mm (RCP8.5) over the period 2006-2100, reducing the current global glacier volume by 29 or 41 %. The largest contributors to projected global volume loss are the glaciers in the Canadian and Russian Arctic, Alaska, and glaciers peripheral to the Antarctic and Greenland ice sheets. Although small contributors to global volume loss, glaciers in Central Europe, low-latitude South America, Caucasus, North Asia, and Western Canada and US are projected to lose more than 80 % of their volume by 2100. However, large uncertainties in the projections remain due to the choice of global climate model and emission scenario. With a series of sensitivity tests we quantify additional uncertainties due to the calibration of our model with sparsely observed glacier mass changes. This gives an upper bound for the uncertainty range of +/- 84 mm sea-level rise by 2100 for each projection.</t>
  </si>
  <si>
    <t>[Radic, Valentina; Miles, Evan] Univ British Columbia, Earth Ocean &amp; Atmospher Sci Dept, Vancouver, BC V6T 1Z4, Canada; [Bliss, Andrew; Beedlow, A. Cody; Hock, Regine] Univ Alaska Fairbanks, Inst Geophys, Fairbanks, AK 99775 USA; [Miles, Evan] Univ Cambridge, Scott Polar Res Inst, Cambridge CB2 1ER, England; [Cogley, J. Graham] Trent Univ, Dept Geog, Peterborough, ON K9J 7B8, Canada</t>
  </si>
  <si>
    <t>University of British Columbia; University of Alaska System; University of Alaska Fairbanks; University of Cambridge; Trent University</t>
  </si>
  <si>
    <t>Radic, V (corresponding author), Univ British Columbia, Earth Ocean &amp; Atmospher Sci Dept, 2020-2207 Main Mall, Vancouver, BC V6T 1Z4, Canada.</t>
  </si>
  <si>
    <t>vradic@eos.ubc.ca</t>
  </si>
  <si>
    <t>Miles, Evan/J-1286-2019; Hock, Regine/C-6179-2013; Hock, Regine/JTT-4089-2023</t>
  </si>
  <si>
    <t>Miles, Evan/0000-0001-5446-8571; Bliss, Andrew/0000-0002-8637-1923; Radic, Valentina/0000-0002-1185-0751; Hock, Regine/0000-0001-8336-9441</t>
  </si>
  <si>
    <t>NASA [NNH10Z1A001N, NNX11AO23G]; NSF [EAR-0943742]; Directorate For Geosciences; Division Of Earth Sciences [1039008, 1038818, 1038907] Funding Source: National Science Foundation; NASA [140151, NNX11AO23G] Funding Source: Federal RePORTER</t>
  </si>
  <si>
    <t>NASA(National Aeronautics &amp; Space Administration (NASA)); NSF(National Science Foundation (NSF)); Directorate For Geosciences; Division Of Earth Sciences(National Science Foundation (NSF)NSF - Directorate for Geosciences (GEO)); NASA(National Aeronautics &amp; Space Administration (NASA))</t>
  </si>
  <si>
    <t>Funding was provided by NASA grant (NNH10Z1A001N and NNX11AO23G) and NSF (grant EAR-0943742). We thank the two anonymous reviewers for their comments which helped us to significantly improve the manuscript.</t>
  </si>
  <si>
    <t>10.1007/s00382-013-1719-7</t>
  </si>
  <si>
    <t>WOS:000329238300003</t>
  </si>
  <si>
    <t>Romahn, S; Mackensen, A; Groeneveld, J; Pätzold, J</t>
  </si>
  <si>
    <t>Romahn, S.; Mackensen, A.; Groeneveld, J.; Paetzold, J.</t>
  </si>
  <si>
    <t>Deglacial intermediate water reorganization: new evidence from the Indian Ocean</t>
  </si>
  <si>
    <t>CARBON-ISOTOPE FRACTIONATION; WESTERN NORTH-ATLANTIC; LAST GLACIAL MAXIMUM; SOUTHERN-OCEAN; OVERTURNING CIRCULATION; PLANKTONIC-FORAMINIFERA; CLIMATE VARIABILITY; TROPICAL ATLANTIC; SURFACE-WATER; PACIFIC-OCEAN</t>
  </si>
  <si>
    <t>The importance of intermediate water masses in climate change and ocean circulation has been emphasized recently. In particular, Southern Ocean Intermediate Waters (SOIW), such as Antarctic Intermediate Water and Subantarctic Mode Water, are thought to have acted as active interhemispheric transmitter of climate anomalies. Here we reconstruct changes in SOIW signature and spatial and temporal evolution based on a 40 kyr time series of oxygen and carbon isotopes as well as planktic Mg/Ca based thermometry from Site GeoB12615-4 in the western Indian Ocean. Our data suggest that SOIW transmitted Antarctic temperature trends to the equatorial Indian Ocean via the oceanic tunnel mechanism. Moreover, our results reveal that deglacial SOIW carried a signature of aged Southern Ocean deep water. We find no evidence of increased formation of intermediate waters during the deglaciation.</t>
  </si>
  <si>
    <t>[Romahn, S.; Mackensen, A.] Helmholtz Zentrum Polar &amp; Meeresforsch, Alfred Wegener Inst, D-27568 Bremerhaven, Germany; [Groeneveld, J.; Paetzold, J.] Univ Bremen, MARUM Ctr Marine Environm Sci, D-28359 Bremen, Germany</t>
  </si>
  <si>
    <t>Romahn, S (corresponding author), Helmholtz Zentrum Polar &amp; Meeresforsch, Alfred Wegener Inst, Alten Hafen 26, D-27568 Bremerhaven, Germany.</t>
  </si>
  <si>
    <t>sarah.romahn@awi.de</t>
  </si>
  <si>
    <t>Mackensen, Andreas/J-8600-2013; Patzold, Jurgen/D-5111-2017</t>
  </si>
  <si>
    <t>Mackensen, Andreas/0000-0002-5024-4455; Patzold, Jurgen/0000-0001-8074-4103</t>
  </si>
  <si>
    <t>Deutsche Forschungsgemeinschaft (DFG) as part of the DFG-Research Center/Cluster of Excellence The Ocean in the Earth System</t>
  </si>
  <si>
    <t>Deutsche Forschungsgemeinschaft (DFG) as part of the DFG-Research Center/Cluster of Excellence The Ocean in the Earth System(German Research Foundation (DFG))</t>
  </si>
  <si>
    <t>We thank Gunther Meyer, Silvana Pape, Heike Roben, Lisa Schonborn and Susanne Wiebe for help and advice in the laboratories, as well as the ship crew and scientific parties of RV Meteor cruise M75/2. We also thank Franziska Kersten and Johannes Ullermann for essential discussion and helpful comments. We are grateful to Thorsten Kiefer and two anonymous reviewers for their constructive criticism that substantially improved the paper. This work was funded by the Deutsche Forschungsgemeinschaft (DFG) as part of the DFG-Research Center/Cluster of Excellence The Ocean in the Earth System.</t>
  </si>
  <si>
    <t>10.5194/cp-10-293-2014</t>
  </si>
  <si>
    <t>WOS:000333837600020</t>
  </si>
  <si>
    <t>Loptson, CA; Lunt, DJ; Francis, JE</t>
  </si>
  <si>
    <t>Loptson, C. A.; Lunt, D. J.; Francis, J. E.</t>
  </si>
  <si>
    <t>Investigating vegetation-climate feedbacks during the early Eocene</t>
  </si>
  <si>
    <t>ATMOSPHERIC CO2; THERMAL MAXIMUM; BOUNDARY-CONDITIONS; PLANT DIVERSITY; OCEAN; MODEL; SENSITIVITY; ANTARCTICA; EVOLUTION; ECOSYSTEM</t>
  </si>
  <si>
    <t>Evidence suggests that the early Eocene was a time of extreme global warmth. However, there are discrepancies between the results of many previous modelling studies and the proxy data at high latitudes, with models struggling to simulate the shallow temperature gradients of this time period to the same extent as the proxies indicate. Vegetation-climate feedbacks play an important role in the present day, but are often neglected in these palaeoclimate modelling studies, and this may be a contributing factor to resolving the model-data discrepancy. Here we investigate these vegetation-climate feedbacks by carrying out simulations of the early Eocene climate at 2x and 4x pre-industrial atmospheric CO2 with fixed vegetation (homogeneous shrubs everywhere) and dynamic vegetation. The results show that the simulations with dynamic vegetation are warmer in the global annual mean than the simulations with fixed shrubs by 0.9 degrees C at 2x and 1.8 degrees C at 4x. Consequently, the warming when CO2 is doubled from 2x to 4x is 1 degrees C higher (in the global annual mean) with dynamic vegetation than with fixed shrubs. This corresponds to an increase in climate sensitivity of 26 %. This difference in warming is enhanced at high latitudes, with temperatures increasing by over 50% in some regions of Antarctica. In the Arctic, ice-albedo feedbacks are responsible for the majority of this warming. On a global scale, energy balance analysis shows that the enhanced warming with dynamic vegetation is mainly associated with an increase in atmospheric water vapour but changes in clouds also contribute to the temperature increase. It is likely that changes in surface albedo due to changes in vegetation cover resulted in an initial warming which triggered these water vapour feedbacks. In conclusion, dynamic vegetation goes some way to resolving the discrepancy, but our modelled temperatures cannot reach the same warmth as the data suggest in the Arctic. This suggests that there are additional mechanisms, not included in this modelling framework, behind the polar warmth or that the proxies have been misinterpreted.</t>
  </si>
  <si>
    <t>[Loptson, C. A.; Lunt, D. J.] Sch Geog Sci, Bristol BS8 1SS, Avon, England; [Francis, J. E.] British Antarctic Survey, Cambridge CB3 0ET, England</t>
  </si>
  <si>
    <t>University of Bristol; UK Research &amp; Innovation (UKRI); Natural Environment Research Council (NERC); NERC British Antarctic Survey</t>
  </si>
  <si>
    <t>Loptson, CA (corresponding author), Sch Geog Sci, Univ Rd, Bristol BS8 1SS, Avon, England.</t>
  </si>
  <si>
    <t>c.loptson@bristol.ac.uk</t>
  </si>
  <si>
    <t>IPO, PAGES/JXY-7546-2024; Lunt, Daniel/G-9451-2011</t>
  </si>
  <si>
    <t>Lunt, Daniel/0000-0003-3585-6928</t>
  </si>
  <si>
    <t>NERC [NE/I005722/1]; Natural Environment Research Council [NE/I006281/1, NE/I005722/1, bas0100026, NE/I006427/1] Funding Source: researchfish; NERC [NE/I006281/1, NE/I006427/1, bas0100026, NE/I005722/1] Funding Source: UKRI</t>
  </si>
  <si>
    <t>This work was funded by NERC grant number NE/I005722/1 and is part of the PALEOPOLAR project within the Co-Evolution of Life and the Planet programme.</t>
  </si>
  <si>
    <t>10.5194/cp-10-419-2014</t>
  </si>
  <si>
    <t>WOS:000335374600001</t>
  </si>
  <si>
    <t>Gasson, E; Lunt, DJ; DeConto, R; Goldner, A; Heinemann, M; Huber, M; LeGrande, AN; Pollard, D; Sagoo, N; Siddall, M; Winguth, A; Valdes, PJ</t>
  </si>
  <si>
    <t>Gasson, E.; Lunt, D. J.; DeConto, R.; Goldner, A.; Heinemann, M.; Huber, M.; LeGrande, A. N.; Pollard, D.; Sagoo, N.; Siddall, M.; Winguth, A.; Valdes, P. J.</t>
  </si>
  <si>
    <t>Uncertainties in the modelled CO2 threshold for Antarctic glaciation</t>
  </si>
  <si>
    <t>GREENLAND ICE-SHEET; EOCENE THERMAL MAXIMUM; ATMOSPHERIC CO2; OCEAN CIRCULATION; SEA TEMPERATURES; CLIMATE RESPONSE; CARBON-DIOXIDE; SENSITIVITY; ONSET; WARM</t>
  </si>
  <si>
    <t>A frequently cited atmospheric CO2 threshold for the onset of Antarctic glaciation of similar to 780 ppmv is based on the study of DeConto and Pollard (2003) using an ice sheet model and the GENESIS climate model. Proxy records suggest that atmospheric CO2 concentrations passed through this threshold across the Eocene-Oligocene transition similar to 34 Ma. However, atmospheric CO2 concentrations may have been close to this threshold earlier than this transition, which is used by some to suggest the possibility of Antarctic ice sheets during the Eocene. Here we investigate the climate model dependency of the threshold for Antarctic glaciation by performing offline ice sheet model simulations using the climate from 7 different climate models with Eocene boundary conditions (HadCM3L, CCSM3, CESM1.0, GENESIS, FAMOUS, ECHAM5 and GISS_ER). These climate simulations are sourced from a number of independent studies, and as such the boundary conditions, which are poorly constrained during the Eocene, are not identical between simulations. The results of this study suggest that the atmospheric CO2 threshold for Antarctic glaciation is highly dependent on the climate model used and the climate model configuration. A large discrepancy between the climate model and ice sheet model grids for some simulations leads to a strong sensitivity to the lapse rate parameter.</t>
  </si>
  <si>
    <t>[Gasson, E.; Siddall, M.] Univ Bristol, Dept Earth Sci, Bristol, Avon, England; [Gasson, E.; DeConto, R.] Univ Massachusetts, Climate Syst Res Ctr, Amherst, MA 01003 USA; [Lunt, D. J.; Sagoo, N.; Valdes, P. J.] Univ Bristol, Sch Geog Sci, Bristol, Avon, England; [Goldner, A.; Huber, M.] Purdue Univ, W Lafayette, IN 47907 USA; [Heinemann, M.] Univ Hawaii, Int Pacific Res Ctr, Honolulu, HI 96822 USA; [LeGrande, A. N.] NASA, Goddard Inst Space Studies, New York, NY 10025 USA; [Pollard, D.] Penn State Univ, Earth &amp; Environm Syst Inst, State Coll, PA USA; [Winguth, A.] Univ Texas Arlington, Dept Earth &amp; Environm Sci, Arlington, TX USA</t>
  </si>
  <si>
    <t>University of Bristol; University of Massachusetts System; University of Massachusetts Amherst; University of Bristol; Purdue University System; Purdue University; University of Hawaii System; National Aeronautics &amp; Space Administration (NASA); NASA Goddard Space Flight Center; Goddard Institute for Space Studies; Pennsylvania Commonwealth System of Higher Education (PCSHE); Pennsylvania State University; University of Texas System; University of Texas Arlington</t>
  </si>
  <si>
    <t>Gasson, E (corresponding author), Univ Bristol, Dept Earth Sci, Bristol, Avon, England.</t>
  </si>
  <si>
    <t>egw.gasson@gmail.com</t>
  </si>
  <si>
    <t>Valdes, Paul J/C-4129-2013; Valdes, Paul/T-2004-2019; IPO, PAGES/JXY-7546-2024; Huber, Matthew/A-7677-2008; LeGrande, Allegra N./D-8920-2012; Lunt, Daniel/G-9451-2011</t>
  </si>
  <si>
    <t>Valdes, Paul/0000-0002-1902-3283; Huber, Matthew/0000-0002-2771-9977; LeGrande, Allegra N./0000-0002-5295-0062; Sagoo, Navjit/0000-0002-1738-6013; Gasson, Edward/0000-0003-4653-6217; Lunt, Daniel/0000-0003-3585-6928</t>
  </si>
  <si>
    <t>NERC; Natural Environment Research Council [NE/I006427/1, NE/I006281/1, NE/J008591/1] Funding Source: researchfish; NERC [NE/J008591/1, NE/I006281/1, NE/I006427/1] Funding Source: UKRI; Div Atmospheric &amp; Geospace Sciences; Directorate For Geosciences [1203910, 1203792] Funding Source: National Science Foundation</t>
  </si>
  <si>
    <t>NERC(UK Research &amp; Innovation (UKRI)Natural Environment Research Council (NERC)); Natural Environment Research Council(UK Research &amp; Innovation (UKRI)Natural Environment Research Council (NERC)); NERC(UK Research &amp; Innovation (UKRI)Natural Environment Research Council (NERC)); Div Atmospheric &amp; Geospace Sciences; Directorate For Geosciences(National Science Foundation (NSF)NSF - Directorate for Geosciences (GEO))</t>
  </si>
  <si>
    <t>This work was carried out in part using the computational facilities of the Advanced Computing Research Centre, University of Bristol. E. Gasson was supported by NERC. This is a contribution to the PALSEA working group.</t>
  </si>
  <si>
    <t>10.5194/cp-10-451-2014</t>
  </si>
  <si>
    <t>WOS:000335374600003</t>
  </si>
  <si>
    <t>Goldner, A; Herold, N; Huber, M</t>
  </si>
  <si>
    <t>Goldner, A.; Herold, N.; Huber, M.</t>
  </si>
  <si>
    <t>The challenge of simulating the warmth of the mid-Miocene climatic optimum in CESM1</t>
  </si>
  <si>
    <t>ATMOSPHERIC CARBON-DIOXIDE; NINO-SOUTHERN-OSCILLATION; EL-NINO; ICE-SHEET; COEXISTENCE APPROACH; MOMENTUM TRANSPORT; VEGETATION CHANGES; PLIOCENE CLIMATE; SYSTEM MODEL; SENSITIVITY</t>
  </si>
  <si>
    <t>The mid-Miocene climatic optimum (MMCO) is an intriguing climatic period due to its above-modern temperatures in mid-to-high latitudes in the presence of close-to-modern CO2 concentrations. We use the recently released Community Earth System Model (CESM1.0) with a slab ocean to simulate this warm period, incorporating recent Miocene CO2 reconstructions of 400 ppm (parts per million). We simulate a global mean annual temperature (MAT) of 18 degrees C, similar to 4 degrees C above the preindustrial value, but 4 degrees C colder than the global Miocene MAT we calculate from climate proxies. Sensitivity tests reveal that the inclusion of a reduced Antarctic ice sheet, an equatorial Pacific temperature gradient characteristic of a permanent El Nino, increased CO2 to 560 ppm, and variations in obliquity only marginally improve model-data agreement. All MMCO simulations have an Equator to pole temperature gradient that is at least similar to 10 degrees C larger than that reconstructed from proxies. The MMCO simulation most comparable to the proxy records requires a CO2 concentration of 800 ppm. Our results illustrate that MMCO warmth is not reproducible using the CESM1.0 forced with CO2 concentrations reconstructed for the Miocene or including various proposed Earth system feedbacks; the remaining discrepancy in the MAT is comparable to that introduced by a CO2 doubling. The model's tendency to underestimate proxy derived global MAT and overestimate the Equator to pole temperature gradient suggests a major climate problem in the MMCO akin to those in the Eocene. Our results imply that this latest model, as with previous generations of climate models, is either not sensitive enough or additional forcings remain missing that explain half of the anomalous warmth and pronounced polar amplification of the MMCO.</t>
  </si>
  <si>
    <t>[Goldner, A.] Purdue Univ, W Lafayette, IN 47907 USA; [Huber, M.] Univ New Hampshire, Dept Earth Sci, Durham, NH 03824 USA; [Herold, N.; Huber, M.] Univ New Hampshire, Earth Syst Res Ctr, Inst Earth Ocean &amp; Space Sci, Durham, NH 03824 USA; [Goldner, A.] Amer Geophys Union Congress Sci, Washington, DC USA</t>
  </si>
  <si>
    <t>Purdue University System; Purdue University; University System Of New Hampshire; University of New Hampshire; University System Of New Hampshire; University of New Hampshire</t>
  </si>
  <si>
    <t>Goldner, A (corresponding author), Purdue Univ, 550 Stadium Mall Dr, W Lafayette, IN 47907 USA.</t>
  </si>
  <si>
    <t>aarongoldner@gmail.com</t>
  </si>
  <si>
    <t>Huber, Matthew/A-7677-2008</t>
  </si>
  <si>
    <t>Huber, Matthew/0000-0002-2771-9977</t>
  </si>
  <si>
    <t>Computational Sciences and Engineering (CS&amp;E) program through a GAANN fellowship; NSF P2C2 grant [0902882]; NSF EAR grant [1049921]; Directorate For Geosciences; Division Of Earth Sciences [1445404] Funding Source: National Science Foundation; Division Of Earth Sciences; Directorate For Geosciences [1049921] Funding Source: National Science Foundation; Division Of Ocean Sciences; Directorate For Geosciences [0902882] Funding Source: National Science Foundation; Office Of The Director; EPSCoR [1101245] Funding Source: National Science Foundation</t>
  </si>
  <si>
    <t>Computational Sciences and Engineering (CS&amp;E) program through a GAANN fellowship; NSF P2C2 grant(National Science Foundation (NSF)NSF - Directorate for Geosciences (GEO)); NSF EAR grant; Directorate For Geosciences; Division Of Earth Sciences(National Science Foundation (NSF)NSF - Directorate for Geosciences (GEO)); Division Of Earth Sciences; Directorate For Geosciences(National Science Foundation (NSF)NSF - Directorate for Geosciences (GEO)); Division Of Ocean Sciences; Directorate For Geosciences(National Science Foundation (NSF)NSF - Directorate for Geosciences (GEO)); Office Of The Director; EPSCoR(National Science Foundation (NSF)NSF - Office of the Director (OD)NSF - Office of Integrative Activities (OIA))</t>
  </si>
  <si>
    <t>We acknowledge support of the Computational Sciences and Engineering (CS&amp;E) program, which supports the first author through a GAANN fellowship. The authors thank Christine Shields and David Pollard, who helped with some of the implementation and development of the Miocene simulations. We also thank Matthew Pound who supplied us with his middle Miocene terrestrial data compilation and editor Appy Sluijs. In addition, parts of this research were funded by NSF P2C2 grant 0902882 and NSF EAR grant 1049921. This is PCCRC paper 1301.</t>
  </si>
  <si>
    <t>10.5194/cp-10-523-2014</t>
  </si>
  <si>
    <t>WOS:000335374600007</t>
  </si>
  <si>
    <t>Baumgartner, M; Kindler, P; Eicher, O; Floch, G; Schilt, A; Schwander, J; Spahni, R; Capron, E; Chappellaz, J; Leuenberger, M; Fischer, H; Stocker, TF</t>
  </si>
  <si>
    <t>Baumgartner, M.; Kindler, P.; Eicher, O.; Floch, G.; Schilt, A.; Schwander, J.; Spahni, R.; Capron, E.; Chappellaz, J.; Leuenberger, M.; Fischer, H.; Stocker, T. F.</t>
  </si>
  <si>
    <t>NGRIP CH4 concentration from 120 to 10 kyr before present and its relation to a δ15N temperature reconstruction from the same ice core</t>
  </si>
  <si>
    <t>ATMOSPHERIC NITROUS-OXIDE; DANSGAARD-OESCHGER EVENTS; GLOBAL WETLAND EXTENT; ORBITAL-SCALE CHANGES; ABRUPT CLIMATE-CHANGE; LAST GLACIAL MAXIMUM; METHANE EMISSIONS; MILLENNIAL-SCALE; LATE PLEISTOCENE; PRESENT STATE</t>
  </si>
  <si>
    <t>During the last glacial cycle, Greenland temperature showed many rapid temperature variations, the so-called Dansgaard-Oeschger (DO) events. The past atmospheric methane concentration closely followed these temperature variations, which implies that the warmings recorded in Greenland were probably hemispheric in extent. Here we substantially extend and complete the North Greenland Ice Core Project (NGRIP) methane record from the Preboreal Holocene (PB) back to the end of the last interglacial period with a mean time resolution of 54 yr. We relate the amplitudes of the methane increases associated with DO events to the amplitudes of the local Greenland NGRIP temperature increases derived from stable nitrogen isotope (delta N-15) measurements, which have been performed along the same ice core (Kindler et al., 2014). We find the ratio to oscillate between 5 parts per billion (ppb) per degrees C and 18 ppb degrees C-1 with the approximate frequency of the precessional cycle. A remarkably high ratio of 25.5 ppb degrees C-1 is reached during the transition from the Younger Dryas (YD) to the PB. Analysis of the timing of the fast methane and temperature increases reveals significant lags of the methane increases relative to NGRIP temperature for DO events 5, 9, 10, 11, 13, 15, 19, and 20. These events generally have small methane increase rates and we hypothesize that the lag is caused by pronounced northward displacement of the source regions from stadial to interstadial. We further show that the relative interpolar concentration difference (rIPD) of methane is about 4.5% for the stadials between DO events 18 and 20, which is in the same order as in the stadials before and after DO event 2 around the Last Glacial Maximum. The rIPD of methane remains relatively stable throughout the full last glacial, with a tendency for elevated values during interstadial compared to stadial periods.</t>
  </si>
  <si>
    <t>[Baumgartner, M.; Kindler, P.; Eicher, O.; Schilt, A.; Schwander, J.; Spahni, R.; Leuenberger, M.; Fischer, H.; Stocker, T. F.] Univ Bern, Inst Phys, CH-3012 Bern, Switzerland; [Baumgartner, M.; Kindler, P.; Eicher, O.; Schilt, A.; Schwander, J.; Spahni, R.; Leuenberger, M.; Fischer, H.; Stocker, T. F.] Univ Bern, Oeschger Ctr Climate Change Res, CH-3012 Bern, Switzerland; [Floch, G.; Chappellaz, J.] CNRS, LGGE, F-38041 Grenoble, France; [Floch, G.; Chappellaz, J.] Univ Grenoble Alpes, LGGE, F-38041 Grenoble, France; [Capron, E.] British Antarctic Survey, NERC, Cambridge CB3 0ET, England; [Capron, E.] CEA, CNRS, Insitut Pierre Simon Laplace, Lab Sci Climat &amp; Environm,UVSQ,UMR8212, F-91191 Gif Sur Yvette, France</t>
  </si>
  <si>
    <t>University of Bern; University of Bern; Communaute Universite Grenoble Alpes; Universite Grenoble Alpes (UGA); Centre National de la Recherche Scientifique (CNRS); Communaute Universite Grenoble Alpes; Universite Grenoble Alpes (UGA); UK Research &amp; Innovation (UKRI); Natural Environment Research Council (NERC); NERC British Antarctic Survey; Universite Paris Cite; Universite Paris Saclay; Centre National de la Recherche Scientifique (CNRS); CNRS - National Institute for Earth Sciences &amp; Astronomy (INSU); CEA</t>
  </si>
  <si>
    <t>Baumgartner, M (corresponding author), Univ Bern, Inst Phys, Sidlerstr 5, CH-3012 Bern, Switzerland.</t>
  </si>
  <si>
    <t>baumgartner@climate.unibe.ch</t>
  </si>
  <si>
    <t>Chappellaz, Jérôme A./A-4872-2011; Leuenberger, Markus C/K-9655-2016; Fischer, Hubertus/A-1211-2014</t>
  </si>
  <si>
    <t>Leuenberger, Markus C/0000-0003-4299-6793; Schilt, Adrian/0000-0001-6312-7947; Fischer, Hubertus/0000-0002-2787-4221</t>
  </si>
  <si>
    <t>University of Bern; Swiss National Science Foundation; Prince Albert II of Monaco Foundation; LEFE program of CNRS/INSU; Denmark (SHF); Belgium (FNRS-CFB); France (IPEV); France (INSU/CNRS); Germany (AWI); Iceland (RannIs); Japan (MEXT); Sweden (SPRS); Switzerland (SNF); United States of America (NSF); United States of America (Office of Polar Programs); European Union [243908]; Natural Environment Research Council [bas0100024] Funding Source: researchfish; NERC [bas0100024] Funding Source: UKRI</t>
  </si>
  <si>
    <t>University of Bern; Swiss National Science Foundation(Swiss National Science Foundation (SNSF)); Prince Albert II of Monaco Foundation; LEFE program of CNRS/INSU; Denmark (SHF); Belgium (FNRS-CFB)(Fonds de la Recherche Scientifique - FNRS); France (IPEV); France (INSU/CNRS)(Centre National de la Recherche Scientifique (CNRS)); Germany (AWI); Iceland (RannIs); Japan (MEXT)(Ministry of Education, Culture, Sports, Science and Technology, Japan (MEXT)); Sweden (SPRS); Switzerland (SNF); United States of America (NSF); United States of America (Office of Polar Programs); European Union(European Union (EU)); Natural Environment Research Council(UK Research &amp; Innovation (UKRI)Natural Environment Research Council (NERC)); NERC(UK Research &amp; Innovation (UKRI)Natural Environment Research Council (NERC))</t>
  </si>
  <si>
    <t>This work, which is a contribution to the North Greenland Ice Core Project (NGRIP), was supported by the University of Bern, the Swiss National Science Foundation, and the Prince Albert II of Monaco Foundation. Additional support was provided by the LEFE program of CNRS/INSU. NGRIP is coordinated by the Department of Geophysics at the Niels Bohr Institute for Astronomy, Physics and Geophysics, University of Copenhagen. It is supported by Funding Agencies in Denmark (SHF), Belgium (FNRS-CFB), France (IPEV and INSU/CNRS), Germany (AWI), Iceland (RannIs), Japan (MEXT), Sweden (SPRS), Switzerland (SNF) and the United States of America (NSF, Office of Polar Programs). The research leading to these results has received funding from the European Union's Seventh Framework program (FP7/2007-2013) under grant agreement no. 243908, Past4Future. Climate change - Learning from the past climate. This is Past4Future contribution no. 71.</t>
  </si>
  <si>
    <t>10.5194/cp-10-903-2014</t>
  </si>
  <si>
    <t>Green Submitted, gold, Green Accepted, Green Published</t>
  </si>
  <si>
    <t>WOS:000335374600033</t>
  </si>
  <si>
    <t>Westerhold, T; Röhl, U; Pälike, H; Wilkens, R; Wilson, PA; Acton, G</t>
  </si>
  <si>
    <t>Westerhold, T.; Roehl, U.; Paelike, H.; Wilkens, R.; Wilson, P. A.; Acton, G.</t>
  </si>
  <si>
    <t>Orbitally tuned timescale and astronomical forcing in the middle Eocene to early Oligocene</t>
  </si>
  <si>
    <t>SEDIMENTS ODP SITE-1218; GLOBAL CARBON-CYCLE; ANTARCTIC ICE-SHEET; CALCITE COMPENSATION; SOUTHERN-OCEAN; INSOLATION QUANTITIES; BIPOLAR GLACIATION; LATE PALEOCENE; CLIMATE; PACIFIC</t>
  </si>
  <si>
    <t>Deciphering the driving mechanisms of Earth system processes, including the climate dynamics expressed as paleoceanographic events, requires a complete, continuous, and high-resolution stratigraphy that is very accurately dated. In this study, a robust astronomically calibrated age model was constructed for the middle Eocene to early Oligocene interval (31-43Ma) in order to permit more detailed study of the exceptional climatic events that occurred during this time, including the middle Eocene climate optimum and the Eocene-Oligocene transition. A goal of this effort is to accurately date the middle Eocene to early Oligocene composite section cored during the Pacific Equatorial Age Transect (PEAT, IODP Exp. 320/321). The stratigraphic framework for the new timescale is based on the identification of the stable long eccentricity cycle in published and new high-resolution records encompassing bulk and benthic stable isotope, calibrated XRF core scanning, and magnetostrati-graphic data from ODP Sites 171B-1052, 189-1172, 1991218, and 207-1260 as well as IODP Sites 320-U1333, and 320-U1334 spanning magnetic polarity Chrons C12n to C20n. Subsequently orbital tuning of the records to the La2011 orbital solution was conducted. The resulting new timescale revises and refines the existing orbitally tuned age model and the geomagnetic polarity timescale from 31 to 43 Ma. The newly defined absolute age for the EoceneOligocene boundary validates the astronomical tuned age of 33.89Ma identified at the Massignano, Italy, global stratotype section and point. The compilation of geochemical records of climate-controlled variability in sedimenta-tion through the middle-to-late Eocene and early Oligocene demonstrates strong power in the eccentricity band that is readily tuned to the latest astronomical solution. Obliquity driven cyclicity is only apparent during 2.4 myr eccentricity cycle minima around 35.5, 38.3, and 40.1 Ma.</t>
  </si>
  <si>
    <t>[Westerhold, T.; Roehl, U.; Paelike, H.] Univ Bremen, MARUM Ctr Marine Environm Sci, D-28359 Bremen, Germany; [Wilkens, R.] Univ Hawaii, Inst Geophys &amp; Planetol, Honolulu, HI 96822 USA; [Wilson, P. A.] Univ Southampton, Natl Oceanog Ctr Southampton, Southampton SO14 3ZH, Hants, England; [Acton, G.] Sam Houston State Univ, Dept Geog &amp; Geol, Huntsville, TX 77431 USA</t>
  </si>
  <si>
    <t>University of Bremen; University of Hawaii System; NERC National Oceanography Centre; University of Southampton; Texas State University System; Sam Houston State University</t>
  </si>
  <si>
    <t>Westerhold, T (corresponding author), Univ Bremen, MARUM Ctr Marine Environm Sci, Leobener Str, D-28359 Bremen, Germany.</t>
  </si>
  <si>
    <t>twesterhold@marum.de</t>
  </si>
  <si>
    <t>Röhl, Ursula/G-5986-2011; Acton, Gary D/B-6108-2016; Westerhold, Thomas/D-4581-2011; Pälike, Heiko/A-6560-2008</t>
  </si>
  <si>
    <t>Röhl, Ursula/0000-0001-9469-7053; Westerhold, Thomas/0000-0001-8151-4684; Pälike, Heiko/0000-0003-3386-0923; Wilson, Paul/0000-0001-6425-8906; Acton, Gary/0000-0002-3285-4022; Wilkens, Roy/0000-0002-4844-1046</t>
  </si>
  <si>
    <t>Deutsche Forschungsgemeinschaft (DFG); NERC; National Science Foundation [NSF OCE-0961412]; NERC [NE/G009376/1, NE/I006168/1] Funding Source: UKRI; Natural Environment Research Council [NE/I006168/1, NE/G009376/1] Funding Source: researchfish</t>
  </si>
  <si>
    <t>Deutsche Forschungsgemeinschaft (DFG)(German Research Foundation (DFG)); NERC(UK Research &amp; Innovation (UKRI)Natural Environment Research Council (NERC)); National Science Foundation(National Science Foundation (NSF)); NERC(UK Research &amp; Innovation (UKRI)Natural Environment Research Council (NERC)); Natural Environment Research Council(UK Research &amp; Innovation (UKRI)Natural Environment Research Council (NERC))</t>
  </si>
  <si>
    <t>This research used samples and/or data provided by the Ocean Drilling Program (ODP) and Integrated Ocean Drilling Program (IODP). Data have been acquired in the XRF Core Scanner Lab at the MARUM - Center for Marine Environmental Sciences, University of Bremen, Germany. We thank Monika Segl and her team (MARUM) for stable isotope analysis. We thank Jan Backman, an anonymous reviewer, and Editor Andrea Dutton for thorough reviews and comments in the discussion phase improving the manuscript. Funding for this research was provided by the Deutsche Forschungsgemeinschaft (DFG), NERC, and the National Science Foundation (Grant NSF OCE-0961412). We are indebted to V. Lukies (MARUM) for assisting in XRF core scanning, and the staff at BCR and GCR for core handling. The complete data set presented in this paper is available online in the WDC-MARE PANGAEA database under www.pangaea.de.</t>
  </si>
  <si>
    <t>10.5194/cp-10-955-2014</t>
  </si>
  <si>
    <t>WOS:000338761600003</t>
  </si>
  <si>
    <t>Koffman, BG; Kreutz, KJ; Breton, DJ; Kane, EJ; Winski, DA; Birkel, SD; Kurbatov, AV; Handley, MJ</t>
  </si>
  <si>
    <t>Koffman, B. G.; Kreutz, K. J.; Breton, D. J.; Kane, E. J.; Winski, D. A.; Birkel, S. D.; Kurbatov, A. V.; Handley, M. J.</t>
  </si>
  <si>
    <t>Centennial-scale variability of the Southern Hemisphere westerly wind belt in the eastern Pacific over the past two millennia</t>
  </si>
  <si>
    <t>INTERTROPICAL CONVERGENCE ZONE; SEA-SALT AEROSOL; ICE-CORE; SIZE DISTRIBUTION; CLIMATE-CHANGE; MINERAL DUST; DOME-C; ATMOSPHERIC CIRCULATION; ANNULAR MODE; ANTARCTIC PENINSULA</t>
  </si>
  <si>
    <t>We present the first high-resolution (sub-annual) dust particle data set from West Antarctica, developed from the West Antarctic Ice Sheet (WAIS) Divide deep ice core (79.468 degrees S, 112.086 degrees W), and use it to reconstruct changes in atmospheric circulation over the past 2400 years. We find a background dust flux of similar to 4 mg m(-2) year(-1) and a mode particle size of 5-8 m diameter. Through comparing the WAIS Divide record with other Antarctic ice core particle records, we observe that coastal and lower-elevation sites have higher dust fluxes and coarser particle size distributions (PSDs) than sites on the East Antarctic plateau, suggesting input from local dust sources at these lower-elevation sites. In order to explore the use of the WAIS Divide dust PSD as a proxy for past atmospheric circulation, we make quantitative comparisons between both mid-latitude zonal wind speed and West Antarctic meridional wind speed and the dust size record, finding significant positive interannual relationships. We find that the dust PSD is related to midlatitude zonal wind speed via cyclonic activity in the Amundsen Sea region. Using our PSD record, and through comparison with spatially distributed climate reconstructions from the Southern Hemisphere (SH) middle and high latitudes, we infer that the SH westerlies occupied a more southerly position from circa 1050 to 1400 CE (Common Era), coinciding with the Medieval Climate Anomaly (MCA). Subsequently, at ca. 1430 CE, the wind belt shifted equatorward, where it remained until the mid-to-late twentieth century. We find covariability between reconstructions of El Nino-Southern Oscillation (ENSO) and the mid-latitude westerly winds in the eastern Pacific, suggesting that centennial-scale circulation changes in this region are strongly influenced by the tropical Pacific. Further, we observe increased coarse particle deposition over the past 50 years, consistent with observations that the SH westerlies have been shifting southward and intensifying in recent decades.</t>
  </si>
  <si>
    <t>[Koffman, B. G.; Kreutz, K. J.; Kane, E. J.; Winski, D. A.; Kurbatov, A. V.] Univ Maine, Sch Earth &amp; Climate Sci, Bryand Global Sci Ctr 5790, Orono, ME 04469 USA; [Koffman, B. G.; Kreutz, K. J.; Breton, D. J.; Winski, D. A.; Birkel, S. D.; Kurbatov, A. V.; Handley, M. J.] Univ Maine, Climate Change Inst, Bryand Global Sci Ctr 300, Orono, ME 04469 USA; [Koffman, B. G.] Columbia Univ, Lamont Doherty Earth Observ, Palisades, NY 10964 USA; [Breton, D. J.] Univ Maine, Dept Phys &amp; Astron, Orono, ME 04469 USA</t>
  </si>
  <si>
    <t>University of Maine System; University of Maine Orono; University of Maine System; University of Maine Orono; Columbia University; University of Maine System; University of Maine Orono</t>
  </si>
  <si>
    <t>Koffman, BG (corresponding author), Univ Maine, Sch Earth &amp; Climate Sci, Bryand Global Sci Ctr 5790, Orono, ME 04469 USA.</t>
  </si>
  <si>
    <t>bkoffman@ldeo.columbia.edu</t>
  </si>
  <si>
    <t>Birkel, Sean/W-2504-2019; Winski, Dominic/X-7395-2019; IPO, PAGES/JXY-7546-2024</t>
  </si>
  <si>
    <t>Kurbatov, Andrei/0000-0002-9819-9251; Koffman, Bess/0000-0002-9451-4138; Breton, Daniel/0000-0001-9040-5340; Winski, Dominic/0000-0002-9868-7909</t>
  </si>
  <si>
    <t>NSF [ANT-0944018, ANT-0636740]; University of Maine; Office of Polar Programs (OPP); Directorate For Geosciences [0944348] Funding Source: National Science Foundation</t>
  </si>
  <si>
    <t>NSF(National Science Foundation (NSF)); University of Maine; Office of Polar Programs (OPP); Directorate For Geosciences(National Science Foundation (NSF)NSF - Directorate for Geosciences (GEO))</t>
  </si>
  <si>
    <t>We appreciate helpful discussion with Samuel Albani, Gordon Bromley, Alejandra Borunda, Barbara Delmonte, Gang Chen, Yael Kiro, Jasper Kok, Natalie Mahowald, and Eric Steig. Dianne Dietrich, Jasper Kok, Mark Neary and Huijie Xue helped with software development. We thank Rich Pawlowicz for the m_map plotting package, M. Ma for the wind_rose.m program, Greg Gerbi for help with data filtering, and Urs Ruth and Anna Wegner for assistance setting up and calibrating the Abakus particle counter. David Bromwich and Julien Nicolas provided helpful insights on regional winds and reanalysis data. This paper was improved by helpful comments from Toby Koffman, Stephen Norton, Urs Ruth, and Roberto Udisti. We thank the WAIS Divide Science Coordination Office, Ice Drilling Design and Operations group, the National Ice Core Laboratory, Raytheon Polar Services Company, and the 109th New York Air National Guard. We appreciate the support of the University of Wisconsin-Madison Automatic Weather Station Program for the AWS data set, NSF grant ANT-0944018. This research was funded by NSF grant ANT-0636740, and by the University of Maine Chase Distinguished Research Assistantship, Correll Graduate Student Research Fellowship, and Dissertation Research Fellowship to B. G. Koffman. We thank two anonymous reviewers, whose thoughtful suggestions and questions served to clarify and improve the paper.</t>
  </si>
  <si>
    <t>10.5194/cp-10-1125-2014</t>
  </si>
  <si>
    <t>WOS:000338761600013</t>
  </si>
  <si>
    <t>Loutre, MF; Fichefet, T; Goosse, H; Huybrechts, P; Goelzer, H; Capron, E</t>
  </si>
  <si>
    <t>Loutre, M. F.; Fichefet, T.; Goosse, H.; Huybrechts, P.; Goelzer, H.; Capron, E.</t>
  </si>
  <si>
    <t>Factors controlling the last interglacial climate as simulated by LOVECLIM1.3</t>
  </si>
  <si>
    <t>GREENLAND ICE-SHEET; RAPID SEA-LEVEL; ATLANTIC DEEP-WATER; ANTARCTIC ICE; THERMOHALINE CIRCULATION; CORE EVIDENCE; TRANSIENT SIMULATIONS; CHRONOLOGY AICC2012; OCEAN CIRCULATION; LABRADOR SEA</t>
  </si>
  <si>
    <t>The last interglacial (LIG), also identified to the Eemian in Europe, began at approximately 130 kyr BP and ended at about 115 kyr BP (before present). More and more proxy-based reconstructions of the LIG climate are becoming more available even though they remain sparse. The major climate forcings during the LIG are rather well known and therefore models can be tested against paleoclimatic data sets and then used to better understand the climate of the LIG. However, models are displaying a large range of responses, being sometimes contradictory between them or with the reconstructed data. Here we would like to investigate causes of these differences. We focus on a single climate model, LOVECLIM, and we perform transient simulations over the LIG, starting at 135 kyr BP and run until 115 kyr BP. With these simulations, we test the role of the surface boundary conditions (the time-evolution of the Northern Hemisphere (NH) ice sheets) on the simulated LIG climate and the importance of the parameter sets (internal to the model, such as the albedos of the ocean and sea ice), which affect the sensitivity of the model. The magnitude of the simulated climate variations through the LIG remains too low compared to reconstructions for climate variables such as surface air temperature. Moreover, in the North Atlantic, the large increase in summer sea surface temperature towards the peak of the interglacial occurs too early (at similar to 128 kyr BP) compared to the reconstructions. This feature as well as the climate simulated during the optimum of the LIG, between 131 and 121 kyr BP, does not depend on changes in surface boundary conditions and parameter sets. The additional freshwater flux (FWF) from the melting NH ice sheets is responsible for a temporary abrupt weakening of the North Atlantic meridional overturning circulation, which causes a strong global cooling in annual mean. However, the changes in the configuration (extent and albedo) of the NH ice sheets during the LIG only slightly impact the simulated climate. Together, configuration of and FWF from the NH ice sheets greatly increase the magnitude of the temperature variations over continents as well as over the ocean at the beginning of the simulation and reduce the difference between the simulated climate and the reconstructions. Lastly, we show that the contribution from the parameter sets to the climate response is actually very modest.</t>
  </si>
  <si>
    <t>[Loutre, M. F.; Fichefet, T.; Goosse, H.] Catholic Univ Louvain, Earth &amp; Life Inst, Georges Lemaitre Ctr Earth &amp; Climate Res TECLIM, B-1348 Louvain La Neuve, Belgium; [Huybrechts, P.; Goelzer, H.] Vrije Univ Brussel, B-1050 Brussels, Belgium; [Huybrechts, P.; Goelzer, H.] Vrije Univ Brussel, Dept Geog, B-1050 Brussels, Belgium; [Capron, E.] British Antarctic Survey, Cambridge CB3 0ET, England</t>
  </si>
  <si>
    <t>Universite Catholique Louvain; Vrije Universiteit Brussel; Vrije Universiteit Brussel; UK Research &amp; Innovation (UKRI); Natural Environment Research Council (NERC); NERC British Antarctic Survey</t>
  </si>
  <si>
    <t>Loutre, MF (corresponding author), Catholic Univ Louvain, Earth &amp; Life Inst, Georges Lemaitre Ctr Earth &amp; Climate Res TECLIM, Pl Louis Pasteur,3 Bte L4-03-08, B-1348 Louvain La Neuve, Belgium.</t>
  </si>
  <si>
    <t>marie-france.loutre@uclouvain.be</t>
  </si>
  <si>
    <t>Goelzer, Heiko/M-2367-2016; Loutre, Marie-France/L-3594-2018; Huybrechts, Philippe/J-5278-2013</t>
  </si>
  <si>
    <t>Goelzer, Heiko/0000-0002-5878-9599; Loutre, Marie-France/0000-0001-6944-4038; Huybrechts, Philippe/0000-0003-1406-0525</t>
  </si>
  <si>
    <t>Belgian Federal Science Policy [SD/CS/06A]; European Union [243908]; UK-NERC consortium iGlass [NE/I009906/1]; Fonds de la Recherche Scientifique de Belgique (F.R.S.-FNRS) under convention [2.5020.11]; Natural Environment Research Council [bas0100024, NE/I009906/1, NE/I009639/1] Funding Source: researchfish; NERC [bas0100024, NE/I009639/1, NE/I009906/1] Funding Source: UKRI</t>
  </si>
  <si>
    <t>Belgian Federal Science Policy(Belgian Federal Science Policy Office); European Union(European Union (EU)); UK-NERC consortium iGlass; Fonds de la Recherche Scientifique de Belgique (F.R.S.-FNRS) under convention(Fonds de la Recherche Scientifique - FNRS); Natural Environment Research Council(UK Research &amp; Innovation (UKRI)Natural Environment Research Council (NERC)); NERC(UK Research &amp; Innovation (UKRI)Natural Environment Research Council (NERC))</t>
  </si>
  <si>
    <t>We thank the referees for their constructive comments on the manuscript and the editor for supervising the process. The Belgian Federal Science Policy funded this iCLIPS research project (Constraining long-term climate and sea-level projections using the Last Interglacial) within its Research Programme on Science for a Sustainable Development (SD/CS/06A).; The research leading to these results has received funding from the European Union's Seventh Framework programme (FP7/2007-2013) under grant agreement no. 243908, Past4Future. Climate change - Learning from the past climate. This is Past4Future contribution 65.; Thierry Fichefet is Honorary Research Associate of the Fonds de la Recherche Scientifique-FNRS. Hugues Goosse is Senior Research Associate of the Fonds de la Recherche Scientifique-FNRS. Emilie Capron has received funding from the UK-NERC consortium iGlass (NE/I009906/1).; Computational resources have been provided by the supercomputing facilities of the Universite catholique de Louvain (CISM/UCL) and the Consortium des Equipements de Calcul Intensif en Federation Wallonie Bruxelles (CECI) funded by the Fonds de la Recherche Scientifique de Belgique (F.R.S.-FNRS) under convention 2.5020.11.</t>
  </si>
  <si>
    <t>10.5194/cp-10-1541-2014</t>
  </si>
  <si>
    <t>AT2BG</t>
  </si>
  <si>
    <t>gold, Green Submitted, Green Accepted, Green Published</t>
  </si>
  <si>
    <t>WOS:000344735200004</t>
  </si>
  <si>
    <t>Heinemann, M; Timmermann, A; Timm, OE; Saito, F; Abe-Ouchi, A</t>
  </si>
  <si>
    <t>Heinemann, M.; Timmermann, A.; Timm, O. Elison; Saito, F.; Abe-Ouchi, A.</t>
  </si>
  <si>
    <t>Deglacial ice sheet meltdown: orbital pacemaking and CO2 effects</t>
  </si>
  <si>
    <t>LAST GLACIAL MAXIMUM; BED DATA SET; CARBON-DIOXIDE; ATMOSPHERIC CO2; TEMPERATURE-VARIATIONS; ANTARCTIC TEMPERATURE; TRANSIENT SIMULATION; OCEAN CIRCULATION; NORTH-ATLANTIC; CLIMATE</t>
  </si>
  <si>
    <t>One hundred thousand years of ice sheet buildup came to a rapid end similar to 25-10 thousand years before present (ka BP), when ice sheets receded quickly and multi-proxy reconstructed global mean surface temperatures rose by similar to 3-5 degrees C. It still remains unresolved whether insolation changes due to variations of earth's tilt and orbit were sufficient to terminate glacial conditions. Using a coupled three-dimensional climate-ice sheet model, we simulate the climate and Northern Hemisphere ice sheet evolution from 78 ka BP to 0 ka BP in good agreement with sea level and ice topography reconstructions. Based on this simulation and a series of deglacial sensitivity experiments with individually varying orbital parameters and prescribed CO2, we find that enhanced calving led to a slowdown of ice sheet growth as early as similar to 8 ka prior to the Last Glacial Maximum (LGM). The glacial termination was then initiated by enhanced ablation due to increasing obliquity and precession, in agreement with the Milankovitch theory. However, our results also support the notion that the similar to 100 ppmv rise of atmospheric CO2 after similar to 18 ka BP was a key contributor to the deglaciation. Without it, the present-day ice volume would be comparable to that of the LGM and global mean temperatures would be about 3 degrees C lower than today. We further demonstrate that neither orbital forcing nor rising CO2 concentrations alone were sufficient to complete the deglaciation.</t>
  </si>
  <si>
    <t>[Heinemann, M.] Penn State Univ, Earth &amp; Environm Syst Inst, University Pk, PA 16802 USA; [Heinemann, M.; Timmermann, A.] Univ Hawaii, Sch Ocean &amp; Earth Sci &amp; Technol, Int Pacific Res Ctr, Honolulu, HI 96822 USA; [Heinemann, M.; Timmermann, A.] Univ Hawaii, Sch Ocean &amp; Earth Sci &amp; Technol, Dept Oceanog, Honolulu, HI 96822 USA; [Timm, O. Elison] SUNY Albany, Dept Atmospher &amp; Environm Sci, Albany, NY 12222 USA; [Saito, F.; Abe-Ouchi, A.] Japan Agcy Marine Earth Sci &amp; Technol, Dept Integrated Climate Change Project Res, Yokohama, Kanagawa, Japan; [Abe-Ouchi, A.] Univ Tokyo, Atmosphere &amp; Ocean Res Inst, Kashiwa, Chiba, Japan</t>
  </si>
  <si>
    <t>Pennsylvania Commonwealth System of Higher Education (PCSHE); Pennsylvania State University; Pennsylvania State University - University Park; University of Hawaii System; University of Hawaii System; State University of New York (SUNY) System; State University of New York (SUNY) Albany; Japan Agency for Marine-Earth Science &amp; Technology (JAMSTEC); University of Tokyo</t>
  </si>
  <si>
    <t>Heinemann, M (corresponding author), Penn State Univ, Earth &amp; Environm Syst Inst, University Pk, PA 16802 USA.</t>
  </si>
  <si>
    <t>malteh@hawaii.edu</t>
  </si>
  <si>
    <t>SAITO, Fuyuki/B-8776-2013; Timmermann, Axel/Y-2799-2019; Elison Timm, Oliver/L-2543-2018; Abe-Ouchi, Ayako A/M-6359-2013</t>
  </si>
  <si>
    <t>Timmermann, Axel/0000-0003-0657-2969; Elison Timm, Oliver/0000-0001-8871-0602; Abe-Ouchi, Ayako A/0000-0003-1745-5952; SAITO, Fuyuki/0000-0001-5935-9614</t>
  </si>
  <si>
    <t>NSF [1010869]; Japan Agency for Marine-Earth Science and Technology (JAMSTEC) through International Pacific Research Center; Grants-in-Aid for Scientific Research [25241005, 22101001, 26241011, 22101005] Funding Source: KAKEN; Directorate For Geosciences; Div Atmospheric &amp; Geospace Sciences [1010869] Funding Source: National Science Foundation</t>
  </si>
  <si>
    <t>NSF(National Science Foundation (NSF)); Japan Agency for Marine-Earth Science and Technology (JAMSTEC) through International Pacific Research Center; Grants-in-Aid for Scientific Research(Ministry of Education, Culture, Sports, Science and Technology, Japan (MEXT)Japan Society for the Promotion of ScienceGrants-in-Aid for Scientific Research (KAKENHI)); Directorate For Geosciences; Div Atmospheric &amp; Geospace Sciences(National Science Foundation (NSF)NSF - Directorate for Geosciences (GEO))</t>
  </si>
  <si>
    <t>We would like to thank Didier M. Roche for providing the LGM setup of LOVECLIM. M. Heinemann was supported by NSF grant #1010869. A. Timmermann and O. Elison Timm were supported by the Japan Agency for Marine-Earth Science and Technology (JAMSTEC) through its sponsorship of the International Pacific Research Center. This is IPRC Publication #1045.</t>
  </si>
  <si>
    <t>10.5194/cp-10-1567-2014</t>
  </si>
  <si>
    <t>WOS:000344735200005</t>
  </si>
  <si>
    <t>Alberti, T; Lepreti, F; Vecchio, A; Bevacqua, E; Capparelli, V; Carbone, V</t>
  </si>
  <si>
    <t>Alberti, T.; Lepreti, F.; Vecchio, A.; Bevacqua, E.; Capparelli, V.; Carbone, V.</t>
  </si>
  <si>
    <t>Natural periodicities and Northern Hemisphere-Southern Hemisphere connection of fast temperature changes during the last glacial period: EPICA and NGRIP revisited</t>
  </si>
  <si>
    <t>EMPIRICAL MODE DECOMPOSITION; CLIMATE-CHANGE; ATLANTIC-OCEAN; GREENLAND; EVENTS; CYCLES; NOISE; TIME; CIRCULATION; ANTARCTICA</t>
  </si>
  <si>
    <t>We investigate both the European Project for Ice Coring in Antarctica Dronning Maud Land (EDML) and North Greenland Ice-Core Project (NGRIP) data sets to study both the time evolution of the so-called Dansgaard-Oeschger events and the dynamics at longer timescales during the last glacial period. Empirical mode decomposition (EMD) is used to extract the proper modes of both the data sets. It is shown that the time behavior at the typical timescales of Dansgaard-Oeschger events is captured through signal reconstructions obtained by summing five EMD modes for NGRIP and four EMD modes for EDML. The reconstructions obtained by summing the successive modes can be used to describe the climate evolution at longer timescales, characterized by intervals in which Dansgaard-Oeschger events happen and intervals when these are not observed. Using EMD signal reconstructions and a simple model based on the one-dimensional Langevin equation, it is argued that the occurrence of a Dansgaard-Oeschger event can be described as an excitation of the climate system within the same state, while the longer timescale behavior appears to be due to transitions between different climate states. Finally, on the basis of a cross-correlation analysis performed on EMD reconstructions, evidence that the Antarctic climate changes lead those of Greenland by a lag of approximate to 3.05 kyr is presented.</t>
  </si>
  <si>
    <t>[Alberti, T.; Lepreti, F.; Vecchio, A.; Bevacqua, E.; Capparelli, V.; Carbone, V.] Univ Calabria, Dipartimento Fis, I-87036 Arcavacata Di Rende, CS, Italy; [Lepreti, F.] CNISM Unita Cosenza, I-87036 Arcavacata Di Rende, CS, Italy; [Vecchio, A.] Ist Nazl Geofis &amp; Vulcanol, Arcavacata Di Rende, CS, Italy; [Carbone, V.] CNR ISAC, Lamezia Terme, CZ, Italy</t>
  </si>
  <si>
    <t>University of Calabria; Istituto Nazionale Geofisica e Vulcanologia (INGV); Consiglio Nazionale delle Ricerche (CNR); Istituto di Scienze dell'Atmosfera e del Clima (ISAC-CNR)</t>
  </si>
  <si>
    <t>Lepreti, F (corresponding author), Univ Calabria, Dipartimento Fis, Ponte P Bucci 31C, I-87036 Arcavacata Di Rende, CS, Italy.</t>
  </si>
  <si>
    <t>fabio.lepreti@fis.unical.it</t>
  </si>
  <si>
    <t>Vecchio, Antonio/AAS-9232-2020; Carbone, Vincenzo/AAD-8557-2020; Alberti, Tommaso/CAA-8483-2022; Lepreti, Fabio/C-4934-2016</t>
  </si>
  <si>
    <t>Carbone, Vincenzo/0000-0002-3182-6679; Alberti, Tommaso/0000-0001-6096-0220; Lepreti, Fabio/0000-0001-5196-2013; Bevacqua, Emanuele/0000-0003-0472-5183; Vecchio, Antonio/0000-0002-2002-1701</t>
  </si>
  <si>
    <t>10.5194/cp-10-1751-2014</t>
  </si>
  <si>
    <t>WOS:000344734800008</t>
  </si>
  <si>
    <t>Fleming, A; Hobday, AJ; Farmery, A; Van Putten, EI; Pecl, GT; Green, BS; Lim-Camacho, L</t>
  </si>
  <si>
    <t>Fleming, A.; Hobday, A. J.; Farmery, A.; Van Putten, E. I.; Pecl, G. T.; Green, B. S.; Lim-Camacho, L.</t>
  </si>
  <si>
    <t>Climate change risks and adaptation options across Australian seafood supply chains - A preliminary assessment</t>
  </si>
  <si>
    <t>CLIMATE RISK MANAGEMENT</t>
  </si>
  <si>
    <t>Behavioural change; Climate impacts; Barriers; Aquaculture</t>
  </si>
  <si>
    <t>MARINE; MANAGEMENT; FISHERY; IMPACTS; SHIFTS</t>
  </si>
  <si>
    <t>Climate change is already impacting the biology of the oceans and some dependent industries are in turn responding to these impacts. The development of response options for users of marine resources, such as fishers, is important in guiding adaptation efforts. However, harvesting fish is only the first step in a supply chain that delivers seafood to consumers. Impacts higher up the chain have seldom been considered in fisheries-climate research yet an understanding of these impacts and how climate risks and adaptation information are interpreted and used by stakeholders across the chain is vital for developing viable and sustainable adaptation options. We examined stakeholder perceptions of points where climate change impacts and adaptations currently occur, or may occur in the future, across the supply chains of several Australian fisheries (southern rock lobster, tropical rock lobster, prawn) and aquaculture sectors (oyster, aquaculture prawn). We found that climate change impacts are well understood at the harvest stage and there is evidence of potential impacts and disruption to supply chains. Yet, there currently is no strong driver for change higher up the chain. Holistic adaptation planning along the supply chain, underpinned by targeted information and policy for the catch, processing and distribution, and marketing phases is needed. This effort is needed now, as some adaptation options have long lead times, and a delay in adaptation planning may limit future options. Given potential lead times and associated uncertainty, a risk-based approach is recommended with regard to adaptation planning for Australia's seafood sector. (C) 2014 The Authors. Published by Elsevier B.V.</t>
  </si>
  <si>
    <t>[Fleming, A.; Hobday, A. J.; Van Putten, E. I.] CSIRO Marine &amp; Atmospher Res, Climate Adaptat Flagship, Hobart, Tas 7001, Australia; [Farmery, A.; Pecl, G. T.; Green, B. S.] Univ Tasmania, Inst Marine &amp; Antarctic Studies, Hobart, Tas 7001, Australia; [Lim-Camacho, L.] CSIRO Sci Soc Grp, Climate Adaptat Flagship, Pullenvale, Qld 4069, Australia</t>
  </si>
  <si>
    <t>Commonwealth Scientific &amp; Industrial Research Organisation (CSIRO); University of Tasmania; Commonwealth Scientific &amp; Industrial Research Organisation (CSIRO)</t>
  </si>
  <si>
    <t>Hobday, AJ (corresponding author), CSIRO Marine &amp; Atmospher Res, Climate Adaptat Flagship, Hobart, Tas 7001, Australia.</t>
  </si>
  <si>
    <t>Alistair.Hobday@csiro.au</t>
  </si>
  <si>
    <t>Farmery, Anna/H-9696-2014; Fleming, Aysha/E-8753-2011; Pecl, Gretta/D-7267-2011; Green, Bridget S/G-3368-2014; Lim-Camacho, Lilly/A-7502-2015; Hobday, Alistair/A-1460-2012</t>
  </si>
  <si>
    <t>Farmery, Anna/0000-0002-8938-0040; Fleming, Aysha/0000-0001-9895-1928; Pecl, Gretta/0000-0003-0192-4339; Lim-Camacho, Lilly/0000-0002-4897-1186;</t>
  </si>
  <si>
    <t>FRDC-DCCEE [2011/233]; Australian Government</t>
  </si>
  <si>
    <t>FRDC-DCCEE(Fisheries R&amp;D Corp); Australian Government(Australian Government)</t>
  </si>
  <si>
    <t>Ethics approval was obtained from the Tasmanian Ethics Committee and granted as minimal risk ( reference 002/2012). We greatly appreciate the contribution of stakeholders across the supply chains who participated in interviews and for facilitating additional contacts. This Marine NARP project 2011/233 was supported by funding from the FRDC-DCCEE on behalf of the Australian Government. Discussions with Rodrigo Bustamante, Stewart Frusher, Sarah Jennings, Ana Norman-Lopez, Sean Pascoe, Olivier Thebaud and Linda Thomas helped focus data collection and analysis.</t>
  </si>
  <si>
    <t>2212-0963</t>
  </si>
  <si>
    <t>CLIM RISK MANAG</t>
  </si>
  <si>
    <t>CLIM. RISK MANAG.</t>
  </si>
  <si>
    <t>10.1016/j.crm.2013.12.003</t>
  </si>
  <si>
    <t>V1F6K</t>
  </si>
  <si>
    <t>WOS:000216860100004</t>
  </si>
  <si>
    <t>Lazutin, LL; Kuznetsov, SN; Manninen, Y; Ranta, A; Samsonov, SN; Shirochkov, AV; Yushkov, BY</t>
  </si>
  <si>
    <t>Kuznetsov, V</t>
  </si>
  <si>
    <t>Lazutin, L. L.; Kuznetsov, S. N.; Manninen, Yu.; Ranta, A.; Samsonov, S. N.; Shirochkov, A. V.; Yushkov, B. Yu.</t>
  </si>
  <si>
    <t>Solar Protons in the Earth's Magnetosphere According to Riometric and Satellite Data During the Magnetic Storms of October 2003</t>
  </si>
  <si>
    <t>CORONAS-F SPACE MISSION: KEY RESULTS FOR SOLAR TERRESTRIAL PHYSICS</t>
  </si>
  <si>
    <t>Astrophysics and Space Science Library</t>
  </si>
  <si>
    <t>POLAR-CAP ABSORPTION; MIDDAY RECOVERY; PENETRATION; DYNAMICS; BOUNDARY; EVENT</t>
  </si>
  <si>
    <t>[Lazutin, L. L.; Kuznetsov, S. N.; Yushkov, B. Yu.] MV Lomonosov Moscow State Univ SINP MSU, DV Skobeltsyn Inst Nucl Phys, Moscow 119991, Russia; [Manninen, Yu.; Ranta, A.] Sodankyla Geophys Observ, Oulu, Finland; [Samsonov, S. N.] Yu G Shapher Inst Space Res &amp; Aeron SB RAS, Yakutsk, Russia; [Shirochkov, A. V.] Arctic &amp; Antarctic Res Inst, St Petersburg, Russia</t>
  </si>
  <si>
    <t>Lomonosov Moscow State University; Arctic &amp; Antarctic Research Institute</t>
  </si>
  <si>
    <t>Lazutin, LL (corresponding author), MV Lomonosov Moscow State Univ SINP MSU, DV Skobeltsyn Inst Nucl Phys, Moscow 119991, Russia.</t>
  </si>
  <si>
    <t>lll@srd.sinp.msu.ru</t>
  </si>
  <si>
    <t>Belov, Anatoly/L-4097-2019; Samsonov, Sergey/E-3461-2014</t>
  </si>
  <si>
    <t>Samsonov, Sergey/0000-0002-5897-6730</t>
  </si>
  <si>
    <t>PO BOX 17, 3300 AA DORDRECHT, NETHERLANDS</t>
  </si>
  <si>
    <t>0067-0057</t>
  </si>
  <si>
    <t>978-3-642-39268-9; 978-3-642-39267-2</t>
  </si>
  <si>
    <t>ASTROPHYS SPACE SC L</t>
  </si>
  <si>
    <t>10.1007/978-3-642-39268-9_13</t>
  </si>
  <si>
    <t>10.1007/978-3-642-39268-9</t>
  </si>
  <si>
    <t>BA6AK</t>
  </si>
  <si>
    <t>WOS:000337079100014</t>
  </si>
  <si>
    <t>Brisbourne, AM; Smith, AM; King, EC; Nicholls, KW; Holland, PR; Makinson, K</t>
  </si>
  <si>
    <t>Brisbourne, A. M.; Smith, A. M.; King, E. C.; Nicholls, K. W.; Holland, P. R.; Makinson, K.</t>
  </si>
  <si>
    <t>Seabed topography beneath Larsen C Ice Shelf from seismic soundings</t>
  </si>
  <si>
    <t>PINE ISLAND GLACIER; ANTARCTIC PENINSULA; EAST ANTARCTICA; WEDDELL SEA; THERMOHALINE CIRCULATION; WEST ANTARCTICA; GRAVITY-DATA; RETREAT; INVERSION; COLLAPSE</t>
  </si>
  <si>
    <t>Seismic reflection soundings of ice thickness and seabed depth were acquired on the Larsen C Ice Shelf in order to test a sub-ice shelf bathymetry model derived from the inversion of IceBridge gravity data. A series of lines was collected, from the Churchill Peninsula in the north to the Joerg Peninsula in the south, and also towards the ice front. Sites were selected using the bathymetry model derived from the inversion of free-air gravity data to indicate key regions where sub-ice shelf oceanic circulation may be affected by ice draft and seabed depth. The seismic velocity profile in the upper 100m of firn and ice was derived from shallow refraction surveys at a number of locations. Measured temperatures within the ice column and at the ice base were used to define the velocity profile through the remainder of the ice column. Seismic velocities in the water column were derived from previous in situ measurements. Uncertainties in ice and water cavity thickness are in general &lt; 10 m. Compared with the seismic measurements, the root-mean-square error in the gravimetrically derived bathymetry at the seismic sites is 162 m. The seismic profiles prove the non-existence of several bathymetric features that are indicated in the gravity inversion model, significantly modifying the expected oceanic circulation beneath the ice shelf. Similar features have previously been shown to be highly significant in affecting basal melt rates predicted by ocean models. The discrepancies between the gravity inversion results and the seismic bathymetry are attributed to the assumption of uniform geology inherent in the gravity inversion process and also the sparsity of IceBridge flight lines. Results indicate that care must be taken when using bathymetry models derived by the inversion of free-air gravity anomalies. The bathymetry results presented here will be used to improve existing sub-ice shelf ocean circulation models.</t>
  </si>
  <si>
    <t>[Brisbourne, A. M.; Smith, A. M.; King, E. C.; Nicholls, K. W.; Holland, P. R.; Makinson, K.] British Antarctic Survey, Cambridge CB3 0ET, England</t>
  </si>
  <si>
    <t>Brisbourne, AM (corresponding author), British Antarctic Survey, Madingley Rd, Cambridge CB3 0ET, England.</t>
  </si>
  <si>
    <t>aleisb@bas.ac.uk</t>
  </si>
  <si>
    <t>Makinson, Keith/A-2495-2013; Holland, Paul R/G-2796-2012; Brisbourne, Alex/E-6198-2013</t>
  </si>
  <si>
    <t>Makinson, Keith/0000-0002-5791-1767; SMITH, ANDREW/0000-0001-8577-482X; Brisbourne, Alex/0000-0002-9887-7120</t>
  </si>
  <si>
    <t>UK's Natural Environment Research Council (NERC); British Antarctic Survey (BAS); Office of Polar Programs (OPP); Directorate For Geosciences [1021274] Funding Source: National Science Foundation; Natural Environment Research Council [bas0100027] Funding Source: researchfish; NERC [bas0100027] Funding Source: UKRI</t>
  </si>
  <si>
    <t>UK's Natural Environment Research Council (NERC)(UK Research &amp; Innovation (UKRI)Natural Environment Research Council (NERC)); British Antarctic Survey (BAS); Office of Polar Programs (OPP);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</si>
  <si>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This work was funded by UK's Natural Environment Research Council (NERC) and the British Antarctic Survey (BAS). Field support was provided by BAS. We thank Dave Routledge for his invaluable assistance in the field and with data acquisition. Data are available from the author. The authors thank Leo Peters and one anonymous reviewer for their constructive comments.</t>
  </si>
  <si>
    <t>10.5194/tc-8-1-2014</t>
  </si>
  <si>
    <t>WOS:000332317000001</t>
  </si>
  <si>
    <t>Siegert, MJ; Ross, N; Corr, H; Smith, B; Jordan, T; Bingham, RG; Ferraccioli, F; Rippin, DM; Le Brocq, A</t>
  </si>
  <si>
    <t>Siegert, M. J.; Ross, N.; Corr, H.; Smith, B.; Jordan, T.; Bingham, R. G.; Ferraccioli, F.; Rippin, D. M.; Le Brocq, A.</t>
  </si>
  <si>
    <t>Boundary conditions of an active West Antarctic subglacial lake: implications for storage of water beneath the ice sheet</t>
  </si>
  <si>
    <t>DIGITAL ELEVATION MODEL; WEDDELL SEA SECTOR; RESERVOIR BENEATH; SATELLITE RADAR; EAST ANTARCTICA; LASER DATA; GLACIER; STREAM; FLOODS; MOUNTAINS</t>
  </si>
  <si>
    <t>Repeat-pass ICESat altimetry has revealed 124 discrete surface height changes across the Antarctic Ice Sheet, interpreted to be caused by subglacial lake discharges (surface lowering) and inputs (surface uplift). Few of these active lakes have been confirmed by radio-echo sounding (RES) despite several attempts (notable exceptions are Lake Whillans and three in the Adventure Subglacial Trench). Here we present targeted RES and radar altimeter data from an active lake location within the upstream Institute Ice Stream, into which at least 0.12 km(3) of water was previously calculated to have flowed between October 2003 and February 2008. We use a series of transects to establish an accurate depiction of the influences of bed topography and ice surface elevation on water storage potential. The location of surface height change is downstream of a subglacial hill on the flank of a distinct topographic hollow, where RES reveals no obvious evidence for deep (&gt; 10 m) water. The regional hydropotential reveals a sink coincident with the surface change, however. Governed by the location of the hydrological sink, basal water will likely drape over topography in a manner dissimilar to subglacial lakes where flat strong specular RES reflections are measured. The inability of RES to detect the active lake means that more of the Antarctic ice sheet bed may contain stored water than is currently appreciated. Variation in ice surface elevation data sets leads to significant alteration in calculations of the local flow of basal water indicating the value of, and need for, high-resolution altimetry data in both space and time to establish and characterise subglacial hydrological processes.</t>
  </si>
  <si>
    <t>[Siegert, M. J.] Univ Bristol, Sch Geog Sci, Bristol Glaciol Ctr, Bristol BS8 1SS, Avon, England; [Ross, N.] Newcastle Univ, Sch Geog Polit &amp; Sociol, Newcastle Upon Tyne NE1 7RU, Tyne &amp; Wear, England; [Corr, H.; Jordan, T.; Ferraccioli, F.] British Antarctic Survey, Cambridge CB3 0ET, England; [Smith, B.] Univ Washington, Appl Phys Lab, Polar Sci Ctr, Seattle, WA 98105 USA; [Bingham, R. G.] Univ Edinburgh, Sch GeoSci, Edinburgh EH8 9XP, Midlothian, Scotland; [Rippin, D. M.] Univ York, Dept Environm, York YO10 5DD, N Yorkshire, England; [Le Brocq, A.] Univ Exeter, Coll Life &amp; Environm Sci, Exeter EX4 4RJ, Devon, England</t>
  </si>
  <si>
    <t>University of Bristol; Newcastle University - UK; UK Research &amp; Innovation (UKRI); Natural Environment Research Council (NERC); NERC British Antarctic Survey; University of Washington; University of Washington Seattle; University of Edinburgh; University of York - UK; University of Exeter</t>
  </si>
  <si>
    <t>Siegert, MJ (corresponding author), Univ Bristol, Sch Geog Sci, Bristol Glaciol Ctr, Bristol BS8 1SS, Avon, England.</t>
  </si>
  <si>
    <t>m.j.siegert@bristol.ac.uk</t>
  </si>
  <si>
    <t>Siegert, Martin/M-9939-2019; Siegert, Martin J/A-3826-2008; Corr, Hugh/C-5398-2011; Rippin, David Manish/AAW-5063-2021; Bingham, Robert G/G-3576-2017</t>
  </si>
  <si>
    <t>Siegert, Martin/0000-0002-0090-4806; Siegert, Martin J/0000-0002-0090-4806; Rippin, David Manish/0000-0001-7757-9880; Ferraccioli, Fausto/0000-0002-9347-4736; Bingham, Robert G/0000-0002-0630-2021</t>
  </si>
  <si>
    <t>UK NERC AFI [NE/G013071/1]; Natural Environment Research Council [bas0100026, NE/G013098/1, NE/G013071/1, NE/F016646/2, NE/G013098/2, NE/G013071/2, NE/D009200/1] Funding Source: researchfish; NERC [NE/G013071/1, NE/D009200/1, NE/G013071/2, NE/G013098/1, NE/F016646/2, NE/G013098/2, bas0100026] Funding Source: UKRI</t>
  </si>
  <si>
    <t>UK NERC AFI(UK Research &amp; Innovation (UKRI)Natural Environment Research Council (NERC)); Natural Environment Research Council(UK Research &amp; Innovation (UKRI)Natural Environment Research Council (NERC)); NERC(UK Research &amp; Innovation (UKRI)Natural Environment Research Council (NERC))</t>
  </si>
  <si>
    <t>Funding was provided by UK NERC AFI grant NE/G013071/1. C. Robinson (Airborne Survey engineer), I. Potten and D. Cochrane (pilots) and M. Oostlander (air mechanic) are thanked for their invaluable assistance in the field. We also thank three referees, S. Carter, M. Wolovick and B. Csatho for their insightful and constructive reviews.</t>
  </si>
  <si>
    <t>10.5194/tc-8-15-2014</t>
  </si>
  <si>
    <t>WOS:000332317000002</t>
  </si>
  <si>
    <t>Gregory, SA; Albert, MR; Baker, I</t>
  </si>
  <si>
    <t>Gregory, S. A.; Albert, M. R.; Baker, I.</t>
  </si>
  <si>
    <t>Impact of physical properties and accumulation rate on pore close-off in layered firn</t>
  </si>
  <si>
    <t>POLAR FIRN; ANTARCTIC ICE; GAS-TRANSPORT; AIR; DENSIFICATION; MODEL; SNOW; AGE; METAMORPHISM; TOMOGRAPHY</t>
  </si>
  <si>
    <t>Investigations into the physical characteristics of deep firn near the lock-in zone through pore close-off are needed to improve understanding of ice core records of past atmospheric composition. Specifically, the permeability and microstructure profiles of the firn through the diffusive column influence the entrapment of air into bubbles and thus the ice age-gas age difference. The purpose of this study is to examine the nature of pore closure processes at two polar sites with very different local temperatures and accumulation rates. Density, permeability, and microstructure measurements were made on firn cores from the West Antarctic Ice Sheet (WAIS) Divide, a site that has moderate accumulation rates with a seasonal climate archive, and Megadunes in East Antarctica, a site that is a natural laboratory for accumulation rate effects in the cold low-accumulation desert. We found that the open pore structure plays a more important role than density in predicting gas transport properties, throughout the porous firn matrix. For firn below 50m depth at both WAIS Divide and Megadunes, finer-grained layers experience close-off shallower in the firn column than do coarser-grained layers, regardless of which grain size layer is the denser layer at depth. Pore close-off occurs at a critical open porosity that is accumulation rate dependent. Defining pore close-off at a critical open porosity for a given accumulation rate as opposed to a critical total porosity accounts for the pore space available for gas transport. Below the critical open porosity, the firn becomes impermeable despite having small amounts of interconnected pore space. The low-accumulation sites, with generally coarse grains, close off at lower open porosities (similar to &lt; 10 %) than the open porosity (similar to &gt; 10 %) of high-accumulation sites that have generally finer grains. The microstructure and permeability even near the bottom of the firn column are relic indicators of the nature of accumulation when that firn was at the surface. The physical structure and layering are the primary controlling factors on pore close-off. In contrast to current assumptions for polar firn, the depth and length of the lock-in zone is primarily dependent upon accumulation rate and microstructural variability due to differences in grain size and pore structure, rather than the density variability of the layers.</t>
  </si>
  <si>
    <t>[Gregory, S. A.; Albert, M. R.; Baker, I.] Dartmouth Coll, Thayer Sch Engn, Hanover, NH 03766 USA</t>
  </si>
  <si>
    <t>Dartmouth College</t>
  </si>
  <si>
    <t>Albert, MR (corresponding author), Dartmouth Coll, Thayer Sch Engn, Hanover, NH 03766 USA.</t>
  </si>
  <si>
    <t>mary.r.albert@dartmouth.edu</t>
  </si>
  <si>
    <t>IPO, PAGES/JXY-7546-2024</t>
  </si>
  <si>
    <t>Albert, Mary/0000-0001-7842-2359</t>
  </si>
  <si>
    <t>NSF [ANT-0944078, IGERT-0801490]; Office Of The Director; Office Of Internatl Science &amp;Engineering [0968391] Funding Source: National Science Foundation</t>
  </si>
  <si>
    <t>NSF(National Science Foundation (NSF)); Office Of The Director; Office Of Internatl Science &amp;Engineering(National Science Foundation (NSF)NSF - Office of the Director (OD))</t>
  </si>
  <si>
    <t>This research was funded by NSF grants ANT-0944078 and IGERT-0801490. The authors thank Jeff Severinghaus, Zoe Courville and colleagues from the WAIS Divide program for useful discussions, and we thank undergraduate students Emily Harwell, Noah Pfister, and Melina Bartels for assistance with the cold room measurements.</t>
  </si>
  <si>
    <t>10.5194/tc-8-91-2014</t>
  </si>
  <si>
    <t>WOS:000332317000007</t>
  </si>
  <si>
    <t>Zwinger, T; Schäfer, M; Martín, C; Moore, JC</t>
  </si>
  <si>
    <t>Zwinger, T.; Schaefer, M.; Martin, C.; Moore, J. C.</t>
  </si>
  <si>
    <t>Influence of anisotropy on velocity and age distribution at Scharffenbergbotnen blue ice area</t>
  </si>
  <si>
    <t>DRONNING MAUD LAND; FLOW MODEL; POLAR ICE; SHEET; ANTARCTICA; SIMULATIONS; EVOLUTION; DYNAMICS; GLACIER; RECORD</t>
  </si>
  <si>
    <t>We use a full-Stokes thermo-mechanically coupled ice-flow model to study the dynamics of the glacier inside Scharffenbergbotnen valley, Dronning Maud Land, Antarctica. The domain encompasses a high accumulation rate region and, downstream, a sublimation-dominated bare ice ablation area. The ablation ice area is notable for having old ice at its surface since the vertical velocity is upwards, and horizontal velocities are almost stagnant there. We compare the model simulation with field observations of velocities and the age distribution of the surface ice. No satisfactory match using an isotropic flow law could be found because of too high vertical velocities and much too high horizontal ones in simulations despite varying enhancement factor, geothermal heat flux and surface temperatures over large ranges. However, the existence of a pronounced ice fabric may explain the observed present-day surface velocity and mass balance distribution in the inner Scharffenbergbotnen blue ice area. Near absence of data on the temporal evolution of Scharffenbergbotnen since the Late Glacial Maximum necessitates exploration of the impact of anisotropy using prescribed ice fabrics: isotropic, single maximum, and linear variation with depth, in both two-dimensional and three-dimensional flow models. The realistic velocity field simulated with a noncollinear orthotropic flow law, however, produced surface ages in significant disagreement with the few reliable age measurements and suggests that the age field is not in a steady state and that the present distribution is a result of a flow reorganization at about 15 000 yr BP. In order to fully understand the surface age distribution, a transient simulation starting from the Late Glacial Maximum including the correct initial conditions for geometry, age, fabric and temperature distribution would be needed. This is the first time that the importance of anisotropy has been demonstrated in the ice dynamics of a blue ice area and demonstrates the need to understand ice flow in order to better interpret archives of ancient ice for paleoclimate research.</t>
  </si>
  <si>
    <t>[Zwinger, T.] CSC IT Ctr Sci Ltd, Espoo, Finland; [Schaefer, M.; Moore, J. C.] Univ Lapland, Arctic Ctr, Rovaniemi, Finland; [Schaefer, M.] Finnish Meteorol Inst, FIN-00101 Helsinki, Finland; [Martin, C.] British Antarctic Survey, Cambridge CB3 0ET, England; [Moore, J. C.] Beijing Normal Univ, Coll Global Change &amp; Earth Syst Sci, Beijing 100875, Peoples R China; [Moore, J. C.] Uppsala Univ, Program Air Water &amp; Landscape Sci, Dept Earth Sci, Uppsala, Sweden</t>
  </si>
  <si>
    <t>Finnish IT center for science; University of Lapland; Finnish Meteorological Institute; UK Research &amp; Innovation (UKRI); Natural Environment Research Council (NERC); NERC British Antarctic Survey; Beijing Normal University; Uppsala University</t>
  </si>
  <si>
    <t>Zwinger, T (corresponding author), CSC IT Ctr Sci Ltd, Espoo, Finland.</t>
  </si>
  <si>
    <t>zwinger@csc.fi</t>
  </si>
  <si>
    <t>Moore, John C/B-2868-2013; Martin, Carlos/S-2778-2018; Zwinger, Thomas/H-5163-2018</t>
  </si>
  <si>
    <t>Moore, John C/0000-0001-8271-5787; Martin, Carlos/0000-0002-2661-169X; Zwinger, Thomas/0000-0003-3360-4401</t>
  </si>
  <si>
    <t>Finnish Academy (Suomen Akatemia); NERC [bas0100027] Funding Source: UKRI; Natural Environment Research Council [bas0100027] Funding Source: researchfish</t>
  </si>
  <si>
    <t>Finnish Academy (Suomen Akatemia); NERC(UK Research &amp; Innovation (UKRI)Natural Environment Research Council (NERC)); Natural Environment Research Council(UK Research &amp; Innovation (UKRI)Natural Environment Research Council (NERC))</t>
  </si>
  <si>
    <t>This work has been funded by the Finnish Academy (Suomen Akatemia) under the project Dynamical evolution of Scharffenbergbotnen blue ice area since the Late Glacial Maximum. We thank A. Grinsted (Centre for Ice and Climate, NBI, Univ. Copenhagen, Denmark) and A. Sinisalo (Univ. Oslo, Norway) for their insightful help on topics concerning their earlier work at SBB. We are grateful to C. H. Reijmer (Institute for Marine and Atmospheric Research, Utrecht University, the Netherlands) for providing us with the data from AWS 7. We thank the two reviewers, Eric Larour and Shin Sugiyama, for their constructive criticism, which helped to improve the quality of this article.</t>
  </si>
  <si>
    <t>10.5194/tc-8-607-2014</t>
  </si>
  <si>
    <t>WOS:000335377200019</t>
  </si>
  <si>
    <t>Gunter, BC; Didova, O; Riva, REM; Ligtenberg, SRM; Lenaerts, JTM; King, MA; van den Broeke, MR; Urban, T</t>
  </si>
  <si>
    <t>Gunter, B. C.; Didova, O.; Riva, R. E. M.; Ligtenberg, S. R. M.; Lenaerts, J. T. M.; King, M. A.; van den Broeke, M. R.; Urban, T.</t>
  </si>
  <si>
    <t>Empirical estimation of present-day Antarctic glacial isostatic adjustment and ice mass change</t>
  </si>
  <si>
    <t>GRACE SATELLITE DATA; GRAVITY-FIELD; UPLIFT RATES; MODEL; BALANCE; SHEET; VARIABILITY; GREENLAND; ERROR; OCEAN</t>
  </si>
  <si>
    <t>This study explores an approach that simultaneously estimates Antarctic mass balance and glacial isostatic adjustment (GIA) through the combination of satellite gravity and altimetry data sets. The results improve upon previous efforts by incorporating a firn densification model to account for firn compaction and surface processes as well as reprocessed data sets over a slightly longer period of time. A range of different Gravity Recovery and Climate Experiment (GRACE) gravity models were evaluated and a new Ice, Cloud, and Land Elevation Satellite (ICESat) surface height trend map computed using an overlapping footprint approach. When the GIA models created from the combination approach were compared to in situ GPS ground station displacements, the vertical rates estimated showed consistently better agreement than recent conventional GIA models. The new empirically derived GIA rates suggest the presence of strong uplift in the Amundsen Sea sector in West Antarctica (WA) and the Philippi/Denman sectors, as well as subsidence in large parts of East Antarctica (EA). The total GIA-related mass change estimates for the entire Antarctic ice sheet ranged from 53 to 103 Gt yr(-1), depending on the GRACE solution used, with an estimated uncertainty of +/- 40 Gt yr(-1). Over the time frame February 2003-October 2009, the corresponding ice mass change showed an average value of -100 +/- 44 Gt yr(-1) (EA: 5 +/- 38, WA: -105 +/- 22), consistent with other recent estimates in the literature, with regional mass loss mostly concentrated in WA. The refined approach presented in this study shows the contribution that such data combinations can make towards improving estimates of present-day GIA and ice mass change, particularly with respect to determining more reliable uncertainties.</t>
  </si>
  <si>
    <t>[Gunter, B. C.; Didova, O.; Riva, R. E. M.] Delft Univ Technol, NL-2600 GA Delft, Netherlands; [Gunter, B. C.] Georgia Inst Technol, Sch Aerosp Engn, Atlanta, GA 30332 USA; [Ligtenberg, S. R. M.; Lenaerts, J. T. M.; van den Broeke, M. R.] Univ Utrecht, Inst Marine &amp; Atmospher Res Utrecht, NL-3508 TA Utrecht, Netherlands; [King, M. A.] Univ Tasmania, Sch Geog &amp; Environm Studies, Hobart, Tas 7001, Australia; [King, M. A.] Newcastle Univ, Sch Civil Engn &amp; Geosci, Newcastle Upon Tyne NE1 7RU, Tyne &amp; Wear, England; [Urban, T.] Univ Texas Austin, Ctr Space Res, Austin, TX 78759 USA</t>
  </si>
  <si>
    <t>Delft University of Technology; University System of Georgia; Georgia Institute of Technology; Utrecht University; University of Tasmania; Newcastle University - UK; University of Texas System; University of Texas Austin</t>
  </si>
  <si>
    <t>Gunter, BC (corresponding author), Delft Univ Technol, POB 5048, NL-2600 GA Delft, Netherlands.</t>
  </si>
  <si>
    <t>brian.gunter@aerospace.gatech.edu</t>
  </si>
  <si>
    <t>Ligtenberg, Stefan/AAF-8290-2020; Van den Broeke, Michiel R./F-7867-2011; Urban, Timothy/HTO-2064-2023; Lenaerts, Jan/D-9423-2012; Gunter, Brian C/C-7841-2014; King, Matt/B-4622-2008</t>
  </si>
  <si>
    <t>Van den Broeke, Michiel R./0000-0003-4662-7565; Lenaerts, Jan/0000-0003-4309-4011; King, Matt/0000-0001-5611-9498; Riva, Riccardo/0000-0002-2042-5669; Gunter, Brian/0000-0002-4743-6173</t>
  </si>
  <si>
    <t>Division for Earth and Life Sciences (ALW); New Netherlands Polar Programme (NNPP) of the Netherlands Organization for Scientific Research (NWO); Australian Research Council [FT110100207]; Australian Research Council [FT110100207] Funding Source: Australian Research Council</t>
  </si>
  <si>
    <t>Division for Earth and Life Sciences (ALW); New Netherlands Polar Programme (NNPP) of the Netherlands Organization for Scientific Research (NWO)(Netherlands Organization for Scientific Research (NWO)); Australian Research Council(Australian Research Council); Australian Research Council(Australian Research Council)</t>
  </si>
  <si>
    <t>The authors would like to thank P. Ditmar and H. Hashemi Farahani for providing the DMT solutions, H. Save for the CSR regularized solutions, and J. Kusche for the DDK solutions. Additional thanks go to P. Whitehouse for the W12a GIA model, Erik Ivins for the IJ05 model, and Richard Peltier for the ICE-5G model. All geographical plots were produced using the Generic Mapping Tools (GMT). This study was partially funded by the Division for Earth and Life Sciences (ALW) with financial aid from the New Netherlands Polar Programme (NNPP) of the Netherlands Organization for Scientific Research (NWO). M. A. King is a recipient of an Australian Research Council Future Fellowship (project number FT110100207). The ICESat data was provided by the National Snow and Ice Data Center (NSIDC), and the unconstrained GRACE solutions were obtained from the Physical Oceanography Distributed Active Archive Center (PO.DAAC) at the NASA Jet Propulsion Laboratory, Pasadena, CA.</t>
  </si>
  <si>
    <t>10.5194/tc-8-743-2014</t>
  </si>
  <si>
    <t>WOS:000335377200028</t>
  </si>
  <si>
    <t>Petty, AA; Holland, PR; Feltham, DL</t>
  </si>
  <si>
    <t>Petty, A. A.; Holland, P. R.; Feltham, D. L.</t>
  </si>
  <si>
    <t>Sea ice and the ocean mixed layer over the Antarctic shelf seas</t>
  </si>
  <si>
    <t>CIRCUMPOLAR DEEP-WATER; BOTTOM WATER; ROSS-SEA; CONTINENTAL-SHELF; AMUNDSEN SEA; WEDDELL SEA; THERMODYNAMIC MODEL; COASTAL POLYNYAS; SURFACE WIND; WARM-WATER</t>
  </si>
  <si>
    <t>An ocean mixed-layer model has been incorporated into the Los Alamos sea ice model CICE to investigate regional variations in the surface-driven formation of Antarctic shelf waters. This model captures well the expected sea ice thickness distribution, and produces deep (&gt;500 m) mixed layers in the Weddell and Ross shelf seas each winter. This results in the complete destratification of the water column in deep southern coastal regions leading to high-salinity shelf water (HSSW) formation, and also in some shallower regions (no HSSW formation) of these seas. Shallower mixed layers are produced in the Amundsen and Bellingshausen seas. By deconstructing the surface processes driving the mixed-layer depth evolution, we show that the net salt flux from sea ice growth/melt dominates the evolution of the mixed layer in all regions, with a smaller contribution from the surface heat flux and a negligible input from wind stress. The Weddell and Ross shelf seas receive an annual surplus of mixing energy at the surface; the Amundsen shelf sea energy input in autumn/winter is balanced by energy extraction in spring/summer; and the Bellingshausen shelf sea experiences an annual surface energy deficit, through both a low energy input in autumn/winter and the highest energy loss in spring/summer. An analysis of the sea ice mass balance demonstrates the contrasting mean ice growth, melt and export in each region. The Weddell and Ross shelf seas have the highest annual ice growth, with a large fraction exported northwards each year, whereas the Bellingshausen shelf sea experiences the highest annual ice melt, driven by the advection of ice from the northeast. A linear regression analysis is performed to determine the link between the autumn/winter mixed-layer deepening and several atmospheric variables. The Weddell and Ross shelf seas show stronger spatial correlations (temporal mean - intra-regional variability) between the autumn/winter mixed-layer deepening and several atmospheric variables compared to the Amundsen and Bellingshausen. In contrast, the Amundsen and Bellingshausen shelf seas show stronger temporal correlations (shelf sea mean interannual variability) between the autumn/winter mixed-layer deepening and several atmospheric variables.</t>
  </si>
  <si>
    <t>[Petty, A. A.] UCL, Dept Earth Sci, Ctr Polar Observat &amp; Modelling, London WC1E 6BT, England; [Holland, P. R.] British Antarctic Survey, Cambridge CB3 0ET, England; [Feltham, D. L.] Univ Reading, Dept Meteorol, Ctr Polar Observat &amp; Modelling, Reading RG6 6BB, Berks, England</t>
  </si>
  <si>
    <t>University of London; University College London; UK Research &amp; Innovation (UKRI); Natural Environment Research Council (NERC); NERC British Antarctic Survey; University of Reading</t>
  </si>
  <si>
    <t>Petty, AA (corresponding author), Univ Maryland, Earth Syst Sci Interdisciplinary Ctr, College Pk, MD 20742 USA.</t>
  </si>
  <si>
    <t>alek.petty@noaa.gov</t>
  </si>
  <si>
    <t>Holland, Paul R/G-2796-2012; Petty, Alek/K-1839-2014</t>
  </si>
  <si>
    <t>Petty, Alek/0000-0003-0307-3216; Feltham, Daniel/0000-0003-2289-014X</t>
  </si>
  <si>
    <t>NERC [cpom30001, NE/I023708/2, NE/I029439/1, NE/I023708/1, bas0100028] Funding Source: UKRI; Natural Environment Research Council [cpom30001, NE/I023708/1, NE/I029439/1, bas0100028, NE/I023708/2] Funding Source: researchfish</t>
  </si>
  <si>
    <t>10.5194/tc-8-761-2014</t>
  </si>
  <si>
    <t>WOS:000335377200029</t>
  </si>
  <si>
    <t>Callens, D; Matsuoka, K; Steinhage, D; Smith, B; Witrant, E; Pattyn, F</t>
  </si>
  <si>
    <t>Callens, D.; Matsuoka, K.; Steinhage, D.; Smith, B.; Witrant, E.; Pattyn, F.</t>
  </si>
  <si>
    <t>Transition of flow regime along a marine-terminating outlet glacier in East Antarctica</t>
  </si>
  <si>
    <t>PINE ISLAND GLACIER; ICE-FLOW; HIGHER-ORDER; BED ROUGHNESS; THICKNESS; RADAR; MODEL; SURFACE; BENEATH; DRIVEN</t>
  </si>
  <si>
    <t>We present results of a multi-methodological approach to characterize the flow regime of West Ragnhild Glacier, the widest glacier in Dronning Maud Land, Antarctica. A new airborne radar survey points to substantially thicker ice (&gt; 2000 m) than previously thought. With a discharge estimate of 13-14 Gtyr(-1), West Ragnhild Glacier thus becomes of the three major outlet glaciers in Dronning Maud Land. Its bed topography is distinct between the upstream and downstream section: in the downstream section (&lt; 65 km upstream of the grounding line), the glacier over-lies a wide and flat basin well below the sea level, while the upstream region is more mountainous. Spectral analysis of the bed topography also reveals this clear contrast and suggests that the downstream area is sediment covered. Furthermore, bed-returned power varies by 30 dB within 20 km near the bed flatness transition, suggesting that the water content at bed/ice interface increases over a short distance downstream, hence pointing to water-rich sediment. Ice flow speed observed in the downstream part of the glacier (similar to 250myr(-1)) can only be explained through very low basal friction, leading to a substantial amount of basal sliding in the downstream 65 km of the glacier. All the above lines of evidence (sediment bed, wetness and basal motion) and the relatively flat grounding zone give the potential for West Ragnhild Glacier to be more sensitive to external forcing compared to other major outlet glaciers in this region, which are more stable due to their bed geometry (e. g. Shirase Glacier).</t>
  </si>
  <si>
    <t>[Callens, D.; Witrant, E.; Pattyn, F.] Univ Libre Bruxelles, Lab Glaciol, Brussels, Belgium; [Matsuoka, K.] Norwegian Polar Res Inst, Tromso, Norway; [Steinhage, D.] Helmholtz Zentrum Polar &amp; Meeresforsch, Alfred Wegener Inst, Bremerhaven, Germany; [Smith, B.] Univ Washington, Appl Phys Lab, Seattle, WA 98105 USA; [Witrant, E.] Univ Grenoble 1, GIPSA Lab, Grenoble, France</t>
  </si>
  <si>
    <t>Universite Libre de Bruxelles; Norwegian Polar Institute; Helmholtz Association; Alfred Wegener Institute, Helmholtz Centre for Polar &amp; Marine Research; University of Washington; University of Washington Seattle; Communaute Universite Grenoble Alpes; Institut National Polytechnique de Grenoble; Universite Grenoble Alpes (UGA); Centre National de la Recherche Scientifique (CNRS)</t>
  </si>
  <si>
    <t>Callens, D (corresponding author), Univ Libre Bruxelles, Lab Glaciol, Brussels, Belgium.</t>
  </si>
  <si>
    <t>dcallens@ulb.ac.be</t>
  </si>
  <si>
    <t>Pattyn, Frank/AAA-9640-2019; Matsuoka, Kenichi/B-7298-2017</t>
  </si>
  <si>
    <t>Pattyn, Frank/0000-0003-4805-5636; Matsuoka, Kenichi/0000-0002-3587-3405</t>
  </si>
  <si>
    <t>European Facilities for Airborne Research (EUFAR); FNRS-FRIA fellowship (Fonds de la Recherche Scientifique); Research Council of Norway; Centre for Ice, Climate and Ecosystems (ICE) at the Norwegian Polar Institute</t>
  </si>
  <si>
    <t>European Facilities for Airborne Research (EUFAR); FNRS-FRIA fellowship (Fonds de la Recherche Scientifique)(Fonds de la Recherche Scientifique - FNRS); Research Council of Norway(Research Council of Norway); Centre for Ice, Climate and Ecosystems (ICE) at the Norwegian Polar Institute</t>
  </si>
  <si>
    <t>The radar survey was conducted by the Alfred Wegener Institute with further logistical support from the Princess Elisabeth Station (Belgian Antarctic Research Expedition, BELARE), and funded by the European Facilities for Airborne Research (EUFAR). D. Callens is funded through a FNRS-FRIA fellowship (Fonds de la Recherche Scientifique) and received an Yggdrasil mobility grant (Research Council of Norway). This work is in part supported by the Centre for Ice, Climate and Ecosystems (ICE) at the Norwegian Polar Institute.</t>
  </si>
  <si>
    <t>10.5194/tc-8-867-2014</t>
  </si>
  <si>
    <t>WOS:000338655600005</t>
  </si>
  <si>
    <t>Willmes, S; Nicolaus, M; Haas, C</t>
  </si>
  <si>
    <t>Willmes, S.; Nicolaus, M.; Haas, C.</t>
  </si>
  <si>
    <t>The microwave emissivity variability of snow covered first-year sea ice from late winter to early summer: a model study</t>
  </si>
  <si>
    <t>SEASONAL CYCLE; SURFACE; DEPTH; SIMULATIONS; RETRIEVALS; SIGNATURES; REDUCTION; ONSET; MELT</t>
  </si>
  <si>
    <t>Satellite observations of microwave brightness temperatures between 19 GHz and 85 GHz are the main data sources for operational sea-ice monitoring and retrieval of ice concentrations. However, microwave brightness temperatures depend on the emissivity of snow and ice, which is subject to pronounced seasonal variations and shows significant hemispheric contrasts. These mainly arise from differences in the rate and strength of snow metamorphism and melt. We here use the thermodynamic snow model SNTHERM forced by European Re-Analysis (ERA) interim data and the Microwave Emission Model of Layered Snowpacks (MEMLS), to calculate the sea-ice surface emissivity and to identify the contribution of regional patterns in atmospheric conditions to its variability in the Arctic and Antarctic. The computed emissivities reveal a pronounced seasonal cycle with large regional variability. The emissivity variability increases from winter to early summer and is more pronounced in the Antarctic. In the pre-melt period (January-May, July-November) the standard deviations in surface microwave emissivity due to diurnal, regional and inter-annual variability of atmospheric forcing reach up to Delta epsilon = 0.034, 0.043, and 0.097 for 19 GHz, 37 GHz and 85 GHz channels, respectively. Between 2000 and 2009, small but significant positive emissivity trends were observed in the Weddell Sea during November and December as well as in Fram Strait during February, potentially related to earlier melt onset in these regions. The obtained results contribute to a better understanding of the uncertainty and variability of sea-ice concentration and snow-depth retrievals in regions of high sea-ice concentrations.</t>
  </si>
  <si>
    <t>[Willmes, S.] Univ Trier, D-54286 Trier, Germany; [Nicolaus, M.] Helmholtz Zentrum Polar &amp; Meeresforsch, Alfred Wegener Inst, Bremerhaven, Germany; [Haas, C.] York Univ, Toronto, ON M3J 2R7, Canada</t>
  </si>
  <si>
    <t>Universitat Trier; Helmholtz Association; Alfred Wegener Institute, Helmholtz Centre for Polar &amp; Marine Research; York University - Canada</t>
  </si>
  <si>
    <t>Willmes, S (corresponding author), Univ Trier, D-54286 Trier, Germany.</t>
  </si>
  <si>
    <t>willmes@uni-trier.de</t>
  </si>
  <si>
    <t>Willmes, Sascha/J-5796-2012; Nicolaus, Marcel/A-3658-2013; Haas, Christian/L-5279-2016</t>
  </si>
  <si>
    <t>Nicolaus, Marcel/0000-0003-0903-1746; Haas, Christian/0000-0002-7674-3500</t>
  </si>
  <si>
    <t>Deutsche Forschungsgemeinschaft (DFG) [WI 33114/-1, WI 3314/-2]</t>
  </si>
  <si>
    <t>This work was supported by the Deutsche Forschungsgemeinschaft (DFG) in the framework of the priority programme Antarctic research with comparative investigations in Arctic ice areas by a grant to WI 33114/-1 and WI 3314/-2. We are very grateful to Rasmus T. Tonboe from the Danish Meteorological Institute who kindly provided his sea-ice version of MEMLS. Sea-ice brightness temperatures and sea-ice concentrations were provided by the US National Snow and Ice Data Center (NSIDC). The European Center for Medium Range Weather Forecast (ECMWF) offered ERA interim data free of charge. Leif Toudal Pedersen, Rasmus Tonboe and Gunther Heinemann provided very valuable comments on this research. We also acknowledge the very detailed and helpful reviews by three anonymous referees and Hajo Eicken.</t>
  </si>
  <si>
    <t>10.5194/tc-8-891-2014</t>
  </si>
  <si>
    <t>WOS:000338655600007</t>
  </si>
  <si>
    <t>Sun, B; Moore, JC; Zwinger, T; Zhao, L; Steinhage, D; Tang, X; Zhang, D; Cui, X; Martín, C</t>
  </si>
  <si>
    <t>Sun, B.; Moore, J. C.; Zwinger, T.; Zhao, L.; Steinhage, D.; Tang, X.; Zhang, D.; Cui, X.; Martin, C.</t>
  </si>
  <si>
    <t>How old is the ice beneath Dome A, Antarctica?</t>
  </si>
  <si>
    <t>INDUCED ANISOTROPY; EAST ANTARCTICA; SHEET; CORE; MODEL; EVOLUTION; FABRICS</t>
  </si>
  <si>
    <t>Chinese scientists will start to drill a deep ice core at Kunlun station near Dome A in the near future. Recent work has predicted that Dome A is a location where ice older than 1 million years can be found. We model flow, temperature and the age of the ice by applying a three-dimensional, thermomechanically coupled full-Stokes model to a 70x70 km(2) domain around Kunlun station, using isotropic non-linear rheology and different prescribed anisotropic ice fabrics that vary the evolution from isotropic to single maximum at 1/3 or 2/3 depths. The variation in fabric is about as important as the uncertainties in geothermal heat flux in determining the vertical advection which in consequence controls both the basal temperature and the age profile. We find strongly variable basal ages across the domain since the ice varies greatly in thickness, and any basal melting effectively removes very old ice in the deepest parts of the subglacial valleys. Comparison with dated radar isochrones in the upper one third of the ice sheet cannot sufficiently constrain the age of the deeper ice, with uncertainties as large as 500 000 years in the basal age. We also assess basal age and thermal state sensitivities to geothermal heat flux and surface conditions. Despite expectations of modest changes in surface height over a glacial cycle at Dome A, even small variations in the evolution of surface conditions cause large variation in basal conditions, which is consistent with basal accretion features seen in radar surveys.</t>
  </si>
  <si>
    <t>[Sun, B.; Tang, X.; Zhang, D.; Cui, X.] Polar Res Inst China, Shanghai 200129, Peoples R China; [Moore, J. C.; Zwinger, T.; Zhao, L.] Beijing Normal Univ, Coll Global Change &amp; Earth Syst Sci, Beijing 100875, Peoples R China; [Moore, J. C.] Univ Lapland, Arctic Ctr, Rovaniemi 96101, Finland; [Moore, J. C.] Uppsala Univ, Dept Earth Sci, S-75236 Uppsala, Sweden; [Zwinger, T.] CSC IT Ctr Sci Ltd, Espoo, Finland; [Steinhage, D.] Helmholtz Ctr Polar &amp; Marine Res, Alfred Wegener Inst, Bremerhaven, Germany; [Martin, C.] British Antarctic Survey, Nat Environm Res Council, Cambridge CB3 0ET, England</t>
  </si>
  <si>
    <t>Polar Research Institute of China; Beijing Normal University; University of Lapland; Uppsala University; Finnish IT center for science; Helmholtz Association; Alfred Wegener Institute, Helmholtz Centre for Polar &amp; Marine Research; UK Research &amp; Innovation (UKRI); Natural Environment Research Council (NERC); NERC British Antarctic Survey</t>
  </si>
  <si>
    <t>China's National Key Science Program for Global Change Research [2012CB957702, 2010CB950504, 2010CB951401, 2012CB957704]; NSFC [Q72 41076125]; National High-tech R&amp;D Program of China [2011AA040202]; Chinese Polar Environmental Comprehensive Investigation and Assessment Programs [CHINARE-02-02]; NERC [bas0100027] Funding Source: UKRI; Natural Environment Research Council [bas0100027] Funding Source: researchfish</t>
  </si>
  <si>
    <t>China's National Key Science Program for Global Change Research; NSFC(National Natural Science Foundation of China (NSFC)); National High-tech R&amp;D Program of China(National High Technology Research and Development Program of China); Chinese Polar Environmental Comprehensive Investigation and Assessment Programs; NERC(UK Research &amp; Innovation (UKRI)Natural Environment Research Council (NERC)); Natural Environment Research Council(UK Research &amp; Innovation (UKRI)Natural Environment Research Council (NERC))</t>
  </si>
  <si>
    <t>Work was supported by China's National Key Science Program for Global Change Research (2012CB957702, 2010CB950504, 2010CB951401 and 2012CB957704) and NSFC Q72 41076125, the National High-tech R&amp;D Program of China (2011AA040202), and the Chinese Polar Environmental Comprehensive Investigation and Assessment Programs (CHINARE-02-02). We thank N. B. Karlsson for a thoughtful and useful review.</t>
  </si>
  <si>
    <t>10.5194/tc-8-1121-2014</t>
  </si>
  <si>
    <t>WOS:000338655600023</t>
  </si>
  <si>
    <t>Montagnat, M; Azuma, N; Dahl-Jensen, D; Eichler, J; Fujita, S; Gillet-Chaulet, F; Kipfstuhl, S; Samyn, D; Svensson, A; Weikusat, I</t>
  </si>
  <si>
    <t>Montagnat, M.; Azuma, N.; Dahl-Jensen, D.; Eichler, J.; Fujita, S.; Gillet-Chaulet, F.; Kipfstuhl, S.; Samyn, D.; Svensson, A.; Weikusat, I.</t>
  </si>
  <si>
    <t>Fabric along the NEEM ice core, Greenland, and its comparison with GRIP and NGRIP ice cores</t>
  </si>
  <si>
    <t>STRUCTURAL-PROPERTIES; NORTH GREENLAND; ANTARCTIC ICE; SHEET; DOME; EVOLUTION; TEXTURES; CLIMATE; FLOW; AGE</t>
  </si>
  <si>
    <t>Fabric (distribution of crystallographic orientations) along the full NEEM ice core, Greenland was measured in the field by an automatic ice texture analyzer every 10 m, from 33m down to 2461m depth. The fabric evolves from a slightly anisotropic fabric at the top, toward a strong single maximum at about 2300 m, which is typical of a deformation pattern mostly driven by uniaxial compression and simple shearing. A sharp increase in the fabric strengthening rate is observed at the Holocene to Wisconsin (HW) climatic transition. From a simple model we estimate that this depth is located at a transition from a state dominated by vertical compression to a state dominated by vertical shear. Comparisons are made to two others ice cores drilled along the same ridge; the GRIP ice core, drilled at the summit of the ice sheet, and the NGRIP ice core, drilled 325 km to the NNW of the summit along the ridge, and 365 km upstream from NEEM. This comparison tends to demonstrate that the ice viscosity change with the HW climatic transition must be associated with the shear-dominated state to induce the abrupt fabric strengthening observed at NEEM. This comparison therefore reflects the increasing role of shear deformation on the coring site when moving NW along the ridge from GRIP to NGRIP and NEEM. The difference in fabric profiles be-tween NEEM and NGRIP also evidences a stronger lateral extension associated with a sharper ridge at NGRIP. Further along the core, centimeter scale abrupt texture (fabric and microstructure) variations are observed in the bottom part of the core. Their positions are in good agreement with the observed folding layers in Dahl-Jensen et al. (2013).</t>
  </si>
  <si>
    <t>[Montagnat, M.; Gillet-Chaulet, F.] CNRS, LGGE, UMR5183, F-38041 Grenoble, France; [Montagnat, M.; Gillet-Chaulet, F.] Univ Grenoble Alpes, LGGE, F-38041 Grenoble, France; [Azuma, N.; Samyn, D.] Nagaoka Univ Technol, Dept Mech Engn, Nagaoka, Niigata 9402188, Japan; [Dahl-Jensen, D.; Svensson, A.] Univ Copenhagen, Niels Bohr Inst, DK-2100 Copenhagen, Denmark; [Eichler, J.; Kipfstuhl, S.; Weikusat, I.] Alfred Wegener Inst Polar &amp; Marine Res, D-27568 Bremerhaven, Germany; [Eichler, J.] Free Univ Berlin, Fachbereich Phys, D-14195 Berlin, Germany; [Fujita, S.] Natl Inst Polar Res, ROIS, Tachikawa, Tokyo 1908518, Japan</t>
  </si>
  <si>
    <t>Centre National de la Recherche Scientifique (CNRS); Communaute Universite Grenoble Alpes; Universite Grenoble Alpes (UGA); Communaute Universite Grenoble Alpes; Universite Grenoble Alpes (UGA); Nagaoka University of Technology; University of Copenhagen; Niels Bohr Institute; Helmholtz Association; Alfred Wegener Institute, Helmholtz Centre for Polar &amp; Marine Research; Free University of Berlin; Research Organization of Information &amp; Systems (ROIS); National Institute of Polar Research (NIPR) - Japan</t>
  </si>
  <si>
    <t>Montagnat, M (corresponding author), CNRS, LGGE, UMR5183, F-38041 Grenoble, France.</t>
  </si>
  <si>
    <t>montagnat@lgge.obs.ujf-grenoble.fr</t>
  </si>
  <si>
    <t>Dahl-Jensen, Dorthe/AAO-6951-2020; Svensson, Anders/A-2643-2010; Fujita, Shuji/A-7884-2016; Weikusat, Ilka/E-8826-2015; Montagnat, Maurine/N-6431-2014</t>
  </si>
  <si>
    <t>Dahl-Jensen, Dorthe/0000-0002-1474-1948; Svensson, Anders/0000-0002-4364-6085; Fujita, Shuji/0000-0003-0127-0777; Weikusat, Ilka/0000-0002-3023-6036; Montagnat, Maurine/0000-0001-9436-5163</t>
  </si>
  <si>
    <t>FNRS-CFB, Belgium; FWO, Belgium; Canada (NRCan/GSC); China (CAS); Denmark (FIST); IPEV, France; CNRS/INSU, France; CEA, France; ANR, France; Germany (Awl); Iceland (RannIs); Japan (NIPR); South Korea (KOPRI); Netherlands (NWO/ ALW); Sweden (VR); Switzerland (SNF); United Kingdom (NERC); USA (US NSF, Office of Polar Programs); EU; Helmholtz Association [VH-NG-802]; Japanese Society for the Promotion of Science; Grants-in-Aid for Scientific Research [22221002] Funding Source: KAKEN</t>
  </si>
  <si>
    <t>FNRS-CFB, Belgium; FWO, Belgium(FWO); Canada (NRCan/GSC)(Natural Resources Canada); China (CAS)(Chinese Academy of Sciences); Denmark (FIST)(Department of Science &amp; Technology (India)); IPEV, France; CNRS/INSU, France(Centre National de la Recherche Scientifique (CNRS)); CEA, France(French Atomic Energy Commission); ANR, France(Agence Nationale de la Recherche (ANR)); Germany (Awl); Iceland (RannIs); Japan (NIPR); South Korea (KOPRI)(Korea Polar Research Institute of Marine Research Placement (KOPRI)); Netherlands (NWO/ ALW)(Netherlands Organization for Scientific Research (NWO)Netherlands Government); Sweden (VR)(Swedish Research Council); Switzerland (SNF); United Kingdom (NERC)(UK Research &amp; Innovation (UKRI)Natural Environment Research Council (NERC)); USA (US NSF, Office of Polar Programs); EU(European Union (EU)); Helmholtz Association(Helmholtz Association); Japanese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</si>
  <si>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is a contribution to the NEEM ice core project that is directed and organized by the Centre of Ice and Climate at the Niels Bohr Institute and US NSF, Office of Polar Programs. It is supported by funding agencies and institutions in Belgium (FNRS-CFB and FWO), Canada (NRCan/GSC), China (CAS), Denmark (FIST), France (IPEV, CNRS/INSU, CEA and ANR), Germany (Awl), Iceland (RannIs), Japan (NIPR), South Korea (KOPRI), the Netherlands (NWO/ ALW), Sweden (VR), Switzerland (SNF), the United Kingdom (NERC) and the USA (US NSF, Office of Polar Programs) and the EU Seventh Framework programmes Past4Future and WaterundertheIce. IW acknowledges financial support by the Helmholtz Association (VH-NG-802). MM and FGC are part of Labex OSUG@2020 (ANR10 LABX56). DS was funded by the Japanese Society for the Promotion of Science, and he was supported by a Ymer-80 stipender for polarforskning (Sweden) during his stay at NEEM.</t>
  </si>
  <si>
    <t>10.5194/tc-8-1129-2014</t>
  </si>
  <si>
    <t>WOS:000341622700001</t>
  </si>
  <si>
    <t>Eisenman, I; Meier, WN; Norris, JR</t>
  </si>
  <si>
    <t>Eisenman, I.; Meier, W. N.; Norris, J. R.</t>
  </si>
  <si>
    <t>A spurious jump in the satellite record: has Antarctic sea ice expansion been overestimated?</t>
  </si>
  <si>
    <t>SOUTHERN-OCEAN; VARIABILITY; TRENDS; WEATHER; CYCLE</t>
  </si>
  <si>
    <t>Recent estimates indicate that the Antarctic sea ice cover is expanding at a statistically significant rate with a magnitude one-third as large as the rapid rate of sea ice retreat in the Arctic. However, during the mid-2000s, with several fewer years in the observational record, the trend in Antarctic sea ice extent was reported to be considerably smaller and statistically indistinguishable from zero. Here, we show that much of the increase in the reported trend occurred due to the previously undocumented effect of a change in the way the satellite sea ice observations are processed for the widely used Bootstrap algorithm data set, rather than a physical increase in the rate of ice advance. Specifically, we find that a change in the intercalibration across a 1991 sensor transition when the data set was reprocessed in 2007 caused a substantial change in the long-term trend. Although our analysis does not definitively identify whether this change introduced an error or removed one, the resulting difference in the trends suggests that a substantial error exists in either the current data set or the version that was used prior to the mid-2000s, and numerous studies that have relied on these observations should be reexamined to determine the sensitivity of their results to this change in the data set. Furthermore, a number of recent studies have investigated physical mechanisms for the observed expansion of the Antarctic sea ice cover. The results of this analysis raise the possibility that much of this expansion may be a spurious artifact of an error in the processing of the satellite observations.</t>
  </si>
  <si>
    <t>[Eisenman, I.; Norris, J. R.] Univ Calif San Diego, Scripps Inst Oceanog, La Jolla, CA 92093 USA; [Meier, W. N.] NASA, Goddard Space Flight Ctr, Greenbelt, MD 20771 USA</t>
  </si>
  <si>
    <t>University of California System; University of California San Diego; Scripps Institution of Oceanography; National Aeronautics &amp; Space Administration (NASA); NASA Goddard Space Flight Center</t>
  </si>
  <si>
    <t>Eisenman, I (corresponding author), Univ Calif San Diego, Scripps Inst Oceanog, La Jolla, CA 92093 USA.</t>
  </si>
  <si>
    <t>eisenman@ucsd.edu</t>
  </si>
  <si>
    <t>Norris, Joel R/A-9785-2008; Meier, Walter/AAI-9583-2021; Eisenman, Ian/B-9329-2009</t>
  </si>
  <si>
    <t>Norris, Joel R/0000-0003-4384-0977; Meier, Walter/0000-0003-2857-0550; Eisenman, Ian/0000-0003-0190-2869</t>
  </si>
  <si>
    <t>NSF grant [ARC-1107795]; G. Unger Vetlesen Foundation</t>
  </si>
  <si>
    <t>NSF grant(National Science Foundation (NSF)); G. Unger Vetlesen Foundation</t>
  </si>
  <si>
    <t>We thank the editor, R. Lindsay, for helpful suggestions that improved the final presentation, as well as K. Cowtan, G. Foster, P. Holland, E. Steig, J. Walsh, and an anonymous reviewer for raising a number of useful points in the online discussion of this paper. Without implying that they endorse our results, we also thank B. Cornuelle, H. Fricker, J. Comiso, T. Merlis, B. Rose, H. Stern, T. Martin, T. Wagner, M.-L. Timmermans, J. S. Wettlaufer, and J. Walsh for helpful discussions. This work was supported by NSF grant ARC-1107795 and the G. Unger Vetlesen Foundation.</t>
  </si>
  <si>
    <t>10.5194/tc-8-1289-2014</t>
  </si>
  <si>
    <t>WOS:000341622700012</t>
  </si>
  <si>
    <t>Maris, MNA; de Boer, B; Ligtenberg, SRM; Crucifix, M; van de Berg, WJ; Oerlemans, J</t>
  </si>
  <si>
    <t>Maris, M. N. A.; de Boer, B.; Ligtenberg, S. R. M.; Crucifix, M.; van de Berg, W. J.; Oerlemans, J.</t>
  </si>
  <si>
    <t>Modelling the evolution of the Antarctic ice sheet since the last interglacial</t>
  </si>
  <si>
    <t>SURFACE MASS-BALANCE; GLACIAL MAXIMUM; SEA-LEVEL; RETREAT HISTORY; PART 1; CLIMATE; DEGLACIATION; DYNAMICS; REGION; NORTH</t>
  </si>
  <si>
    <t>We present the effects of changing two sliding parameters, a deformational velocity parameter and two bedrock deflection parameters on the evolution of the Antarctic ice sheet over the period from the last interglacial until the present. These sensitivity experiments have been conducted by running the dynamic ice model ANICE forward in time. The temporal climatological forcing is established by interpolating between two temporal climate states created with a regional climate model. The interpolation is done in such a way that both temperature and surface mass balance follow the European Project for Ice Coring in Antarctica (EPICA) Dome C ice-core proxy record for temperature. We have determined an optimal set of parameter values, for which a realistic grounding-line retreat history and present-day ice sheet can be simulated; the simulation with this set of parameter values is defined as the reference simulation. An increase of sliding with respect to this reference simulation leads to a decrease of the Antarctic ice volume due to enhanced ice velocities on mainly the West Antarctic ice sheet. The effect of changing the deformational velocity parameter mainly yields a change in east Antarctic ice volume. Furthermore, we have found a minimum in the Antarctic ice volume during the mid-Holocene, in accordance with observations. This is a robust feature in our model results, where the strength and the timing of this minimum are both dependent on the investigated parameters. More sliding and a slower responding bedrock lead to a stronger minimum which emerges at an earlier time. From the model results, we conclude that the Antarctic ice sheet has contributed 10.7 +/- 1.3 m of eustatic sea level to the global ocean from the last glacial maximum (about 16 ka for the Antarctic ice sheet) until the present.</t>
  </si>
  <si>
    <t>[Maris, M. N. A.; de Boer, B.; Ligtenberg, S. R. M.; van de Berg, W. J.; Oerlemans, J.] Univ Utrecht, Inst Marine &amp; Atmospher Res Utrecht, NL-3508 TA Utrecht, Netherlands; [de Boer, B.] Univ Utrecht, Fac Geosci, Dept Earth Sci, NL-3508 TA Utrecht, Netherlands; [Crucifix, M.] Georges Lemaitre Ctr Earth &amp; Climate Res TECLIM, ELI, B-1348 Louvain La Neuve, Belgium</t>
  </si>
  <si>
    <t>Utrecht University; Utrecht University</t>
  </si>
  <si>
    <t>Maris, MNA (corresponding author), Univ Utrecht, Inst Marine &amp; Atmospher Res Utrecht, POB 80005, NL-3508 TA Utrecht, Netherlands.</t>
  </si>
  <si>
    <t>mnamaris@gmail.com</t>
  </si>
  <si>
    <t>Ligtenberg, Stefan/AAF-8290-2020; van de Berg, Willem Jan/H-4385-2011</t>
  </si>
  <si>
    <t>van de Berg, Willem Jan/0000-0002-8232-2040; de Boer, Bas/0000-0002-3696-6654; Crucifix, Michel/0000-0002-3437-4911</t>
  </si>
  <si>
    <t>10.5194/tc-8-1347-2014</t>
  </si>
  <si>
    <t>WOS:000341622700016</t>
  </si>
  <si>
    <t>Fréville, H; Brun, E; Picard, G; Tatarinova, N; Arnaud, L; Lanconelli, C; Reijmer, C; van den Broeke, M</t>
  </si>
  <si>
    <t>Freville, H.; Brun, E.; Picard, G.; Tatarinova, N.; Arnaud, L.; Lanconelli, C.; Reijmer, C.; van den Broeke, M.</t>
  </si>
  <si>
    <t>Using MODIS land surface temperatures and the Crocus snow model to understand the warm bias of ERA-Interim reanalyses at the surface in Antarctica</t>
  </si>
  <si>
    <t>ICE-SHEET; IN-SITU; WEATHER; VARIABILITY; LAYER; PERFORMANCE; SIMULATION; QUALITY; CYCLES; HEAT</t>
  </si>
  <si>
    <t>Moderate-Resolution Imaging spectroradiometer (MODIS) land surface temperatures in Antarctica were processed in order to produce a gridded data set at 25 km resolution, spanning the period 2000-2011 at an hourly time step. The Aqua and Terra orbits and MODIS swath width, combined with frequent clear-sky conditions, lead to very high availability of quality-controlled observations: on average, hourly data are available 14 h per day at the grid points around the South Pole and more than 9 h over a large area of the Antarctic Plateau. Processed MODIS land surface temperatures, referred to hereinafter as MODIS T-s values, were compared with in situ hourly measurements of surface temperature collected over the entirety of the year 2009 by seven stations from the Baseline Surface Radiation Network (BSRN) and automatic weather stations (AWSs). In spite of an occasional failure in the detection of clouds, MODIS T-s values exhibit a good performance, with a bias ranging from -1.8 to 0.1 degrees C and errors ranging from 2.2 to 4.8 degrees C root mean square at the five stations located on the plateau. These results show that MODIS T-s values can be used as a precise and accurate reference to test other surface temperature data sets. Here, we evaluate the performance of surface temperature in the European Centre for Medium-Range Weather Forecasts (ECMWF) reanalysis known as ERA-Interim reanalysis. During conditions detected as cloud free by MODIS, ERA-Interim shows a widespread warm bias in Antarctica in every season, ranging from +3 to +6 degrees C on the plateau. This confirms a recent study which showed that the largest discrepancies in 2m air temperature between ERA-Interim and the global temperature data set HadCRUT4 compiled by the Met Office Hadley Centre and the University of East Anglia's Climatic Research Unit occur in Antarctica. A comparison with in situ surface temperature shows that this bias is not strictly limited to clear-sky conditions. A detailed comparison with stand-alone simulations by the Crocus snowpack model, forced by ERA-Interim, and with the ERA-Interim/land simulations, shows that the warm bias may be due primarily to an overestimation of the surface turbulent fluxes in very stable conditions. Numerical experiments with Crocus show that a small change in the parameterization of the effects of stability on the surface exchange coefficients can significantly impact the snow surface temperature. The ERA-Interim warm bias appears to be likely due to an overestimation of the surface exchange coefficients under very stable conditions.</t>
  </si>
  <si>
    <t>[Freville, H.; Brun, E.; Tatarinova, N.] Meteo France, CNRM GAME UMR3589, Toulouse, France; [Freville, H.; Brun, E.; Tatarinova, N.] CNRS, Toulouse, France; [Picard, G.; Arnaud, L.] Univ Grenoble Alpes, LGGE UMR5183, F-38041 Grenoble, France; [Picard, G.; Arnaud, L.] CNRS, LGGE UMR5183, F-38041 Grenoble, France; [Lanconelli, C.] Inst Atmospher Sci &amp; Climate, Bologna, Italy; [Reijmer, C.; van den Broeke, M.] Univ Utrecht, Inst Marine &amp; Atmospher Res Utrecht, Utrecht, Netherlands</t>
  </si>
  <si>
    <t>Meteo France; Centre National de la Recherche Scientifique (CNRS); CNRS - National Institute for Earth Sciences &amp; Astronomy (INSU); Centre National de la Recherche Scientifique (CNRS); Communaute Universite Grenoble Alpes; Universite Grenoble Alpes (UGA); Communaute Universite Grenoble Alpes; Universite Grenoble Alpes (UGA); Centre National de la Recherche Scientifique (CNRS); Consiglio Nazionale delle Ricerche (CNR); Istituto di Scienze dell'Atmosfera e del Clima (ISAC-CNR); Utrecht University</t>
  </si>
  <si>
    <t>Fréville, H (corresponding author), Meteo France, CNRM GAME UMR3589, Toulouse, France.</t>
  </si>
  <si>
    <t>helene.freville@meteo.fr</t>
  </si>
  <si>
    <t>Picard, Ghislain/D-4246-2013; Reijmer, Carleen H/G-8736-2011; Van den Broeke, Michiel R./F-7867-2011; Lanconelli, Christian/Q-5848-2018</t>
  </si>
  <si>
    <t>Picard, Ghislain/0000-0003-1475-5853; Reijmer, Carleen H/0000-0001-8299-3883; Van den Broeke, Michiel R./0000-0003-4662-7565; Lanconelli, Christian/0000-0002-9545-1255; arnaud, laurent/0000-0002-4432-4205</t>
  </si>
  <si>
    <t>European Commission [226520]; Belgian Science Policy Office [EN/01/4B]; CNES/TOSCA program; Meteo-France; CNES; CNRS/INSU; NSF; NCAR; University of Wyoming; Purdue University; University of Colorado; Alfred Wegener Institute; Met Office; ECMWF</t>
  </si>
  <si>
    <t>European Commission(European Union (EU)European Commission Joint Research Centre); Belgian Science Policy Office(Belgian Federal Science Policy Office); CNES/TOSCA program(Centre National D'etudes Spatiales); Meteo-France; CNES(Centre National D'etudes Spatiales); CNRS/INSU(Centre National de la Recherche Scientifique (CNRS)); NSF(National Science Foundation (NSF)); NCAR(National Science Foundation (NSF)NSF - Directorate for Geosciences (GEO)); University of Wyoming; Purdue University; University of Colorado; Alfred Wegener Institute; Met Office; ECMWF</t>
  </si>
  <si>
    <t>This study is a contribution to the international Concordiasi project currently supported by the following agencies: Meteo-France; CNES; CNRS/INSU; NSF; NCAR; University of Wyoming; Purdue University; University of Colorado; the Alfred Wegener Institute; the Met Office; and ECMWF. It was funded by the European Commission's 7th Framework Programme, under grant agreement no. 226520, COMBINE project. Part of the data at Dome C were acquired by the CALVA/NIVO IPEV programs. Installation and operation of AWS12 and 13 have been made possible with support from the Netherlands Polar Programme and the Norwegian US Scientific Traverse of East Antarctica. The installation and maintenance of AWS16 was financed by the Belgian Science Policy Office under grant number EN/01/4B supervised by Nicole van Lipzig and Irina Gorodetskaya (KU Leuven). We thank D. Longenecker of NOAA for providing the South Pole BSRN data, and G. Balsamo from ECMWF and O. Traulle from CNRM/GAME for fruitful discussions. We acknowledge funding from the CNES/TOSCA program.</t>
  </si>
  <si>
    <t>10.5194/tc-8-1361-2014</t>
  </si>
  <si>
    <t>WOS:000341622700017</t>
  </si>
  <si>
    <t>Medley, B; Joughin, I; Smith, BE; Das, SB; Steig, EJ; Conway, H; Gogineni, S; Lewis, C; Criscitiello, AS; McConnell, JR; van den Broeke, MR; Lenaerts, JTM; Bromwich, DH; Nicolas, JP; Leuschen, C</t>
  </si>
  <si>
    <t>Medley, B.; Joughin, I.; Smith, B. E.; Das, S. B.; Steig, E. J.; Conway, H.; Gogineni, S.; Lewis, C.; Criscitiello, A. S.; McConnell, J. R.; van den Broeke, M. R.; Lenaerts, J. T. M.; Bromwich, D. H.; Nicolas, J. P.; Leuschen, C.</t>
  </si>
  <si>
    <t>Constraining the recent mass balance of Pine Island and Thwaites glaciers, West Antarctica, with airborne observations of snow accumulation</t>
  </si>
  <si>
    <t>DRONNING-MAUD-LAND; EAST ANTARCTICA; SPATIAL-DISTRIBUTION; DOME FUJI; ICE; RADAR; CLIMATE; RATES; VARIABILITY; RETREAT</t>
  </si>
  <si>
    <t>In Antarctica, uncertainties in mass input and output translate directly into uncertainty in glacier mass balance and thus in sea level impact. While remotely sensed observations of ice velocity and thickness over the major outlet glaciers have improved our understanding of ice loss to the ocean, snow accumulation over the vast Antarctic interior remains largely unmeasured. Here, we show that an airborne radar system, combined with ice-core glaciochemical analysis, provide the means necessary to measure the accumulation rate at the catchment-scale along the Amundsen Sea coast of West Antarctica. We used along-track radar-derived accumulation to generate a 1985-2009 average accumulation grid that resolves moderate-to large-scale features (&gt; 25 km) over the Pine Island-Thwaites glacier drainage system. Comparisons with estimates from atmospheric models and gridded climatologies generally show our results as having less accumulation in the lower-elevation coastal zone but greater accumulation in the interior. Ice discharge, measured over discrete time intervals between 1994 and 2012, combined with our catchment-wide accumulation rates pro-vide an 18-year mass balance history for the sector. While Thwaites Glacier lost the most ice in the mid-1990s, Pine Island Glacier's losses increased substantially by 2006, overtaking Thwaites as the largest regional contributor to sealevel rise. The trend of increasing discharge both glaciers, however, appears to have leveled off since 2008.</t>
  </si>
  <si>
    <t>[Medley, B.; Steig, E. J.; Conway, H.] Univ Washington, Seattle, WA 98195 USA; [Medley, B.; Joughin, I.; Smith, B. E.] Univ Washington, Appl Phys Lab, Polar Sci Ctr, Seattle, WA 98105 USA; [Das, S. B.; Criscitiello, A. S.] Woods Hole Oceanog Inst, Woods Hole, MA 02543 USA; [Steig, E. J.] Univ Washington, Quaternary Res Ctr, Seattle, WA 98195 USA; [Gogineni, S.; Lewis, C.; Leuschen, C.] Univ Kansas, Ctr Remote Sensing Ice Sheets, Lawrence, KS 66045 USA; [Criscitiello, A. S.] Woods Hole Oceanog Inst, MIT WHOI Joint Program Oceanog Appl Ocean Sci &amp; E, Woods Hole, MA 02543 USA; [McConnell, J. R.] Nevada Syst Higher Educ, Desert Res Inst, Reno, NV USA; [van den Broeke, M. R.; Lenaerts, J. T. M.] Univ Utrecht, Inst Marine &amp; Atmospher Res Utrecht, Utrecht, Netherlands; [Bromwich, D. H.; Nicolas, J. P.] Ohio State Univ, Byrd Polar Res Ctr, Polar Meteorol Grp, Columbus, OH 43210 USA; [Bromwich, D. H.; Nicolas, J. P.] Ohio State Univ, Dept Geog, Atmospher Sci Program, Columbus, OH 43210 USA</t>
  </si>
  <si>
    <t>University of Washington; University of Washington Seattle; University of Washington; University of Washington Seattle; Woods Hole Oceanographic Institution; University of Washington; University of Washington Seattle; University of Kansas; Massachusetts Institute of Technology (MIT); Woods Hole Oceanographic Institution; Nevada System of Higher Education (NSHE); Desert Research Institute NSHE; Utrecht University; University System of Ohio; Ohio State University; University System of Ohio; Ohio State University</t>
  </si>
  <si>
    <t>Medley, B (corresponding author), Univ Washington, Seattle, WA 98195 USA.</t>
  </si>
  <si>
    <t>brooke.c.medley@nasa.gov</t>
  </si>
  <si>
    <t>Lenaerts, Jan/D-9423-2012; Bromwich, David H/C-9225-2016; Joughin, Ian R/A-2998-2008; Van den Broeke, Michiel R./F-7867-2011; Joughin, Ian/AAR-7778-2021; /G-9088-2015</t>
  </si>
  <si>
    <t>Lenaerts, Jan/0000-0003-4309-4011; Joughin, Ian R/0000-0001-6229-679X; Van den Broeke, Michiel R./0000-0003-4662-7565; Joughin, Ian/0000-0001-6229-679X; /0000-0002-8191-5549; Conway, Howard/0000-0003-4634-3474; Criscitiello, Alison/0000-0002-8741-709X; McConnell, Joseph/0000-0001-9051-5240</t>
  </si>
  <si>
    <t>NSF OPP grants [ANT-0631973, ANT-0424589]; NSF OPP grant [ANT-0632031]; NASA grant [NNX10AP09G]; NASA [NN12XAI29G, NNX10AT68G]; NSF grant [ANT-1049089]; NSF [ANT-0424589]; NASA [NNX10AP09G, 126835] Funding Source: Federal RePORTER</t>
  </si>
  <si>
    <t>NSF OPP grants; NSF OPP grant; NASA grant(National Aeronautics &amp; Space Administration (NASA)); NASA(National Aeronautics &amp; Space Administration (NASA)); NSF grant(National Science Foundation (NSF)); NSF(National Science Foundation (NSF)); NASA(National Aeronautics &amp; Space Administration (NASA))</t>
  </si>
  <si>
    <t>This research was supported at UW by NSF OPP grants ANT-0631973 (B Medley, I. Joughin, E. J. Steig, and H. Conway) and ANT-0424589 (B. Medley and I. Joughin). Work at WHOI was supported by NSF OPP grant ANT-0632031 and NASA grant NNX10AP09G (S. B. Das and A. S. Criscitiello). D. H. Bromwich and J. P. Nicolas were supported by NASA grant NN12XAI29G and NSF grant ANT-1049089. We acknowledge the work by the CReSIS team that went into developing the radar systems, which was partially supported with funding by NASA grant NNX10AT68G and by NSF grant ANT-0424589 awarded to S. Gogineni We also acknowledge the efforts of the students and staff of the ultra-trace chemistry laboratory at the Desert Research Institute in analyzing the ice cores. We thank L. Albershardt, L. Trusel, the US Antarctic Program, and the US Ice Drilling Program. This article is contribution 1441 of the Byrd Polar Research Center.</t>
  </si>
  <si>
    <t>10.5194/tc-8-1375-2014</t>
  </si>
  <si>
    <t>WOS:000341622700018</t>
  </si>
  <si>
    <t>Gladstone, R; Schäfer, M; Zwinger, T; Gong, Y; Strozzi, T; Mottram, R; Boberg, F; Moore, JC</t>
  </si>
  <si>
    <t>Gladstone, R.; Schafer, M.; Zwinger, T.; Gong, Y.; Strozzi, T.; Mottram, R.; Boberg, F.; Moore, J. C.</t>
  </si>
  <si>
    <t>Importance of basal processes in simulations of a surging Svalbard outlet glacier</t>
  </si>
  <si>
    <t>SATELLITE RADAR INTERFEROMETRY; VESTFONNA ICE CAP; WEST ANTARCTICA; MASS-BALANCE; NUMERICAL SIMULATIONS; GEOMETRIC CHANGES; SUBGLACIAL TILL; SHEET MODEL; AUSTFONNA; FLOW</t>
  </si>
  <si>
    <t>The outlet glacier of Basin 3 (B3) of Austfonna ice cap, Svalbard, is one of the fastest outlet glaciers in Svalbard, and shows dramatic changes since 1995. In addition to previously observed seasonal summer speed-up associated with the melt season, the winter speed of B3 has accelerated approximately fivefold since 1995. We use the Elmer/Ice full-Stokes model for ice dynamics to infer spatial distributions of basal drag for the winter seasons of 1995, 2008 and 2011. This inverse method is based on minimising discrepancy between modelled and observed surface velocities, using satellite remotely sensed velocity fields. We generate steady-state temperature distributions for 1995 and 2011. Frictional heating caused by basal sliding contributes significantly to basal temperatures of the B3 outlet glacier, with heat advection (a longer-timescale process than frictional heating) also being important in the steady state. We present a sensitivity experiment consisting of transient simulations under present-day forcing to demonstrate that using a temporally fixed basal drag field obtained through inversion can lead to thickness change errors of the order of 2m year(-1). Hence it is essential to incorporate the evolution of basal processes in future projections of the evolution of B3. Informed by a combination of our inverse method results and previous studies, we hypothesise a system of processes and feedbacks involving till deformation and basal hydrology to explain both the seasonal accelerations (short residence time pooling of meltwater at the ice-till interface) and the ongoing interannual speed-up (gradual penetration of water into the till, reducing till strength).</t>
  </si>
  <si>
    <t>[Gladstone, R.; Schafer, M.; Gong, Y.; Moore, J. C.] Univ Lapland, Arctic Ctr, Rovaniemi, Finland; [Gladstone, R.] ETHZ, Eidgenoss Tech Hsch Zurich, VAW, Zurich, Switzerland; [Gladstone, R.] Univ Tasmania, Antarctic Climate &amp; Ecosyst Cooperat Res Ctr, Hobart, Tas, Australia; [Zwinger, T.] CSC IT Ctr Sci Ltd, Espoo, Finland; [Strozzi, T.] Gamma Remote Sensing &amp; Consulting AG, Gumlingen, Switzerland; [Mottram, R.; Boberg, F.] Danish Meteorol Inst, Copenhagen, Denmark; [Moore, J. C.] Uppsala Univ, Dept Earth Sci, Uppsala, Sweden; [Moore, J. C.] Beijing Normal Univ, Coll Global Change &amp; Earth Syst Sci, Beijing 100875, Peoples R China; [Moore, J. C.] Beijing Normal Univ, State Key Lab Remote Sensing Sci, Beijing 100875, Peoples R China</t>
  </si>
  <si>
    <t>University of Lapland; Swiss Federal Institutes of Technology Domain; ETH Zurich; Antarctic Climate &amp; Ecosystems Cooperative Research Centre (ACE CRC); University of Tasmania; Finnish IT center for science; GAMMA Remote Sensing AG; Danish Meteorological Institute DMI; Uppsala University; Beijing Normal University; Beijing Normal University</t>
  </si>
  <si>
    <t>Gladstone, R (corresponding author), Univ Lapland, Arctic Ctr, Rovaniemi, Finland.</t>
  </si>
  <si>
    <t>rupertgladstone1972@gmail.com; john.moore.bnu@gmail.com</t>
  </si>
  <si>
    <t>Gong, Yongmei/AAP-3472-2021; Moore, John C/B-2868-2013; Zwinger, Thomas/H-5163-2018; Gladstone, Rupert/C-1086-2013</t>
  </si>
  <si>
    <t>Moore, John C/0000-0001-8271-5787; Strozzi, Tazio/0000-0002-9054-951X; Zwinger, Thomas/0000-0003-3360-4401; Gladstone, Rupert/0000-0002-1582-3857; Mottram, Ruth/0000-0002-1016-1997; Gong, Yongmei/0000-0002-3839-5824; Boberg, Fredrik/0000-0002-2589-8422</t>
  </si>
  <si>
    <t>project SVALI (Stability and Variations of Arctic Land Ice); project SvalGlac; Nordic Top-level Research Initiative [31]</t>
  </si>
  <si>
    <t>project SVALI (Stability and Variations of Arctic Land Ice); project SvalGlac; Nordic Top-level Research Initiative</t>
  </si>
  <si>
    <t>We wish to thank Thorben Dunse from the University of Oslo for providing bedrock and surface elevation data. The satellite velocity data were produced with support of the EU FP6 INTEGRAL Project (1995), the ESA DUE GLOBGLACIER Project (2008) and the EU FP7 CRYOLAND Project (2011). We wish to thank Fabien Gillet-Chaulet from the Universite Joseph Fourier for making available his code for the inverse modelling. We acknowledge CSC - IT Center for Science Ltd. for the allocation of computational resources. This work was performed at the Arctic Centre at the University of Lapland through funding by projects SVALI (Stability and Variations of Arctic Land Ice) and SvalGlac. This publication is contribution number 31 of the Nordic Centre of Excellence SVALI funded by the Nordic Top-level Research Initiative.</t>
  </si>
  <si>
    <t>10.5194/tc-8-1393-2014</t>
  </si>
  <si>
    <t>WOS:000341622700019</t>
  </si>
  <si>
    <t>Rivera, A; Zamora, R; Uribe, JA; Jaña, R; Oberreuter, J</t>
  </si>
  <si>
    <t>Rivera, A.; Zamora, R.; Uribe, J. A.; Jana, R.; Oberreuter, J.</t>
  </si>
  <si>
    <t>Recent ice dynamic and surface mass balance of Union Glacier in the West Antarctic Ice Sheet</t>
  </si>
  <si>
    <t>FLOW; REASSESSMENT; THICKNESS; STREAM; BED</t>
  </si>
  <si>
    <t>Here we present the results of a comprehensive glaciological investigation of Union Glacier (79 degrees 46'S/83 degrees 24'W) in the West Antarctic Ice Sheet (WAIS), a major outlet glacier within the Ellsworth Mountains. Union Glacier flows into the Ronne Ice Shelf, where recent models have indicated the potential for significant grounding line zone (GLZ) migrations in response to changing climate and ocean conditions. To elaborate a glaciological base line that can help to evaluate the potential impact of this GLZ change scenario, we installed an array of stakes on Union Glacier in 2007. The stake network has been surveyed repeatedly for elevation, velocity, and net surface mass balance. The region of the stake measurements is in near-equilibrium, and ice speeds are 10 to 33 ma(-1). Ground-penetrating radars (GPR) have been used to map the subglacial topography, internal structure, and crevasse frequency and depth along surveyed tracks in the stake site area. The bedrock in this area has a minimum elevation of -858 m a.s.l ., significantly deeper than shown by BEDMAP2 data. However, between this deeper area and the local GLZ, there is a threshold where the subglacial topography shows a maximum altitude of 190 m. This subglacial condition implies that an upstream migration of the GLZ will not have strong effects on Union Glacier until it passes beyond this shallow ice pinning point.</t>
  </si>
  <si>
    <t>[Rivera, A.; Zamora, R.; Uribe, J. A.; Oberreuter, J.] Ctr Estudios Cient, Valdivia, Chile; [Rivera, A.] Univ Chile, Dept Geog, Santiago, Chile; [Jana, R.] Inst Antartico Chileno, Punta Arenas, Chile</t>
  </si>
  <si>
    <t>Rivera, A (corresponding author), Ctr Estudios Cient, POB 5110466, Valdivia, Chile.</t>
  </si>
  <si>
    <t>arivera@cecs.cl</t>
  </si>
  <si>
    <t>Jaña, Ricardo/AAR-1225-2020; Oberreuter, Jonathan/JMQ-2244-2023</t>
  </si>
  <si>
    <t>Jaña, Ricardo/0000-0003-3319-1168; Oberreuter, Jonathan/0000-0003-3294-9010; Rivera, Andres/0000-0002-2779-4192; Uribe Parada, Jose Andres/0000-0002-5281-2719</t>
  </si>
  <si>
    <t>Antarctic Logistic Expeditions (ALE) Ltd.; Basal fund of CONICYT</t>
  </si>
  <si>
    <t>This research was supported by Antarctic Logistic Expeditions (ALE) Ltd. Special thanks to M. Sharp, P. McDowell, C. Jacobs, Eddy, Boris and all ALE personnel at Union Glacier. CECs is funded by the Basal fund of CONICYT, among other grants. J. A. Neto collaborated with GPS data collection 2011. A. Wendt, C. Rada, T. Kohoutek and M. Barandun helped with data processing. H. Gudmundsson analysed the GPS data at Bstat in order to detect possible tidally modulated effects on the ice flow. J. Carrasco and F. Burger helped with the met data. D. Carrion helped with figures and satellite image analysis. R. Wilson edited the text. The GUMS project provided ASTER data. A. Rivera is a Guggenheim fellow. The comments and suggestions by Ted Scambos and Neil Ross are highly appreciated.</t>
  </si>
  <si>
    <t>10.5194/tc-8-1445-2014</t>
  </si>
  <si>
    <t>WOS:000341622700023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</si>
</sst>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87</v>
      </c>
      <c r="AC2" t="s">
        <v>88</v>
      </c>
      <c r="AD2" t="s">
        <v>89</v>
      </c>
      <c r="AE2" t="s">
        <v>90</v>
      </c>
      <c r="AF2" t="s">
        <v>74</v>
      </c>
      <c r="AG2">
        <v>27</v>
      </c>
      <c r="AH2">
        <v>13</v>
      </c>
      <c r="AI2">
        <v>14</v>
      </c>
      <c r="AJ2">
        <v>0</v>
      </c>
      <c r="AK2">
        <v>25</v>
      </c>
      <c r="AL2" t="s">
        <v>91</v>
      </c>
      <c r="AM2" t="s">
        <v>92</v>
      </c>
      <c r="AN2" t="s">
        <v>93</v>
      </c>
      <c r="AO2" t="s">
        <v>94</v>
      </c>
      <c r="AP2" t="s">
        <v>95</v>
      </c>
      <c r="AQ2" t="s">
        <v>74</v>
      </c>
      <c r="AR2" t="s">
        <v>96</v>
      </c>
      <c r="AS2" t="s">
        <v>97</v>
      </c>
      <c r="AT2" t="s">
        <v>98</v>
      </c>
      <c r="AU2">
        <v>2014</v>
      </c>
      <c r="AV2">
        <v>50</v>
      </c>
      <c r="AW2">
        <v>2</v>
      </c>
      <c r="AX2" t="s">
        <v>74</v>
      </c>
      <c r="AY2" t="s">
        <v>74</v>
      </c>
      <c r="AZ2" t="s">
        <v>74</v>
      </c>
      <c r="BA2" t="s">
        <v>74</v>
      </c>
      <c r="BB2">
        <v>176</v>
      </c>
      <c r="BC2">
        <v>182</v>
      </c>
      <c r="BD2" t="s">
        <v>74</v>
      </c>
      <c r="BE2" t="s">
        <v>99</v>
      </c>
      <c r="BF2" t="str">
        <f>HYPERLINK("http://dx.doi.org/10.1017/S0032247413000168","http://dx.doi.org/10.1017/S0032247413000168")</f>
        <v>http://dx.doi.org/10.1017/S0032247413000168</v>
      </c>
      <c r="BG2" t="s">
        <v>74</v>
      </c>
      <c r="BH2" t="s">
        <v>74</v>
      </c>
      <c r="BI2">
        <v>7</v>
      </c>
      <c r="BJ2" t="s">
        <v>100</v>
      </c>
      <c r="BK2" t="s">
        <v>101</v>
      </c>
      <c r="BL2" t="s">
        <v>102</v>
      </c>
      <c r="BM2" t="s">
        <v>103</v>
      </c>
      <c r="BN2" t="s">
        <v>74</v>
      </c>
      <c r="BO2" t="s">
        <v>74</v>
      </c>
      <c r="BP2" t="s">
        <v>74</v>
      </c>
      <c r="BQ2" t="s">
        <v>74</v>
      </c>
      <c r="BR2" t="s">
        <v>104</v>
      </c>
      <c r="BS2" t="s">
        <v>105</v>
      </c>
      <c r="BT2" t="str">
        <f>HYPERLINK("https%3A%2F%2Fwww.webofscience.com%2Fwos%2Fwoscc%2Ffull-record%2FWOS:000332698600008","View Full Record in Web of Science")</f>
        <v>View Full Record in Web of Science</v>
      </c>
    </row>
    <row r="3" spans="1:72" x14ac:dyDescent="0.15">
      <c r="A3" t="s">
        <v>72</v>
      </c>
      <c r="B3" t="s">
        <v>106</v>
      </c>
      <c r="C3" t="s">
        <v>74</v>
      </c>
      <c r="D3" t="s">
        <v>74</v>
      </c>
      <c r="E3" t="s">
        <v>74</v>
      </c>
      <c r="F3" t="s">
        <v>107</v>
      </c>
      <c r="G3" t="s">
        <v>74</v>
      </c>
      <c r="H3" t="s">
        <v>74</v>
      </c>
      <c r="I3" t="s">
        <v>108</v>
      </c>
      <c r="J3" t="s">
        <v>77</v>
      </c>
      <c r="K3" t="s">
        <v>74</v>
      </c>
      <c r="L3" t="s">
        <v>74</v>
      </c>
      <c r="M3" t="s">
        <v>78</v>
      </c>
      <c r="N3" t="s">
        <v>79</v>
      </c>
      <c r="O3" t="s">
        <v>74</v>
      </c>
      <c r="P3" t="s">
        <v>74</v>
      </c>
      <c r="Q3" t="s">
        <v>74</v>
      </c>
      <c r="R3" t="s">
        <v>74</v>
      </c>
      <c r="S3" t="s">
        <v>74</v>
      </c>
      <c r="T3" t="s">
        <v>74</v>
      </c>
      <c r="U3" t="s">
        <v>109</v>
      </c>
      <c r="V3" t="s">
        <v>110</v>
      </c>
      <c r="W3" t="s">
        <v>111</v>
      </c>
      <c r="X3" t="s">
        <v>74</v>
      </c>
      <c r="Y3" t="s">
        <v>112</v>
      </c>
      <c r="Z3" t="s">
        <v>113</v>
      </c>
      <c r="AA3" t="s">
        <v>74</v>
      </c>
      <c r="AB3" t="s">
        <v>74</v>
      </c>
      <c r="AC3" t="s">
        <v>114</v>
      </c>
      <c r="AD3" t="s">
        <v>115</v>
      </c>
      <c r="AE3" t="s">
        <v>116</v>
      </c>
      <c r="AF3" t="s">
        <v>74</v>
      </c>
      <c r="AG3">
        <v>65</v>
      </c>
      <c r="AH3">
        <v>2</v>
      </c>
      <c r="AI3">
        <v>2</v>
      </c>
      <c r="AJ3">
        <v>0</v>
      </c>
      <c r="AK3">
        <v>2</v>
      </c>
      <c r="AL3" t="s">
        <v>91</v>
      </c>
      <c r="AM3" t="s">
        <v>92</v>
      </c>
      <c r="AN3" t="s">
        <v>93</v>
      </c>
      <c r="AO3" t="s">
        <v>94</v>
      </c>
      <c r="AP3" t="s">
        <v>95</v>
      </c>
      <c r="AQ3" t="s">
        <v>74</v>
      </c>
      <c r="AR3" t="s">
        <v>96</v>
      </c>
      <c r="AS3" t="s">
        <v>97</v>
      </c>
      <c r="AT3" t="s">
        <v>98</v>
      </c>
      <c r="AU3">
        <v>2014</v>
      </c>
      <c r="AV3">
        <v>50</v>
      </c>
      <c r="AW3">
        <v>2</v>
      </c>
      <c r="AX3" t="s">
        <v>74</v>
      </c>
      <c r="AY3" t="s">
        <v>74</v>
      </c>
      <c r="AZ3" t="s">
        <v>74</v>
      </c>
      <c r="BA3" t="s">
        <v>74</v>
      </c>
      <c r="BB3">
        <v>183</v>
      </c>
      <c r="BC3">
        <v>191</v>
      </c>
      <c r="BD3" t="s">
        <v>74</v>
      </c>
      <c r="BE3" t="s">
        <v>117</v>
      </c>
      <c r="BF3" t="str">
        <f>HYPERLINK("http://dx.doi.org/10.1017/S0032247412000526","http://dx.doi.org/10.1017/S0032247412000526")</f>
        <v>http://dx.doi.org/10.1017/S0032247412000526</v>
      </c>
      <c r="BG3" t="s">
        <v>74</v>
      </c>
      <c r="BH3" t="s">
        <v>74</v>
      </c>
      <c r="BI3">
        <v>9</v>
      </c>
      <c r="BJ3" t="s">
        <v>100</v>
      </c>
      <c r="BK3" t="s">
        <v>101</v>
      </c>
      <c r="BL3" t="s">
        <v>102</v>
      </c>
      <c r="BM3" t="s">
        <v>103</v>
      </c>
      <c r="BN3" t="s">
        <v>74</v>
      </c>
      <c r="BO3" t="s">
        <v>74</v>
      </c>
      <c r="BP3" t="s">
        <v>74</v>
      </c>
      <c r="BQ3" t="s">
        <v>74</v>
      </c>
      <c r="BR3" t="s">
        <v>104</v>
      </c>
      <c r="BS3" t="s">
        <v>118</v>
      </c>
      <c r="BT3" t="str">
        <f>HYPERLINK("https%3A%2F%2Fwww.webofscience.com%2Fwos%2Fwoscc%2Ffull-record%2FWOS:000332698600009","View Full Record in Web of Science")</f>
        <v>View Full Record in Web of Science</v>
      </c>
    </row>
    <row r="4" spans="1:72" x14ac:dyDescent="0.15">
      <c r="A4" t="s">
        <v>72</v>
      </c>
      <c r="B4" t="s">
        <v>119</v>
      </c>
      <c r="C4" t="s">
        <v>74</v>
      </c>
      <c r="D4" t="s">
        <v>74</v>
      </c>
      <c r="E4" t="s">
        <v>74</v>
      </c>
      <c r="F4" t="s">
        <v>120</v>
      </c>
      <c r="G4" t="s">
        <v>74</v>
      </c>
      <c r="H4" t="s">
        <v>74</v>
      </c>
      <c r="I4" t="s">
        <v>121</v>
      </c>
      <c r="J4" t="s">
        <v>77</v>
      </c>
      <c r="K4" t="s">
        <v>74</v>
      </c>
      <c r="L4" t="s">
        <v>74</v>
      </c>
      <c r="M4" t="s">
        <v>78</v>
      </c>
      <c r="N4" t="s">
        <v>79</v>
      </c>
      <c r="O4" t="s">
        <v>74</v>
      </c>
      <c r="P4" t="s">
        <v>74</v>
      </c>
      <c r="Q4" t="s">
        <v>74</v>
      </c>
      <c r="R4" t="s">
        <v>74</v>
      </c>
      <c r="S4" t="s">
        <v>74</v>
      </c>
      <c r="T4" t="s">
        <v>74</v>
      </c>
      <c r="U4" t="s">
        <v>74</v>
      </c>
      <c r="V4" t="s">
        <v>122</v>
      </c>
      <c r="W4" t="s">
        <v>123</v>
      </c>
      <c r="X4" t="s">
        <v>124</v>
      </c>
      <c r="Y4" t="s">
        <v>125</v>
      </c>
      <c r="Z4" t="s">
        <v>126</v>
      </c>
      <c r="AA4" t="s">
        <v>74</v>
      </c>
      <c r="AB4" t="s">
        <v>74</v>
      </c>
      <c r="AC4" t="s">
        <v>74</v>
      </c>
      <c r="AD4" t="s">
        <v>74</v>
      </c>
      <c r="AE4" t="s">
        <v>74</v>
      </c>
      <c r="AF4" t="s">
        <v>74</v>
      </c>
      <c r="AG4">
        <v>23</v>
      </c>
      <c r="AH4">
        <v>1</v>
      </c>
      <c r="AI4">
        <v>1</v>
      </c>
      <c r="AJ4">
        <v>0</v>
      </c>
      <c r="AK4">
        <v>22</v>
      </c>
      <c r="AL4" t="s">
        <v>91</v>
      </c>
      <c r="AM4" t="s">
        <v>92</v>
      </c>
      <c r="AN4" t="s">
        <v>93</v>
      </c>
      <c r="AO4" t="s">
        <v>94</v>
      </c>
      <c r="AP4" t="s">
        <v>95</v>
      </c>
      <c r="AQ4" t="s">
        <v>74</v>
      </c>
      <c r="AR4" t="s">
        <v>96</v>
      </c>
      <c r="AS4" t="s">
        <v>97</v>
      </c>
      <c r="AT4" t="s">
        <v>98</v>
      </c>
      <c r="AU4">
        <v>2014</v>
      </c>
      <c r="AV4">
        <v>50</v>
      </c>
      <c r="AW4">
        <v>2</v>
      </c>
      <c r="AX4" t="s">
        <v>74</v>
      </c>
      <c r="AY4" t="s">
        <v>74</v>
      </c>
      <c r="AZ4" t="s">
        <v>74</v>
      </c>
      <c r="BA4" t="s">
        <v>74</v>
      </c>
      <c r="BB4">
        <v>192</v>
      </c>
      <c r="BC4">
        <v>198</v>
      </c>
      <c r="BD4" t="s">
        <v>74</v>
      </c>
      <c r="BE4" t="s">
        <v>127</v>
      </c>
      <c r="BF4" t="str">
        <f>HYPERLINK("http://dx.doi.org/10.1017/S003224741300017X","http://dx.doi.org/10.1017/S003224741300017X")</f>
        <v>http://dx.doi.org/10.1017/S003224741300017X</v>
      </c>
      <c r="BG4" t="s">
        <v>74</v>
      </c>
      <c r="BH4" t="s">
        <v>74</v>
      </c>
      <c r="BI4">
        <v>7</v>
      </c>
      <c r="BJ4" t="s">
        <v>100</v>
      </c>
      <c r="BK4" t="s">
        <v>101</v>
      </c>
      <c r="BL4" t="s">
        <v>102</v>
      </c>
      <c r="BM4" t="s">
        <v>103</v>
      </c>
      <c r="BN4" t="s">
        <v>74</v>
      </c>
      <c r="BO4" t="s">
        <v>74</v>
      </c>
      <c r="BP4" t="s">
        <v>74</v>
      </c>
      <c r="BQ4" t="s">
        <v>74</v>
      </c>
      <c r="BR4" t="s">
        <v>104</v>
      </c>
      <c r="BS4" t="s">
        <v>128</v>
      </c>
      <c r="BT4" t="str">
        <f>HYPERLINK("https%3A%2F%2Fwww.webofscience.com%2Fwos%2Fwoscc%2Ffull-record%2FWOS:000332698600010","View Full Record in Web of Science")</f>
        <v>View Full Record in Web of Science</v>
      </c>
    </row>
    <row r="5" spans="1:72" x14ac:dyDescent="0.15">
      <c r="A5" t="s">
        <v>72</v>
      </c>
      <c r="B5" t="s">
        <v>129</v>
      </c>
      <c r="C5" t="s">
        <v>74</v>
      </c>
      <c r="D5" t="s">
        <v>74</v>
      </c>
      <c r="E5" t="s">
        <v>74</v>
      </c>
      <c r="F5" t="s">
        <v>130</v>
      </c>
      <c r="G5" t="s">
        <v>74</v>
      </c>
      <c r="H5" t="s">
        <v>74</v>
      </c>
      <c r="I5" t="s">
        <v>131</v>
      </c>
      <c r="J5" t="s">
        <v>132</v>
      </c>
      <c r="K5" t="s">
        <v>74</v>
      </c>
      <c r="L5" t="s">
        <v>74</v>
      </c>
      <c r="M5" t="s">
        <v>78</v>
      </c>
      <c r="N5" t="s">
        <v>79</v>
      </c>
      <c r="O5" t="s">
        <v>74</v>
      </c>
      <c r="P5" t="s">
        <v>74</v>
      </c>
      <c r="Q5" t="s">
        <v>74</v>
      </c>
      <c r="R5" t="s">
        <v>74</v>
      </c>
      <c r="S5" t="s">
        <v>74</v>
      </c>
      <c r="T5" t="s">
        <v>133</v>
      </c>
      <c r="U5" t="s">
        <v>134</v>
      </c>
      <c r="V5" t="s">
        <v>135</v>
      </c>
      <c r="W5" t="s">
        <v>136</v>
      </c>
      <c r="X5" t="s">
        <v>137</v>
      </c>
      <c r="Y5" t="s">
        <v>138</v>
      </c>
      <c r="Z5" t="s">
        <v>139</v>
      </c>
      <c r="AA5" t="s">
        <v>140</v>
      </c>
      <c r="AB5" t="s">
        <v>141</v>
      </c>
      <c r="AC5" t="s">
        <v>142</v>
      </c>
      <c r="AD5" t="s">
        <v>143</v>
      </c>
      <c r="AE5" t="s">
        <v>144</v>
      </c>
      <c r="AF5" t="s">
        <v>74</v>
      </c>
      <c r="AG5">
        <v>81</v>
      </c>
      <c r="AH5">
        <v>17</v>
      </c>
      <c r="AI5">
        <v>21</v>
      </c>
      <c r="AJ5">
        <v>2</v>
      </c>
      <c r="AK5">
        <v>25</v>
      </c>
      <c r="AL5" t="s">
        <v>145</v>
      </c>
      <c r="AM5" t="s">
        <v>146</v>
      </c>
      <c r="AN5" t="s">
        <v>147</v>
      </c>
      <c r="AO5" t="s">
        <v>148</v>
      </c>
      <c r="AP5" t="s">
        <v>149</v>
      </c>
      <c r="AQ5" t="s">
        <v>74</v>
      </c>
      <c r="AR5" t="s">
        <v>150</v>
      </c>
      <c r="AS5" t="s">
        <v>151</v>
      </c>
      <c r="AT5" t="s">
        <v>98</v>
      </c>
      <c r="AU5">
        <v>2014</v>
      </c>
      <c r="AV5">
        <v>30</v>
      </c>
      <c r="AW5">
        <v>4</v>
      </c>
      <c r="AX5" t="s">
        <v>74</v>
      </c>
      <c r="AY5" t="s">
        <v>74</v>
      </c>
      <c r="AZ5" t="s">
        <v>74</v>
      </c>
      <c r="BA5" t="s">
        <v>74</v>
      </c>
      <c r="BB5">
        <v>1387</v>
      </c>
      <c r="BC5">
        <v>1398</v>
      </c>
      <c r="BD5" t="s">
        <v>74</v>
      </c>
      <c r="BE5" t="s">
        <v>152</v>
      </c>
      <c r="BF5" t="str">
        <f>HYPERLINK("http://dx.doi.org/10.1007/s11274-013-1555-2","http://dx.doi.org/10.1007/s11274-013-1555-2")</f>
        <v>http://dx.doi.org/10.1007/s11274-013-1555-2</v>
      </c>
      <c r="BG5" t="s">
        <v>74</v>
      </c>
      <c r="BH5" t="s">
        <v>74</v>
      </c>
      <c r="BI5">
        <v>12</v>
      </c>
      <c r="BJ5" t="s">
        <v>153</v>
      </c>
      <c r="BK5" t="s">
        <v>101</v>
      </c>
      <c r="BL5" t="s">
        <v>153</v>
      </c>
      <c r="BM5" t="s">
        <v>154</v>
      </c>
      <c r="BN5">
        <v>24277323</v>
      </c>
      <c r="BO5" t="s">
        <v>74</v>
      </c>
      <c r="BP5" t="s">
        <v>74</v>
      </c>
      <c r="BQ5" t="s">
        <v>74</v>
      </c>
      <c r="BR5" t="s">
        <v>104</v>
      </c>
      <c r="BS5" t="s">
        <v>155</v>
      </c>
      <c r="BT5" t="str">
        <f>HYPERLINK("https%3A%2F%2Fwww.webofscience.com%2Fwos%2Fwoscc%2Ffull-record%2FWOS:000332980300024","View Full Record in Web of Science")</f>
        <v>View Full Record in Web of Science</v>
      </c>
    </row>
    <row r="6" spans="1:72" x14ac:dyDescent="0.15">
      <c r="A6" t="s">
        <v>72</v>
      </c>
      <c r="B6" t="s">
        <v>156</v>
      </c>
      <c r="C6" t="s">
        <v>74</v>
      </c>
      <c r="D6" t="s">
        <v>74</v>
      </c>
      <c r="E6" t="s">
        <v>74</v>
      </c>
      <c r="F6" t="s">
        <v>157</v>
      </c>
      <c r="G6" t="s">
        <v>74</v>
      </c>
      <c r="H6" t="s">
        <v>74</v>
      </c>
      <c r="I6" t="s">
        <v>158</v>
      </c>
      <c r="J6" t="s">
        <v>159</v>
      </c>
      <c r="K6" t="s">
        <v>74</v>
      </c>
      <c r="L6" t="s">
        <v>74</v>
      </c>
      <c r="M6" t="s">
        <v>78</v>
      </c>
      <c r="N6" t="s">
        <v>79</v>
      </c>
      <c r="O6" t="s">
        <v>74</v>
      </c>
      <c r="P6" t="s">
        <v>74</v>
      </c>
      <c r="Q6" t="s">
        <v>74</v>
      </c>
      <c r="R6" t="s">
        <v>74</v>
      </c>
      <c r="S6" t="s">
        <v>74</v>
      </c>
      <c r="T6" t="s">
        <v>160</v>
      </c>
      <c r="U6" t="s">
        <v>161</v>
      </c>
      <c r="V6" t="s">
        <v>162</v>
      </c>
      <c r="W6" t="s">
        <v>163</v>
      </c>
      <c r="X6" t="s">
        <v>164</v>
      </c>
      <c r="Y6" t="s">
        <v>165</v>
      </c>
      <c r="Z6" t="s">
        <v>166</v>
      </c>
      <c r="AA6" t="s">
        <v>167</v>
      </c>
      <c r="AB6" t="s">
        <v>168</v>
      </c>
      <c r="AC6" t="s">
        <v>169</v>
      </c>
      <c r="AD6" t="s">
        <v>170</v>
      </c>
      <c r="AE6" t="s">
        <v>171</v>
      </c>
      <c r="AF6" t="s">
        <v>74</v>
      </c>
      <c r="AG6">
        <v>101</v>
      </c>
      <c r="AH6">
        <v>11</v>
      </c>
      <c r="AI6">
        <v>13</v>
      </c>
      <c r="AJ6">
        <v>0</v>
      </c>
      <c r="AK6">
        <v>9</v>
      </c>
      <c r="AL6" t="s">
        <v>172</v>
      </c>
      <c r="AM6" t="s">
        <v>173</v>
      </c>
      <c r="AN6" t="s">
        <v>174</v>
      </c>
      <c r="AO6" t="s">
        <v>175</v>
      </c>
      <c r="AP6" t="s">
        <v>176</v>
      </c>
      <c r="AQ6" t="s">
        <v>74</v>
      </c>
      <c r="AR6" t="s">
        <v>177</v>
      </c>
      <c r="AS6" t="s">
        <v>178</v>
      </c>
      <c r="AT6" t="s">
        <v>179</v>
      </c>
      <c r="AU6">
        <v>2014</v>
      </c>
      <c r="AV6">
        <v>28</v>
      </c>
      <c r="AW6">
        <v>2</v>
      </c>
      <c r="AX6" t="s">
        <v>74</v>
      </c>
      <c r="AY6" t="s">
        <v>74</v>
      </c>
      <c r="AZ6" t="s">
        <v>74</v>
      </c>
      <c r="BA6" t="s">
        <v>74</v>
      </c>
      <c r="BB6">
        <v>206</v>
      </c>
      <c r="BC6">
        <v>226</v>
      </c>
      <c r="BD6" t="s">
        <v>74</v>
      </c>
      <c r="BE6" t="s">
        <v>180</v>
      </c>
      <c r="BF6" t="str">
        <f>HYPERLINK("http://dx.doi.org/10.1590/S0102-33062014000200008","http://dx.doi.org/10.1590/S0102-33062014000200008")</f>
        <v>http://dx.doi.org/10.1590/S0102-33062014000200008</v>
      </c>
      <c r="BG6" t="s">
        <v>74</v>
      </c>
      <c r="BH6" t="s">
        <v>74</v>
      </c>
      <c r="BI6">
        <v>21</v>
      </c>
      <c r="BJ6" t="s">
        <v>181</v>
      </c>
      <c r="BK6" t="s">
        <v>101</v>
      </c>
      <c r="BL6" t="s">
        <v>181</v>
      </c>
      <c r="BM6" t="s">
        <v>182</v>
      </c>
      <c r="BN6" t="s">
        <v>74</v>
      </c>
      <c r="BO6" t="s">
        <v>183</v>
      </c>
      <c r="BP6" t="s">
        <v>74</v>
      </c>
      <c r="BQ6" t="s">
        <v>74</v>
      </c>
      <c r="BR6" t="s">
        <v>104</v>
      </c>
      <c r="BS6" t="s">
        <v>184</v>
      </c>
      <c r="BT6" t="str">
        <f>HYPERLINK("https%3A%2F%2Fwww.webofscience.com%2Fwos%2Fwoscc%2Ffull-record%2FWOS:000336524800008","View Full Record in Web of Science")</f>
        <v>View Full Record in Web of Science</v>
      </c>
    </row>
    <row r="7" spans="1:72" x14ac:dyDescent="0.15">
      <c r="A7" t="s">
        <v>72</v>
      </c>
      <c r="B7" t="s">
        <v>185</v>
      </c>
      <c r="C7" t="s">
        <v>74</v>
      </c>
      <c r="D7" t="s">
        <v>74</v>
      </c>
      <c r="E7" t="s">
        <v>74</v>
      </c>
      <c r="F7" t="s">
        <v>186</v>
      </c>
      <c r="G7" t="s">
        <v>74</v>
      </c>
      <c r="H7" t="s">
        <v>74</v>
      </c>
      <c r="I7" t="s">
        <v>187</v>
      </c>
      <c r="J7" t="s">
        <v>188</v>
      </c>
      <c r="K7" t="s">
        <v>74</v>
      </c>
      <c r="L7" t="s">
        <v>74</v>
      </c>
      <c r="M7" t="s">
        <v>78</v>
      </c>
      <c r="N7" t="s">
        <v>189</v>
      </c>
      <c r="O7" t="s">
        <v>74</v>
      </c>
      <c r="P7" t="s">
        <v>74</v>
      </c>
      <c r="Q7" t="s">
        <v>74</v>
      </c>
      <c r="R7" t="s">
        <v>74</v>
      </c>
      <c r="S7" t="s">
        <v>74</v>
      </c>
      <c r="T7" t="s">
        <v>74</v>
      </c>
      <c r="U7" t="s">
        <v>74</v>
      </c>
      <c r="V7" t="s">
        <v>74</v>
      </c>
      <c r="W7" t="s">
        <v>74</v>
      </c>
      <c r="X7" t="s">
        <v>74</v>
      </c>
      <c r="Y7" t="s">
        <v>74</v>
      </c>
      <c r="Z7" t="s">
        <v>74</v>
      </c>
      <c r="AA7" t="s">
        <v>74</v>
      </c>
      <c r="AB7" t="s">
        <v>74</v>
      </c>
      <c r="AC7" t="s">
        <v>190</v>
      </c>
      <c r="AD7" t="s">
        <v>191</v>
      </c>
      <c r="AE7" t="s">
        <v>74</v>
      </c>
      <c r="AF7" t="s">
        <v>74</v>
      </c>
      <c r="AG7">
        <v>0</v>
      </c>
      <c r="AH7">
        <v>0</v>
      </c>
      <c r="AI7">
        <v>0</v>
      </c>
      <c r="AJ7">
        <v>0</v>
      </c>
      <c r="AK7">
        <v>0</v>
      </c>
      <c r="AL7" t="s">
        <v>91</v>
      </c>
      <c r="AM7" t="s">
        <v>92</v>
      </c>
      <c r="AN7" t="s">
        <v>93</v>
      </c>
      <c r="AO7" t="s">
        <v>192</v>
      </c>
      <c r="AP7" t="s">
        <v>193</v>
      </c>
      <c r="AQ7" t="s">
        <v>74</v>
      </c>
      <c r="AR7" t="s">
        <v>194</v>
      </c>
      <c r="AS7" t="s">
        <v>195</v>
      </c>
      <c r="AT7" t="s">
        <v>98</v>
      </c>
      <c r="AU7">
        <v>2014</v>
      </c>
      <c r="AV7">
        <v>26</v>
      </c>
      <c r="AW7">
        <v>2</v>
      </c>
      <c r="AX7" t="s">
        <v>74</v>
      </c>
      <c r="AY7" t="s">
        <v>74</v>
      </c>
      <c r="AZ7" t="s">
        <v>74</v>
      </c>
      <c r="BA7" t="s">
        <v>74</v>
      </c>
      <c r="BB7">
        <v>113</v>
      </c>
      <c r="BC7">
        <v>113</v>
      </c>
      <c r="BD7" t="s">
        <v>74</v>
      </c>
      <c r="BE7" t="s">
        <v>196</v>
      </c>
      <c r="BF7" t="str">
        <f>HYPERLINK("http://dx.doi.org/10.1017/S0954102014000091","http://dx.doi.org/10.1017/S0954102014000091")</f>
        <v>http://dx.doi.org/10.1017/S0954102014000091</v>
      </c>
      <c r="BG7" t="s">
        <v>74</v>
      </c>
      <c r="BH7" t="s">
        <v>74</v>
      </c>
      <c r="BI7">
        <v>1</v>
      </c>
      <c r="BJ7" t="s">
        <v>197</v>
      </c>
      <c r="BK7" t="s">
        <v>101</v>
      </c>
      <c r="BL7" t="s">
        <v>198</v>
      </c>
      <c r="BM7" t="s">
        <v>199</v>
      </c>
      <c r="BN7" t="s">
        <v>74</v>
      </c>
      <c r="BO7" t="s">
        <v>200</v>
      </c>
      <c r="BP7" t="s">
        <v>74</v>
      </c>
      <c r="BQ7" t="s">
        <v>74</v>
      </c>
      <c r="BR7" t="s">
        <v>104</v>
      </c>
      <c r="BS7" t="s">
        <v>201</v>
      </c>
      <c r="BT7" t="str">
        <f>HYPERLINK("https%3A%2F%2Fwww.webofscience.com%2Fwos%2Fwoscc%2Ffull-record%2FWOS:000339375600001","View Full Record in Web of Science")</f>
        <v>View Full Record in Web of Science</v>
      </c>
    </row>
    <row r="8" spans="1:72" x14ac:dyDescent="0.15">
      <c r="A8" t="s">
        <v>72</v>
      </c>
      <c r="B8" t="s">
        <v>202</v>
      </c>
      <c r="C8" t="s">
        <v>74</v>
      </c>
      <c r="D8" t="s">
        <v>74</v>
      </c>
      <c r="E8" t="s">
        <v>74</v>
      </c>
      <c r="F8" t="s">
        <v>203</v>
      </c>
      <c r="G8" t="s">
        <v>74</v>
      </c>
      <c r="H8" t="s">
        <v>74</v>
      </c>
      <c r="I8" t="s">
        <v>204</v>
      </c>
      <c r="J8" t="s">
        <v>188</v>
      </c>
      <c r="K8" t="s">
        <v>74</v>
      </c>
      <c r="L8" t="s">
        <v>74</v>
      </c>
      <c r="M8" t="s">
        <v>78</v>
      </c>
      <c r="N8" t="s">
        <v>79</v>
      </c>
      <c r="O8" t="s">
        <v>74</v>
      </c>
      <c r="P8" t="s">
        <v>74</v>
      </c>
      <c r="Q8" t="s">
        <v>74</v>
      </c>
      <c r="R8" t="s">
        <v>74</v>
      </c>
      <c r="S8" t="s">
        <v>74</v>
      </c>
      <c r="T8" t="s">
        <v>205</v>
      </c>
      <c r="U8" t="s">
        <v>206</v>
      </c>
      <c r="V8" t="s">
        <v>207</v>
      </c>
      <c r="W8" t="s">
        <v>208</v>
      </c>
      <c r="X8" t="s">
        <v>209</v>
      </c>
      <c r="Y8" t="s">
        <v>210</v>
      </c>
      <c r="Z8" t="s">
        <v>211</v>
      </c>
      <c r="AA8" t="s">
        <v>212</v>
      </c>
      <c r="AB8" t="s">
        <v>213</v>
      </c>
      <c r="AC8" t="s">
        <v>214</v>
      </c>
      <c r="AD8" t="s">
        <v>215</v>
      </c>
      <c r="AE8" t="s">
        <v>216</v>
      </c>
      <c r="AF8" t="s">
        <v>74</v>
      </c>
      <c r="AG8">
        <v>46</v>
      </c>
      <c r="AH8">
        <v>29</v>
      </c>
      <c r="AI8">
        <v>32</v>
      </c>
      <c r="AJ8">
        <v>2</v>
      </c>
      <c r="AK8">
        <v>56</v>
      </c>
      <c r="AL8" t="s">
        <v>91</v>
      </c>
      <c r="AM8" t="s">
        <v>92</v>
      </c>
      <c r="AN8" t="s">
        <v>93</v>
      </c>
      <c r="AO8" t="s">
        <v>192</v>
      </c>
      <c r="AP8" t="s">
        <v>193</v>
      </c>
      <c r="AQ8" t="s">
        <v>74</v>
      </c>
      <c r="AR8" t="s">
        <v>194</v>
      </c>
      <c r="AS8" t="s">
        <v>195</v>
      </c>
      <c r="AT8" t="s">
        <v>98</v>
      </c>
      <c r="AU8">
        <v>2014</v>
      </c>
      <c r="AV8">
        <v>26</v>
      </c>
      <c r="AW8">
        <v>2</v>
      </c>
      <c r="AX8" t="s">
        <v>74</v>
      </c>
      <c r="AY8" t="s">
        <v>74</v>
      </c>
      <c r="AZ8" t="s">
        <v>74</v>
      </c>
      <c r="BA8" t="s">
        <v>74</v>
      </c>
      <c r="BB8">
        <v>115</v>
      </c>
      <c r="BC8">
        <v>123</v>
      </c>
      <c r="BD8" t="s">
        <v>74</v>
      </c>
      <c r="BE8" t="s">
        <v>217</v>
      </c>
      <c r="BF8" t="str">
        <f>HYPERLINK("http://dx.doi.org/10.1017/S0954102013000291","http://dx.doi.org/10.1017/S0954102013000291")</f>
        <v>http://dx.doi.org/10.1017/S0954102013000291</v>
      </c>
      <c r="BG8" t="s">
        <v>74</v>
      </c>
      <c r="BH8" t="s">
        <v>74</v>
      </c>
      <c r="BI8">
        <v>9</v>
      </c>
      <c r="BJ8" t="s">
        <v>197</v>
      </c>
      <c r="BK8" t="s">
        <v>101</v>
      </c>
      <c r="BL8" t="s">
        <v>198</v>
      </c>
      <c r="BM8" t="s">
        <v>199</v>
      </c>
      <c r="BN8" t="s">
        <v>74</v>
      </c>
      <c r="BO8" t="s">
        <v>74</v>
      </c>
      <c r="BP8" t="s">
        <v>74</v>
      </c>
      <c r="BQ8" t="s">
        <v>74</v>
      </c>
      <c r="BR8" t="s">
        <v>104</v>
      </c>
      <c r="BS8" t="s">
        <v>218</v>
      </c>
      <c r="BT8" t="str">
        <f>HYPERLINK("https%3A%2F%2Fwww.webofscience.com%2Fwos%2Fwoscc%2Ffull-record%2FWOS:000339375600002","View Full Record in Web of Science")</f>
        <v>View Full Record in Web of Science</v>
      </c>
    </row>
    <row r="9" spans="1:72" x14ac:dyDescent="0.15">
      <c r="A9" t="s">
        <v>72</v>
      </c>
      <c r="B9" t="s">
        <v>219</v>
      </c>
      <c r="C9" t="s">
        <v>74</v>
      </c>
      <c r="D9" t="s">
        <v>74</v>
      </c>
      <c r="E9" t="s">
        <v>74</v>
      </c>
      <c r="F9" t="s">
        <v>220</v>
      </c>
      <c r="G9" t="s">
        <v>74</v>
      </c>
      <c r="H9" t="s">
        <v>74</v>
      </c>
      <c r="I9" t="s">
        <v>221</v>
      </c>
      <c r="J9" t="s">
        <v>188</v>
      </c>
      <c r="K9" t="s">
        <v>74</v>
      </c>
      <c r="L9" t="s">
        <v>74</v>
      </c>
      <c r="M9" t="s">
        <v>78</v>
      </c>
      <c r="N9" t="s">
        <v>79</v>
      </c>
      <c r="O9" t="s">
        <v>74</v>
      </c>
      <c r="P9" t="s">
        <v>74</v>
      </c>
      <c r="Q9" t="s">
        <v>74</v>
      </c>
      <c r="R9" t="s">
        <v>74</v>
      </c>
      <c r="S9" t="s">
        <v>74</v>
      </c>
      <c r="T9" t="s">
        <v>222</v>
      </c>
      <c r="U9" t="s">
        <v>223</v>
      </c>
      <c r="V9" t="s">
        <v>224</v>
      </c>
      <c r="W9" t="s">
        <v>225</v>
      </c>
      <c r="X9" t="s">
        <v>226</v>
      </c>
      <c r="Y9" t="s">
        <v>227</v>
      </c>
      <c r="Z9" t="s">
        <v>228</v>
      </c>
      <c r="AA9" t="s">
        <v>74</v>
      </c>
      <c r="AB9" t="s">
        <v>229</v>
      </c>
      <c r="AC9" t="s">
        <v>230</v>
      </c>
      <c r="AD9" t="s">
        <v>231</v>
      </c>
      <c r="AE9" t="s">
        <v>232</v>
      </c>
      <c r="AF9" t="s">
        <v>74</v>
      </c>
      <c r="AG9">
        <v>34</v>
      </c>
      <c r="AH9">
        <v>15</v>
      </c>
      <c r="AI9">
        <v>15</v>
      </c>
      <c r="AJ9">
        <v>1</v>
      </c>
      <c r="AK9">
        <v>22</v>
      </c>
      <c r="AL9" t="s">
        <v>91</v>
      </c>
      <c r="AM9" t="s">
        <v>92</v>
      </c>
      <c r="AN9" t="s">
        <v>93</v>
      </c>
      <c r="AO9" t="s">
        <v>192</v>
      </c>
      <c r="AP9" t="s">
        <v>193</v>
      </c>
      <c r="AQ9" t="s">
        <v>74</v>
      </c>
      <c r="AR9" t="s">
        <v>194</v>
      </c>
      <c r="AS9" t="s">
        <v>195</v>
      </c>
      <c r="AT9" t="s">
        <v>98</v>
      </c>
      <c r="AU9">
        <v>2014</v>
      </c>
      <c r="AV9">
        <v>26</v>
      </c>
      <c r="AW9">
        <v>2</v>
      </c>
      <c r="AX9" t="s">
        <v>74</v>
      </c>
      <c r="AY9" t="s">
        <v>74</v>
      </c>
      <c r="AZ9" t="s">
        <v>74</v>
      </c>
      <c r="BA9" t="s">
        <v>74</v>
      </c>
      <c r="BB9">
        <v>124</v>
      </c>
      <c r="BC9">
        <v>132</v>
      </c>
      <c r="BD9" t="s">
        <v>74</v>
      </c>
      <c r="BE9" t="s">
        <v>233</v>
      </c>
      <c r="BF9" t="str">
        <f>HYPERLINK("http://dx.doi.org/10.1017/S0954102013000394","http://dx.doi.org/10.1017/S0954102013000394")</f>
        <v>http://dx.doi.org/10.1017/S0954102013000394</v>
      </c>
      <c r="BG9" t="s">
        <v>74</v>
      </c>
      <c r="BH9" t="s">
        <v>74</v>
      </c>
      <c r="BI9">
        <v>9</v>
      </c>
      <c r="BJ9" t="s">
        <v>197</v>
      </c>
      <c r="BK9" t="s">
        <v>101</v>
      </c>
      <c r="BL9" t="s">
        <v>198</v>
      </c>
      <c r="BM9" t="s">
        <v>199</v>
      </c>
      <c r="BN9" t="s">
        <v>74</v>
      </c>
      <c r="BO9" t="s">
        <v>234</v>
      </c>
      <c r="BP9" t="s">
        <v>74</v>
      </c>
      <c r="BQ9" t="s">
        <v>74</v>
      </c>
      <c r="BR9" t="s">
        <v>104</v>
      </c>
      <c r="BS9" t="s">
        <v>235</v>
      </c>
      <c r="BT9" t="str">
        <f>HYPERLINK("https%3A%2F%2Fwww.webofscience.com%2Fwos%2Fwoscc%2Ffull-record%2FWOS:000339375600003","View Full Record in Web of Science")</f>
        <v>View Full Record in Web of Science</v>
      </c>
    </row>
    <row r="10" spans="1:72" x14ac:dyDescent="0.15">
      <c r="A10" t="s">
        <v>72</v>
      </c>
      <c r="B10" t="s">
        <v>236</v>
      </c>
      <c r="C10" t="s">
        <v>74</v>
      </c>
      <c r="D10" t="s">
        <v>74</v>
      </c>
      <c r="E10" t="s">
        <v>74</v>
      </c>
      <c r="F10" t="s">
        <v>237</v>
      </c>
      <c r="G10" t="s">
        <v>74</v>
      </c>
      <c r="H10" t="s">
        <v>74</v>
      </c>
      <c r="I10" t="s">
        <v>238</v>
      </c>
      <c r="J10" t="s">
        <v>188</v>
      </c>
      <c r="K10" t="s">
        <v>74</v>
      </c>
      <c r="L10" t="s">
        <v>74</v>
      </c>
      <c r="M10" t="s">
        <v>78</v>
      </c>
      <c r="N10" t="s">
        <v>79</v>
      </c>
      <c r="O10" t="s">
        <v>74</v>
      </c>
      <c r="P10" t="s">
        <v>74</v>
      </c>
      <c r="Q10" t="s">
        <v>74</v>
      </c>
      <c r="R10" t="s">
        <v>74</v>
      </c>
      <c r="S10" t="s">
        <v>74</v>
      </c>
      <c r="T10" t="s">
        <v>239</v>
      </c>
      <c r="U10" t="s">
        <v>240</v>
      </c>
      <c r="V10" t="s">
        <v>241</v>
      </c>
      <c r="W10" t="s">
        <v>242</v>
      </c>
      <c r="X10" t="s">
        <v>243</v>
      </c>
      <c r="Y10" t="s">
        <v>244</v>
      </c>
      <c r="Z10" t="s">
        <v>245</v>
      </c>
      <c r="AA10" t="s">
        <v>246</v>
      </c>
      <c r="AB10" t="s">
        <v>247</v>
      </c>
      <c r="AC10" t="s">
        <v>248</v>
      </c>
      <c r="AD10" t="s">
        <v>249</v>
      </c>
      <c r="AE10" t="s">
        <v>250</v>
      </c>
      <c r="AF10" t="s">
        <v>74</v>
      </c>
      <c r="AG10">
        <v>41</v>
      </c>
      <c r="AH10">
        <v>6</v>
      </c>
      <c r="AI10">
        <v>7</v>
      </c>
      <c r="AJ10">
        <v>1</v>
      </c>
      <c r="AK10">
        <v>48</v>
      </c>
      <c r="AL10" t="s">
        <v>91</v>
      </c>
      <c r="AM10" t="s">
        <v>92</v>
      </c>
      <c r="AN10" t="s">
        <v>93</v>
      </c>
      <c r="AO10" t="s">
        <v>192</v>
      </c>
      <c r="AP10" t="s">
        <v>193</v>
      </c>
      <c r="AQ10" t="s">
        <v>74</v>
      </c>
      <c r="AR10" t="s">
        <v>194</v>
      </c>
      <c r="AS10" t="s">
        <v>195</v>
      </c>
      <c r="AT10" t="s">
        <v>98</v>
      </c>
      <c r="AU10">
        <v>2014</v>
      </c>
      <c r="AV10">
        <v>26</v>
      </c>
      <c r="AW10">
        <v>2</v>
      </c>
      <c r="AX10" t="s">
        <v>74</v>
      </c>
      <c r="AY10" t="s">
        <v>74</v>
      </c>
      <c r="AZ10" t="s">
        <v>74</v>
      </c>
      <c r="BA10" t="s">
        <v>74</v>
      </c>
      <c r="BB10">
        <v>145</v>
      </c>
      <c r="BC10">
        <v>152</v>
      </c>
      <c r="BD10" t="s">
        <v>74</v>
      </c>
      <c r="BE10" t="s">
        <v>251</v>
      </c>
      <c r="BF10" t="str">
        <f>HYPERLINK("http://dx.doi.org/10.1017/S0954102013000473","http://dx.doi.org/10.1017/S0954102013000473")</f>
        <v>http://dx.doi.org/10.1017/S0954102013000473</v>
      </c>
      <c r="BG10" t="s">
        <v>74</v>
      </c>
      <c r="BH10" t="s">
        <v>74</v>
      </c>
      <c r="BI10">
        <v>8</v>
      </c>
      <c r="BJ10" t="s">
        <v>197</v>
      </c>
      <c r="BK10" t="s">
        <v>101</v>
      </c>
      <c r="BL10" t="s">
        <v>198</v>
      </c>
      <c r="BM10" t="s">
        <v>199</v>
      </c>
      <c r="BN10" t="s">
        <v>74</v>
      </c>
      <c r="BO10" t="s">
        <v>252</v>
      </c>
      <c r="BP10" t="s">
        <v>74</v>
      </c>
      <c r="BQ10" t="s">
        <v>74</v>
      </c>
      <c r="BR10" t="s">
        <v>104</v>
      </c>
      <c r="BS10" t="s">
        <v>253</v>
      </c>
      <c r="BT10" t="str">
        <f>HYPERLINK("https%3A%2F%2Fwww.webofscience.com%2Fwos%2Fwoscc%2Ffull-record%2FWOS:000339375600005","View Full Record in Web of Science")</f>
        <v>View Full Record in Web of Science</v>
      </c>
    </row>
    <row r="11" spans="1:72" x14ac:dyDescent="0.15">
      <c r="A11" t="s">
        <v>72</v>
      </c>
      <c r="B11" t="s">
        <v>254</v>
      </c>
      <c r="C11" t="s">
        <v>74</v>
      </c>
      <c r="D11" t="s">
        <v>74</v>
      </c>
      <c r="E11" t="s">
        <v>74</v>
      </c>
      <c r="F11" t="s">
        <v>255</v>
      </c>
      <c r="G11" t="s">
        <v>74</v>
      </c>
      <c r="H11" t="s">
        <v>74</v>
      </c>
      <c r="I11" t="s">
        <v>256</v>
      </c>
      <c r="J11" t="s">
        <v>188</v>
      </c>
      <c r="K11" t="s">
        <v>74</v>
      </c>
      <c r="L11" t="s">
        <v>74</v>
      </c>
      <c r="M11" t="s">
        <v>78</v>
      </c>
      <c r="N11" t="s">
        <v>79</v>
      </c>
      <c r="O11" t="s">
        <v>74</v>
      </c>
      <c r="P11" t="s">
        <v>74</v>
      </c>
      <c r="Q11" t="s">
        <v>74</v>
      </c>
      <c r="R11" t="s">
        <v>74</v>
      </c>
      <c r="S11" t="s">
        <v>74</v>
      </c>
      <c r="T11" t="s">
        <v>257</v>
      </c>
      <c r="U11" t="s">
        <v>258</v>
      </c>
      <c r="V11" t="s">
        <v>259</v>
      </c>
      <c r="W11" t="s">
        <v>260</v>
      </c>
      <c r="X11" t="s">
        <v>261</v>
      </c>
      <c r="Y11" t="s">
        <v>262</v>
      </c>
      <c r="Z11" t="s">
        <v>263</v>
      </c>
      <c r="AA11" t="s">
        <v>264</v>
      </c>
      <c r="AB11" t="s">
        <v>265</v>
      </c>
      <c r="AC11" t="s">
        <v>266</v>
      </c>
      <c r="AD11" t="s">
        <v>267</v>
      </c>
      <c r="AE11" t="s">
        <v>268</v>
      </c>
      <c r="AF11" t="s">
        <v>74</v>
      </c>
      <c r="AG11">
        <v>39</v>
      </c>
      <c r="AH11">
        <v>21</v>
      </c>
      <c r="AI11">
        <v>23</v>
      </c>
      <c r="AJ11">
        <v>0</v>
      </c>
      <c r="AK11">
        <v>31</v>
      </c>
      <c r="AL11" t="s">
        <v>91</v>
      </c>
      <c r="AM11" t="s">
        <v>92</v>
      </c>
      <c r="AN11" t="s">
        <v>93</v>
      </c>
      <c r="AO11" t="s">
        <v>192</v>
      </c>
      <c r="AP11" t="s">
        <v>193</v>
      </c>
      <c r="AQ11" t="s">
        <v>74</v>
      </c>
      <c r="AR11" t="s">
        <v>194</v>
      </c>
      <c r="AS11" t="s">
        <v>195</v>
      </c>
      <c r="AT11" t="s">
        <v>98</v>
      </c>
      <c r="AU11">
        <v>2014</v>
      </c>
      <c r="AV11">
        <v>26</v>
      </c>
      <c r="AW11">
        <v>2</v>
      </c>
      <c r="AX11" t="s">
        <v>74</v>
      </c>
      <c r="AY11" t="s">
        <v>74</v>
      </c>
      <c r="AZ11" t="s">
        <v>74</v>
      </c>
      <c r="BA11" t="s">
        <v>74</v>
      </c>
      <c r="BB11">
        <v>153</v>
      </c>
      <c r="BC11">
        <v>162</v>
      </c>
      <c r="BD11" t="s">
        <v>74</v>
      </c>
      <c r="BE11" t="s">
        <v>269</v>
      </c>
      <c r="BF11" t="str">
        <f>HYPERLINK("http://dx.doi.org/10.1017/S095410201300045X","http://dx.doi.org/10.1017/S095410201300045X")</f>
        <v>http://dx.doi.org/10.1017/S095410201300045X</v>
      </c>
      <c r="BG11" t="s">
        <v>74</v>
      </c>
      <c r="BH11" t="s">
        <v>74</v>
      </c>
      <c r="BI11">
        <v>10</v>
      </c>
      <c r="BJ11" t="s">
        <v>197</v>
      </c>
      <c r="BK11" t="s">
        <v>101</v>
      </c>
      <c r="BL11" t="s">
        <v>198</v>
      </c>
      <c r="BM11" t="s">
        <v>199</v>
      </c>
      <c r="BN11" t="s">
        <v>74</v>
      </c>
      <c r="BO11" t="s">
        <v>270</v>
      </c>
      <c r="BP11" t="s">
        <v>74</v>
      </c>
      <c r="BQ11" t="s">
        <v>74</v>
      </c>
      <c r="BR11" t="s">
        <v>104</v>
      </c>
      <c r="BS11" t="s">
        <v>271</v>
      </c>
      <c r="BT11" t="str">
        <f>HYPERLINK("https%3A%2F%2Fwww.webofscience.com%2Fwos%2Fwoscc%2Ffull-record%2FWOS:000339375600006","View Full Record in Web of Science")</f>
        <v>View Full Record in Web of Science</v>
      </c>
    </row>
    <row r="12" spans="1:72" x14ac:dyDescent="0.15">
      <c r="A12" t="s">
        <v>72</v>
      </c>
      <c r="B12" t="s">
        <v>272</v>
      </c>
      <c r="C12" t="s">
        <v>74</v>
      </c>
      <c r="D12" t="s">
        <v>74</v>
      </c>
      <c r="E12" t="s">
        <v>74</v>
      </c>
      <c r="F12" t="s">
        <v>273</v>
      </c>
      <c r="G12" t="s">
        <v>74</v>
      </c>
      <c r="H12" t="s">
        <v>274</v>
      </c>
      <c r="I12" t="s">
        <v>275</v>
      </c>
      <c r="J12" t="s">
        <v>188</v>
      </c>
      <c r="K12" t="s">
        <v>74</v>
      </c>
      <c r="L12" t="s">
        <v>74</v>
      </c>
      <c r="M12" t="s">
        <v>78</v>
      </c>
      <c r="N12" t="s">
        <v>79</v>
      </c>
      <c r="O12" t="s">
        <v>74</v>
      </c>
      <c r="P12" t="s">
        <v>74</v>
      </c>
      <c r="Q12" t="s">
        <v>74</v>
      </c>
      <c r="R12" t="s">
        <v>74</v>
      </c>
      <c r="S12" t="s">
        <v>74</v>
      </c>
      <c r="T12" t="s">
        <v>276</v>
      </c>
      <c r="U12" t="s">
        <v>277</v>
      </c>
      <c r="V12" t="s">
        <v>278</v>
      </c>
      <c r="W12" t="s">
        <v>279</v>
      </c>
      <c r="X12" t="s">
        <v>280</v>
      </c>
      <c r="Y12" t="s">
        <v>281</v>
      </c>
      <c r="Z12" t="s">
        <v>282</v>
      </c>
      <c r="AA12" t="s">
        <v>283</v>
      </c>
      <c r="AB12" t="s">
        <v>284</v>
      </c>
      <c r="AC12" t="s">
        <v>285</v>
      </c>
      <c r="AD12" t="s">
        <v>286</v>
      </c>
      <c r="AE12" t="s">
        <v>287</v>
      </c>
      <c r="AF12" t="s">
        <v>74</v>
      </c>
      <c r="AG12">
        <v>34</v>
      </c>
      <c r="AH12">
        <v>13</v>
      </c>
      <c r="AI12">
        <v>14</v>
      </c>
      <c r="AJ12">
        <v>0</v>
      </c>
      <c r="AK12">
        <v>13</v>
      </c>
      <c r="AL12" t="s">
        <v>91</v>
      </c>
      <c r="AM12" t="s">
        <v>92</v>
      </c>
      <c r="AN12" t="s">
        <v>93</v>
      </c>
      <c r="AO12" t="s">
        <v>192</v>
      </c>
      <c r="AP12" t="s">
        <v>193</v>
      </c>
      <c r="AQ12" t="s">
        <v>74</v>
      </c>
      <c r="AR12" t="s">
        <v>194</v>
      </c>
      <c r="AS12" t="s">
        <v>195</v>
      </c>
      <c r="AT12" t="s">
        <v>98</v>
      </c>
      <c r="AU12">
        <v>2014</v>
      </c>
      <c r="AV12">
        <v>26</v>
      </c>
      <c r="AW12">
        <v>2</v>
      </c>
      <c r="AX12" t="s">
        <v>74</v>
      </c>
      <c r="AY12" t="s">
        <v>74</v>
      </c>
      <c r="AZ12" t="s">
        <v>74</v>
      </c>
      <c r="BA12" t="s">
        <v>74</v>
      </c>
      <c r="BB12">
        <v>183</v>
      </c>
      <c r="BC12">
        <v>192</v>
      </c>
      <c r="BD12" t="s">
        <v>74</v>
      </c>
      <c r="BE12" t="s">
        <v>288</v>
      </c>
      <c r="BF12" t="str">
        <f>HYPERLINK("http://dx.doi.org/10.1017/S0954102013000527","http://dx.doi.org/10.1017/S0954102013000527")</f>
        <v>http://dx.doi.org/10.1017/S0954102013000527</v>
      </c>
      <c r="BG12" t="s">
        <v>74</v>
      </c>
      <c r="BH12" t="s">
        <v>74</v>
      </c>
      <c r="BI12">
        <v>10</v>
      </c>
      <c r="BJ12" t="s">
        <v>197</v>
      </c>
      <c r="BK12" t="s">
        <v>101</v>
      </c>
      <c r="BL12" t="s">
        <v>198</v>
      </c>
      <c r="BM12" t="s">
        <v>199</v>
      </c>
      <c r="BN12" t="s">
        <v>74</v>
      </c>
      <c r="BO12" t="s">
        <v>270</v>
      </c>
      <c r="BP12" t="s">
        <v>74</v>
      </c>
      <c r="BQ12" t="s">
        <v>74</v>
      </c>
      <c r="BR12" t="s">
        <v>104</v>
      </c>
      <c r="BS12" t="s">
        <v>289</v>
      </c>
      <c r="BT12" t="str">
        <f>HYPERLINK("https%3A%2F%2Fwww.webofscience.com%2Fwos%2Fwoscc%2Ffull-record%2FWOS:000339375600009","View Full Record in Web of Science")</f>
        <v>View Full Record in Web of Science</v>
      </c>
    </row>
    <row r="13" spans="1:72" x14ac:dyDescent="0.15">
      <c r="A13" t="s">
        <v>72</v>
      </c>
      <c r="B13" t="s">
        <v>290</v>
      </c>
      <c r="C13" t="s">
        <v>74</v>
      </c>
      <c r="D13" t="s">
        <v>74</v>
      </c>
      <c r="E13" t="s">
        <v>74</v>
      </c>
      <c r="F13" t="s">
        <v>291</v>
      </c>
      <c r="G13" t="s">
        <v>74</v>
      </c>
      <c r="H13" t="s">
        <v>74</v>
      </c>
      <c r="I13" t="s">
        <v>292</v>
      </c>
      <c r="J13" t="s">
        <v>188</v>
      </c>
      <c r="K13" t="s">
        <v>74</v>
      </c>
      <c r="L13" t="s">
        <v>74</v>
      </c>
      <c r="M13" t="s">
        <v>78</v>
      </c>
      <c r="N13" t="s">
        <v>79</v>
      </c>
      <c r="O13" t="s">
        <v>74</v>
      </c>
      <c r="P13" t="s">
        <v>74</v>
      </c>
      <c r="Q13" t="s">
        <v>74</v>
      </c>
      <c r="R13" t="s">
        <v>74</v>
      </c>
      <c r="S13" t="s">
        <v>74</v>
      </c>
      <c r="T13" t="s">
        <v>293</v>
      </c>
      <c r="U13" t="s">
        <v>294</v>
      </c>
      <c r="V13" t="s">
        <v>295</v>
      </c>
      <c r="W13" t="s">
        <v>296</v>
      </c>
      <c r="X13" t="s">
        <v>297</v>
      </c>
      <c r="Y13" t="s">
        <v>298</v>
      </c>
      <c r="Z13" t="s">
        <v>299</v>
      </c>
      <c r="AA13" t="s">
        <v>300</v>
      </c>
      <c r="AB13" t="s">
        <v>301</v>
      </c>
      <c r="AC13" t="s">
        <v>302</v>
      </c>
      <c r="AD13" t="s">
        <v>303</v>
      </c>
      <c r="AE13" t="s">
        <v>304</v>
      </c>
      <c r="AF13" t="s">
        <v>74</v>
      </c>
      <c r="AG13">
        <v>32</v>
      </c>
      <c r="AH13">
        <v>5</v>
      </c>
      <c r="AI13">
        <v>5</v>
      </c>
      <c r="AJ13">
        <v>0</v>
      </c>
      <c r="AK13">
        <v>8</v>
      </c>
      <c r="AL13" t="s">
        <v>91</v>
      </c>
      <c r="AM13" t="s">
        <v>92</v>
      </c>
      <c r="AN13" t="s">
        <v>93</v>
      </c>
      <c r="AO13" t="s">
        <v>192</v>
      </c>
      <c r="AP13" t="s">
        <v>193</v>
      </c>
      <c r="AQ13" t="s">
        <v>74</v>
      </c>
      <c r="AR13" t="s">
        <v>194</v>
      </c>
      <c r="AS13" t="s">
        <v>195</v>
      </c>
      <c r="AT13" t="s">
        <v>98</v>
      </c>
      <c r="AU13">
        <v>2014</v>
      </c>
      <c r="AV13">
        <v>26</v>
      </c>
      <c r="AW13">
        <v>2</v>
      </c>
      <c r="AX13" t="s">
        <v>74</v>
      </c>
      <c r="AY13" t="s">
        <v>74</v>
      </c>
      <c r="AZ13" t="s">
        <v>74</v>
      </c>
      <c r="BA13" t="s">
        <v>74</v>
      </c>
      <c r="BB13">
        <v>193</v>
      </c>
      <c r="BC13">
        <v>204</v>
      </c>
      <c r="BD13" t="s">
        <v>74</v>
      </c>
      <c r="BE13" t="s">
        <v>305</v>
      </c>
      <c r="BF13" t="str">
        <f>HYPERLINK("http://dx.doi.org/10.1017/S0954102013000540","http://dx.doi.org/10.1017/S0954102013000540")</f>
        <v>http://dx.doi.org/10.1017/S0954102013000540</v>
      </c>
      <c r="BG13" t="s">
        <v>74</v>
      </c>
      <c r="BH13" t="s">
        <v>74</v>
      </c>
      <c r="BI13">
        <v>12</v>
      </c>
      <c r="BJ13" t="s">
        <v>197</v>
      </c>
      <c r="BK13" t="s">
        <v>101</v>
      </c>
      <c r="BL13" t="s">
        <v>198</v>
      </c>
      <c r="BM13" t="s">
        <v>199</v>
      </c>
      <c r="BN13" t="s">
        <v>74</v>
      </c>
      <c r="BO13" t="s">
        <v>306</v>
      </c>
      <c r="BP13" t="s">
        <v>74</v>
      </c>
      <c r="BQ13" t="s">
        <v>74</v>
      </c>
      <c r="BR13" t="s">
        <v>104</v>
      </c>
      <c r="BS13" t="s">
        <v>307</v>
      </c>
      <c r="BT13" t="str">
        <f>HYPERLINK("https%3A%2F%2Fwww.webofscience.com%2Fwos%2Fwoscc%2Ffull-record%2FWOS:000339375600010","View Full Record in Web of Science")</f>
        <v>View Full Record in Web of Science</v>
      </c>
    </row>
    <row r="14" spans="1:72" x14ac:dyDescent="0.15">
      <c r="A14" t="s">
        <v>72</v>
      </c>
      <c r="B14" t="s">
        <v>308</v>
      </c>
      <c r="C14" t="s">
        <v>74</v>
      </c>
      <c r="D14" t="s">
        <v>74</v>
      </c>
      <c r="E14" t="s">
        <v>74</v>
      </c>
      <c r="F14" t="s">
        <v>309</v>
      </c>
      <c r="G14" t="s">
        <v>74</v>
      </c>
      <c r="H14" t="s">
        <v>74</v>
      </c>
      <c r="I14" t="s">
        <v>310</v>
      </c>
      <c r="J14" t="s">
        <v>311</v>
      </c>
      <c r="K14" t="s">
        <v>74</v>
      </c>
      <c r="L14" t="s">
        <v>74</v>
      </c>
      <c r="M14" t="s">
        <v>78</v>
      </c>
      <c r="N14" t="s">
        <v>79</v>
      </c>
      <c r="O14" t="s">
        <v>74</v>
      </c>
      <c r="P14" t="s">
        <v>74</v>
      </c>
      <c r="Q14" t="s">
        <v>74</v>
      </c>
      <c r="R14" t="s">
        <v>74</v>
      </c>
      <c r="S14" t="s">
        <v>74</v>
      </c>
      <c r="T14" t="s">
        <v>312</v>
      </c>
      <c r="U14" t="s">
        <v>313</v>
      </c>
      <c r="V14" t="s">
        <v>314</v>
      </c>
      <c r="W14" t="s">
        <v>315</v>
      </c>
      <c r="X14" t="s">
        <v>316</v>
      </c>
      <c r="Y14" t="s">
        <v>317</v>
      </c>
      <c r="Z14" t="s">
        <v>74</v>
      </c>
      <c r="AA14" t="s">
        <v>318</v>
      </c>
      <c r="AB14" t="s">
        <v>319</v>
      </c>
      <c r="AC14" t="s">
        <v>320</v>
      </c>
      <c r="AD14" t="s">
        <v>321</v>
      </c>
      <c r="AE14" t="s">
        <v>322</v>
      </c>
      <c r="AF14" t="s">
        <v>74</v>
      </c>
      <c r="AG14">
        <v>44</v>
      </c>
      <c r="AH14">
        <v>32</v>
      </c>
      <c r="AI14">
        <v>36</v>
      </c>
      <c r="AJ14">
        <v>0</v>
      </c>
      <c r="AK14">
        <v>8</v>
      </c>
      <c r="AL14" t="s">
        <v>323</v>
      </c>
      <c r="AM14" t="s">
        <v>324</v>
      </c>
      <c r="AN14" t="s">
        <v>325</v>
      </c>
      <c r="AO14" t="s">
        <v>326</v>
      </c>
      <c r="AP14" t="s">
        <v>327</v>
      </c>
      <c r="AQ14" t="s">
        <v>74</v>
      </c>
      <c r="AR14" t="s">
        <v>328</v>
      </c>
      <c r="AS14" t="s">
        <v>329</v>
      </c>
      <c r="AT14" t="s">
        <v>330</v>
      </c>
      <c r="AU14">
        <v>2014</v>
      </c>
      <c r="AV14">
        <v>784</v>
      </c>
      <c r="AW14">
        <v>2</v>
      </c>
      <c r="AX14" t="s">
        <v>74</v>
      </c>
      <c r="AY14" t="s">
        <v>74</v>
      </c>
      <c r="AZ14" t="s">
        <v>74</v>
      </c>
      <c r="BA14" t="s">
        <v>74</v>
      </c>
      <c r="BB14" t="s">
        <v>74</v>
      </c>
      <c r="BC14" t="s">
        <v>74</v>
      </c>
      <c r="BD14">
        <v>116</v>
      </c>
      <c r="BE14" t="s">
        <v>331</v>
      </c>
      <c r="BF14" t="str">
        <f>HYPERLINK("http://dx.doi.org/10.1088/0004-637X/784/2/116","http://dx.doi.org/10.1088/0004-637X/784/2/116")</f>
        <v>http://dx.doi.org/10.1088/0004-637X/784/2/116</v>
      </c>
      <c r="BG14" t="s">
        <v>74</v>
      </c>
      <c r="BH14" t="s">
        <v>74</v>
      </c>
      <c r="BI14">
        <v>10</v>
      </c>
      <c r="BJ14" t="s">
        <v>332</v>
      </c>
      <c r="BK14" t="s">
        <v>101</v>
      </c>
      <c r="BL14" t="s">
        <v>332</v>
      </c>
      <c r="BM14" t="s">
        <v>333</v>
      </c>
      <c r="BN14" t="s">
        <v>74</v>
      </c>
      <c r="BO14" t="s">
        <v>334</v>
      </c>
      <c r="BP14" t="s">
        <v>74</v>
      </c>
      <c r="BQ14" t="s">
        <v>74</v>
      </c>
      <c r="BR14" t="s">
        <v>104</v>
      </c>
      <c r="BS14" t="s">
        <v>335</v>
      </c>
      <c r="BT14" t="str">
        <f>HYPERLINK("https%3A%2F%2Fwww.webofscience.com%2Fwos%2Fwoscc%2Ffull-record%2FWOS:000335519400031","View Full Record in Web of Science")</f>
        <v>View Full Record in Web of Science</v>
      </c>
    </row>
    <row r="15" spans="1:72" x14ac:dyDescent="0.15">
      <c r="A15" t="s">
        <v>72</v>
      </c>
      <c r="B15" t="s">
        <v>336</v>
      </c>
      <c r="C15" t="s">
        <v>74</v>
      </c>
      <c r="D15" t="s">
        <v>74</v>
      </c>
      <c r="E15" t="s">
        <v>74</v>
      </c>
      <c r="F15" t="s">
        <v>337</v>
      </c>
      <c r="G15" t="s">
        <v>74</v>
      </c>
      <c r="H15" t="s">
        <v>74</v>
      </c>
      <c r="I15" t="s">
        <v>338</v>
      </c>
      <c r="J15" t="s">
        <v>339</v>
      </c>
      <c r="K15" t="s">
        <v>74</v>
      </c>
      <c r="L15" t="s">
        <v>74</v>
      </c>
      <c r="M15" t="s">
        <v>78</v>
      </c>
      <c r="N15" t="s">
        <v>79</v>
      </c>
      <c r="O15" t="s">
        <v>74</v>
      </c>
      <c r="P15" t="s">
        <v>74</v>
      </c>
      <c r="Q15" t="s">
        <v>74</v>
      </c>
      <c r="R15" t="s">
        <v>74</v>
      </c>
      <c r="S15" t="s">
        <v>74</v>
      </c>
      <c r="T15" t="s">
        <v>340</v>
      </c>
      <c r="U15" t="s">
        <v>341</v>
      </c>
      <c r="V15" t="s">
        <v>342</v>
      </c>
      <c r="W15" t="s">
        <v>343</v>
      </c>
      <c r="X15" t="s">
        <v>344</v>
      </c>
      <c r="Y15" t="s">
        <v>345</v>
      </c>
      <c r="Z15" t="s">
        <v>346</v>
      </c>
      <c r="AA15" t="s">
        <v>347</v>
      </c>
      <c r="AB15" t="s">
        <v>348</v>
      </c>
      <c r="AC15" t="s">
        <v>349</v>
      </c>
      <c r="AD15" t="s">
        <v>350</v>
      </c>
      <c r="AE15" t="s">
        <v>74</v>
      </c>
      <c r="AF15" t="s">
        <v>74</v>
      </c>
      <c r="AG15">
        <v>49</v>
      </c>
      <c r="AH15">
        <v>22</v>
      </c>
      <c r="AI15">
        <v>22</v>
      </c>
      <c r="AJ15">
        <v>1</v>
      </c>
      <c r="AK15">
        <v>50</v>
      </c>
      <c r="AL15" t="s">
        <v>145</v>
      </c>
      <c r="AM15" t="s">
        <v>146</v>
      </c>
      <c r="AN15" t="s">
        <v>147</v>
      </c>
      <c r="AO15" t="s">
        <v>351</v>
      </c>
      <c r="AP15" t="s">
        <v>352</v>
      </c>
      <c r="AQ15" t="s">
        <v>74</v>
      </c>
      <c r="AR15" t="s">
        <v>339</v>
      </c>
      <c r="AS15" t="s">
        <v>353</v>
      </c>
      <c r="AT15" t="s">
        <v>98</v>
      </c>
      <c r="AU15">
        <v>2014</v>
      </c>
      <c r="AV15">
        <v>118</v>
      </c>
      <c r="AW15" t="s">
        <v>354</v>
      </c>
      <c r="AX15" t="s">
        <v>74</v>
      </c>
      <c r="AY15" t="s">
        <v>74</v>
      </c>
      <c r="AZ15" t="s">
        <v>74</v>
      </c>
      <c r="BA15" t="s">
        <v>74</v>
      </c>
      <c r="BB15">
        <v>443</v>
      </c>
      <c r="BC15">
        <v>452</v>
      </c>
      <c r="BD15" t="s">
        <v>74</v>
      </c>
      <c r="BE15" t="s">
        <v>355</v>
      </c>
      <c r="BF15" t="str">
        <f>HYPERLINK("http://dx.doi.org/10.1007/s10533-013-9945-y","http://dx.doi.org/10.1007/s10533-013-9945-y")</f>
        <v>http://dx.doi.org/10.1007/s10533-013-9945-y</v>
      </c>
      <c r="BG15" t="s">
        <v>74</v>
      </c>
      <c r="BH15" t="s">
        <v>74</v>
      </c>
      <c r="BI15">
        <v>10</v>
      </c>
      <c r="BJ15" t="s">
        <v>356</v>
      </c>
      <c r="BK15" t="s">
        <v>101</v>
      </c>
      <c r="BL15" t="s">
        <v>357</v>
      </c>
      <c r="BM15" t="s">
        <v>358</v>
      </c>
      <c r="BN15" t="s">
        <v>74</v>
      </c>
      <c r="BO15" t="s">
        <v>74</v>
      </c>
      <c r="BP15" t="s">
        <v>74</v>
      </c>
      <c r="BQ15" t="s">
        <v>74</v>
      </c>
      <c r="BR15" t="s">
        <v>104</v>
      </c>
      <c r="BS15" t="s">
        <v>359</v>
      </c>
      <c r="BT15" t="str">
        <f>HYPERLINK("https%3A%2F%2Fwww.webofscience.com%2Fwos%2Fwoscc%2Ffull-record%2FWOS:000333080400027","View Full Record in Web of Science")</f>
        <v>View Full Record in Web of Science</v>
      </c>
    </row>
    <row r="16" spans="1:72" x14ac:dyDescent="0.15">
      <c r="A16" t="s">
        <v>72</v>
      </c>
      <c r="B16" t="s">
        <v>360</v>
      </c>
      <c r="C16" t="s">
        <v>74</v>
      </c>
      <c r="D16" t="s">
        <v>74</v>
      </c>
      <c r="E16" t="s">
        <v>74</v>
      </c>
      <c r="F16" t="s">
        <v>361</v>
      </c>
      <c r="G16" t="s">
        <v>74</v>
      </c>
      <c r="H16" t="s">
        <v>74</v>
      </c>
      <c r="I16" t="s">
        <v>362</v>
      </c>
      <c r="J16" t="s">
        <v>363</v>
      </c>
      <c r="K16" t="s">
        <v>74</v>
      </c>
      <c r="L16" t="s">
        <v>74</v>
      </c>
      <c r="M16" t="s">
        <v>78</v>
      </c>
      <c r="N16" t="s">
        <v>79</v>
      </c>
      <c r="O16" t="s">
        <v>74</v>
      </c>
      <c r="P16" t="s">
        <v>74</v>
      </c>
      <c r="Q16" t="s">
        <v>74</v>
      </c>
      <c r="R16" t="s">
        <v>74</v>
      </c>
      <c r="S16" t="s">
        <v>74</v>
      </c>
      <c r="T16" t="s">
        <v>364</v>
      </c>
      <c r="U16" t="s">
        <v>365</v>
      </c>
      <c r="V16" t="s">
        <v>366</v>
      </c>
      <c r="W16" t="s">
        <v>367</v>
      </c>
      <c r="X16" t="s">
        <v>368</v>
      </c>
      <c r="Y16" t="s">
        <v>369</v>
      </c>
      <c r="Z16" t="s">
        <v>370</v>
      </c>
      <c r="AA16" t="s">
        <v>371</v>
      </c>
      <c r="AB16" t="s">
        <v>372</v>
      </c>
      <c r="AC16" t="s">
        <v>373</v>
      </c>
      <c r="AD16" t="s">
        <v>374</v>
      </c>
      <c r="AE16" t="s">
        <v>375</v>
      </c>
      <c r="AF16" t="s">
        <v>74</v>
      </c>
      <c r="AG16">
        <v>74</v>
      </c>
      <c r="AH16">
        <v>21</v>
      </c>
      <c r="AI16">
        <v>26</v>
      </c>
      <c r="AJ16">
        <v>1</v>
      </c>
      <c r="AK16">
        <v>28</v>
      </c>
      <c r="AL16" t="s">
        <v>376</v>
      </c>
      <c r="AM16" t="s">
        <v>377</v>
      </c>
      <c r="AN16" t="s">
        <v>378</v>
      </c>
      <c r="AO16" t="s">
        <v>379</v>
      </c>
      <c r="AP16" t="s">
        <v>380</v>
      </c>
      <c r="AQ16" t="s">
        <v>74</v>
      </c>
      <c r="AR16" t="s">
        <v>381</v>
      </c>
      <c r="AS16" t="s">
        <v>382</v>
      </c>
      <c r="AT16" t="s">
        <v>98</v>
      </c>
      <c r="AU16">
        <v>2014</v>
      </c>
      <c r="AV16">
        <v>92</v>
      </c>
      <c r="AW16">
        <v>4</v>
      </c>
      <c r="AX16" t="s">
        <v>74</v>
      </c>
      <c r="AY16" t="s">
        <v>74</v>
      </c>
      <c r="AZ16" t="s">
        <v>74</v>
      </c>
      <c r="BA16" t="s">
        <v>74</v>
      </c>
      <c r="BB16">
        <v>309</v>
      </c>
      <c r="BC16">
        <v>318</v>
      </c>
      <c r="BD16" t="s">
        <v>74</v>
      </c>
      <c r="BE16" t="s">
        <v>383</v>
      </c>
      <c r="BF16" t="str">
        <f>HYPERLINK("http://dx.doi.org/10.1139/cjz-2013-0137","http://dx.doi.org/10.1139/cjz-2013-0137")</f>
        <v>http://dx.doi.org/10.1139/cjz-2013-0137</v>
      </c>
      <c r="BG16" t="s">
        <v>74</v>
      </c>
      <c r="BH16" t="s">
        <v>74</v>
      </c>
      <c r="BI16">
        <v>10</v>
      </c>
      <c r="BJ16" t="s">
        <v>384</v>
      </c>
      <c r="BK16" t="s">
        <v>101</v>
      </c>
      <c r="BL16" t="s">
        <v>384</v>
      </c>
      <c r="BM16" t="s">
        <v>385</v>
      </c>
      <c r="BN16" t="s">
        <v>74</v>
      </c>
      <c r="BO16" t="s">
        <v>74</v>
      </c>
      <c r="BP16" t="s">
        <v>74</v>
      </c>
      <c r="BQ16" t="s">
        <v>74</v>
      </c>
      <c r="BR16" t="s">
        <v>104</v>
      </c>
      <c r="BS16" t="s">
        <v>386</v>
      </c>
      <c r="BT16" t="str">
        <f>HYPERLINK("https%3A%2F%2Fwww.webofscience.com%2Fwos%2Fwoscc%2Ffull-record%2FWOS:000344953600005","View Full Record in Web of Science")</f>
        <v>View Full Record in Web of Science</v>
      </c>
    </row>
    <row r="17" spans="1:72" x14ac:dyDescent="0.15">
      <c r="A17" t="s">
        <v>72</v>
      </c>
      <c r="B17" t="s">
        <v>387</v>
      </c>
      <c r="C17" t="s">
        <v>74</v>
      </c>
      <c r="D17" t="s">
        <v>74</v>
      </c>
      <c r="E17" t="s">
        <v>74</v>
      </c>
      <c r="F17" t="s">
        <v>388</v>
      </c>
      <c r="G17" t="s">
        <v>74</v>
      </c>
      <c r="H17" t="s">
        <v>74</v>
      </c>
      <c r="I17" t="s">
        <v>389</v>
      </c>
      <c r="J17" t="s">
        <v>390</v>
      </c>
      <c r="K17" t="s">
        <v>74</v>
      </c>
      <c r="L17" t="s">
        <v>74</v>
      </c>
      <c r="M17" t="s">
        <v>78</v>
      </c>
      <c r="N17" t="s">
        <v>79</v>
      </c>
      <c r="O17" t="s">
        <v>74</v>
      </c>
      <c r="P17" t="s">
        <v>74</v>
      </c>
      <c r="Q17" t="s">
        <v>74</v>
      </c>
      <c r="R17" t="s">
        <v>74</v>
      </c>
      <c r="S17" t="s">
        <v>74</v>
      </c>
      <c r="T17" t="s">
        <v>391</v>
      </c>
      <c r="U17" t="s">
        <v>392</v>
      </c>
      <c r="V17" t="s">
        <v>393</v>
      </c>
      <c r="W17" t="s">
        <v>394</v>
      </c>
      <c r="X17" t="s">
        <v>395</v>
      </c>
      <c r="Y17" t="s">
        <v>396</v>
      </c>
      <c r="Z17" t="s">
        <v>397</v>
      </c>
      <c r="AA17" t="s">
        <v>398</v>
      </c>
      <c r="AB17" t="s">
        <v>399</v>
      </c>
      <c r="AC17" t="s">
        <v>400</v>
      </c>
      <c r="AD17" t="s">
        <v>401</v>
      </c>
      <c r="AE17" t="s">
        <v>402</v>
      </c>
      <c r="AF17" t="s">
        <v>74</v>
      </c>
      <c r="AG17">
        <v>69</v>
      </c>
      <c r="AH17">
        <v>28</v>
      </c>
      <c r="AI17">
        <v>28</v>
      </c>
      <c r="AJ17">
        <v>0</v>
      </c>
      <c r="AK17">
        <v>94</v>
      </c>
      <c r="AL17" t="s">
        <v>403</v>
      </c>
      <c r="AM17" t="s">
        <v>404</v>
      </c>
      <c r="AN17" t="s">
        <v>405</v>
      </c>
      <c r="AO17" t="s">
        <v>406</v>
      </c>
      <c r="AP17" t="s">
        <v>407</v>
      </c>
      <c r="AQ17" t="s">
        <v>74</v>
      </c>
      <c r="AR17" t="s">
        <v>408</v>
      </c>
      <c r="AS17" t="s">
        <v>409</v>
      </c>
      <c r="AT17" t="s">
        <v>98</v>
      </c>
      <c r="AU17">
        <v>2014</v>
      </c>
      <c r="AV17">
        <v>28</v>
      </c>
      <c r="AW17">
        <v>2</v>
      </c>
      <c r="AX17" t="s">
        <v>74</v>
      </c>
      <c r="AY17" t="s">
        <v>74</v>
      </c>
      <c r="AZ17" t="s">
        <v>74</v>
      </c>
      <c r="BA17" t="s">
        <v>74</v>
      </c>
      <c r="BB17">
        <v>438</v>
      </c>
      <c r="BC17">
        <v>445</v>
      </c>
      <c r="BD17" t="s">
        <v>74</v>
      </c>
      <c r="BE17" t="s">
        <v>410</v>
      </c>
      <c r="BF17" t="str">
        <f>HYPERLINK("http://dx.doi.org/10.1111/cobi.12203","http://dx.doi.org/10.1111/cobi.12203")</f>
        <v>http://dx.doi.org/10.1111/cobi.12203</v>
      </c>
      <c r="BG17" t="s">
        <v>74</v>
      </c>
      <c r="BH17" t="s">
        <v>74</v>
      </c>
      <c r="BI17">
        <v>8</v>
      </c>
      <c r="BJ17" t="s">
        <v>411</v>
      </c>
      <c r="BK17" t="s">
        <v>101</v>
      </c>
      <c r="BL17" t="s">
        <v>412</v>
      </c>
      <c r="BM17" t="s">
        <v>413</v>
      </c>
      <c r="BN17">
        <v>24373031</v>
      </c>
      <c r="BO17" t="s">
        <v>74</v>
      </c>
      <c r="BP17" t="s">
        <v>74</v>
      </c>
      <c r="BQ17" t="s">
        <v>74</v>
      </c>
      <c r="BR17" t="s">
        <v>104</v>
      </c>
      <c r="BS17" t="s">
        <v>414</v>
      </c>
      <c r="BT17" t="str">
        <f>HYPERLINK("https%3A%2F%2Fwww.webofscience.com%2Fwos%2Fwoscc%2Ffull-record%2FWOS:000332923500015","View Full Record in Web of Science")</f>
        <v>View Full Record in Web of Science</v>
      </c>
    </row>
    <row r="18" spans="1:72" x14ac:dyDescent="0.15">
      <c r="A18" t="s">
        <v>72</v>
      </c>
      <c r="B18" t="s">
        <v>415</v>
      </c>
      <c r="C18" t="s">
        <v>74</v>
      </c>
      <c r="D18" t="s">
        <v>74</v>
      </c>
      <c r="E18" t="s">
        <v>74</v>
      </c>
      <c r="F18" t="s">
        <v>416</v>
      </c>
      <c r="G18" t="s">
        <v>74</v>
      </c>
      <c r="H18" t="s">
        <v>74</v>
      </c>
      <c r="I18" t="s">
        <v>417</v>
      </c>
      <c r="J18" t="s">
        <v>390</v>
      </c>
      <c r="K18" t="s">
        <v>74</v>
      </c>
      <c r="L18" t="s">
        <v>74</v>
      </c>
      <c r="M18" t="s">
        <v>78</v>
      </c>
      <c r="N18" t="s">
        <v>79</v>
      </c>
      <c r="O18" t="s">
        <v>74</v>
      </c>
      <c r="P18" t="s">
        <v>74</v>
      </c>
      <c r="Q18" t="s">
        <v>74</v>
      </c>
      <c r="R18" t="s">
        <v>74</v>
      </c>
      <c r="S18" t="s">
        <v>74</v>
      </c>
      <c r="T18" t="s">
        <v>418</v>
      </c>
      <c r="U18" t="s">
        <v>419</v>
      </c>
      <c r="V18" t="s">
        <v>420</v>
      </c>
      <c r="W18" t="s">
        <v>421</v>
      </c>
      <c r="X18" t="s">
        <v>422</v>
      </c>
      <c r="Y18" t="s">
        <v>423</v>
      </c>
      <c r="Z18" t="s">
        <v>424</v>
      </c>
      <c r="AA18" t="s">
        <v>74</v>
      </c>
      <c r="AB18" t="s">
        <v>425</v>
      </c>
      <c r="AC18" t="s">
        <v>426</v>
      </c>
      <c r="AD18" t="s">
        <v>426</v>
      </c>
      <c r="AE18" t="s">
        <v>427</v>
      </c>
      <c r="AF18" t="s">
        <v>74</v>
      </c>
      <c r="AG18">
        <v>46</v>
      </c>
      <c r="AH18">
        <v>56</v>
      </c>
      <c r="AI18">
        <v>67</v>
      </c>
      <c r="AJ18">
        <v>2</v>
      </c>
      <c r="AK18">
        <v>105</v>
      </c>
      <c r="AL18" t="s">
        <v>403</v>
      </c>
      <c r="AM18" t="s">
        <v>404</v>
      </c>
      <c r="AN18" t="s">
        <v>405</v>
      </c>
      <c r="AO18" t="s">
        <v>406</v>
      </c>
      <c r="AP18" t="s">
        <v>407</v>
      </c>
      <c r="AQ18" t="s">
        <v>74</v>
      </c>
      <c r="AR18" t="s">
        <v>408</v>
      </c>
      <c r="AS18" t="s">
        <v>409</v>
      </c>
      <c r="AT18" t="s">
        <v>98</v>
      </c>
      <c r="AU18">
        <v>2014</v>
      </c>
      <c r="AV18">
        <v>28</v>
      </c>
      <c r="AW18">
        <v>2</v>
      </c>
      <c r="AX18" t="s">
        <v>74</v>
      </c>
      <c r="AY18" t="s">
        <v>74</v>
      </c>
      <c r="AZ18" t="s">
        <v>74</v>
      </c>
      <c r="BA18" t="s">
        <v>74</v>
      </c>
      <c r="BB18">
        <v>604</v>
      </c>
      <c r="BC18">
        <v>615</v>
      </c>
      <c r="BD18" t="s">
        <v>74</v>
      </c>
      <c r="BE18" t="s">
        <v>428</v>
      </c>
      <c r="BF18" t="str">
        <f>HYPERLINK("http://dx.doi.org/10.1111/cobi.12225","http://dx.doi.org/10.1111/cobi.12225")</f>
        <v>http://dx.doi.org/10.1111/cobi.12225</v>
      </c>
      <c r="BG18" t="s">
        <v>74</v>
      </c>
      <c r="BH18" t="s">
        <v>74</v>
      </c>
      <c r="BI18">
        <v>12</v>
      </c>
      <c r="BJ18" t="s">
        <v>411</v>
      </c>
      <c r="BK18" t="s">
        <v>101</v>
      </c>
      <c r="BL18" t="s">
        <v>412</v>
      </c>
      <c r="BM18" t="s">
        <v>413</v>
      </c>
      <c r="BN18">
        <v>24495092</v>
      </c>
      <c r="BO18" t="s">
        <v>200</v>
      </c>
      <c r="BP18" t="s">
        <v>74</v>
      </c>
      <c r="BQ18" t="s">
        <v>74</v>
      </c>
      <c r="BR18" t="s">
        <v>104</v>
      </c>
      <c r="BS18" t="s">
        <v>429</v>
      </c>
      <c r="BT18" t="str">
        <f>HYPERLINK("https%3A%2F%2Fwww.webofscience.com%2Fwos%2Fwoscc%2Ffull-record%2FWOS:000332923500031","View Full Record in Web of Science")</f>
        <v>View Full Record in Web of Science</v>
      </c>
    </row>
    <row r="19" spans="1:72" x14ac:dyDescent="0.15">
      <c r="A19" t="s">
        <v>72</v>
      </c>
      <c r="B19" t="s">
        <v>430</v>
      </c>
      <c r="C19" t="s">
        <v>74</v>
      </c>
      <c r="D19" t="s">
        <v>74</v>
      </c>
      <c r="E19" t="s">
        <v>74</v>
      </c>
      <c r="F19" t="s">
        <v>431</v>
      </c>
      <c r="G19" t="s">
        <v>74</v>
      </c>
      <c r="H19" t="s">
        <v>74</v>
      </c>
      <c r="I19" t="s">
        <v>432</v>
      </c>
      <c r="J19" t="s">
        <v>433</v>
      </c>
      <c r="K19" t="s">
        <v>74</v>
      </c>
      <c r="L19" t="s">
        <v>74</v>
      </c>
      <c r="M19" t="s">
        <v>78</v>
      </c>
      <c r="N19" t="s">
        <v>79</v>
      </c>
      <c r="O19" t="s">
        <v>74</v>
      </c>
      <c r="P19" t="s">
        <v>74</v>
      </c>
      <c r="Q19" t="s">
        <v>74</v>
      </c>
      <c r="R19" t="s">
        <v>74</v>
      </c>
      <c r="S19" t="s">
        <v>74</v>
      </c>
      <c r="T19" t="s">
        <v>434</v>
      </c>
      <c r="U19" t="s">
        <v>435</v>
      </c>
      <c r="V19" t="s">
        <v>436</v>
      </c>
      <c r="W19" t="s">
        <v>437</v>
      </c>
      <c r="X19" t="s">
        <v>438</v>
      </c>
      <c r="Y19" t="s">
        <v>439</v>
      </c>
      <c r="Z19" t="s">
        <v>440</v>
      </c>
      <c r="AA19" t="s">
        <v>441</v>
      </c>
      <c r="AB19" t="s">
        <v>442</v>
      </c>
      <c r="AC19" t="s">
        <v>443</v>
      </c>
      <c r="AD19" t="s">
        <v>444</v>
      </c>
      <c r="AE19" t="s">
        <v>445</v>
      </c>
      <c r="AF19" t="s">
        <v>74</v>
      </c>
      <c r="AG19">
        <v>77</v>
      </c>
      <c r="AH19">
        <v>67</v>
      </c>
      <c r="AI19">
        <v>72</v>
      </c>
      <c r="AJ19">
        <v>2</v>
      </c>
      <c r="AK19">
        <v>82</v>
      </c>
      <c r="AL19" t="s">
        <v>446</v>
      </c>
      <c r="AM19" t="s">
        <v>447</v>
      </c>
      <c r="AN19" t="s">
        <v>448</v>
      </c>
      <c r="AO19" t="s">
        <v>449</v>
      </c>
      <c r="AP19" t="s">
        <v>450</v>
      </c>
      <c r="AQ19" t="s">
        <v>74</v>
      </c>
      <c r="AR19" t="s">
        <v>433</v>
      </c>
      <c r="AS19" t="s">
        <v>451</v>
      </c>
      <c r="AT19" t="s">
        <v>98</v>
      </c>
      <c r="AU19">
        <v>2014</v>
      </c>
      <c r="AV19">
        <v>95</v>
      </c>
      <c r="AW19">
        <v>4</v>
      </c>
      <c r="AX19" t="s">
        <v>74</v>
      </c>
      <c r="AY19" t="s">
        <v>74</v>
      </c>
      <c r="AZ19" t="s">
        <v>74</v>
      </c>
      <c r="BA19" t="s">
        <v>74</v>
      </c>
      <c r="BB19">
        <v>882</v>
      </c>
      <c r="BC19">
        <v>896</v>
      </c>
      <c r="BD19" t="s">
        <v>74</v>
      </c>
      <c r="BE19" t="s">
        <v>452</v>
      </c>
      <c r="BF19" t="str">
        <f>HYPERLINK("http://dx.doi.org/10.1890/13-1434.1","http://dx.doi.org/10.1890/13-1434.1")</f>
        <v>http://dx.doi.org/10.1890/13-1434.1</v>
      </c>
      <c r="BG19" t="s">
        <v>74</v>
      </c>
      <c r="BH19" t="s">
        <v>74</v>
      </c>
      <c r="BI19">
        <v>15</v>
      </c>
      <c r="BJ19" t="s">
        <v>451</v>
      </c>
      <c r="BK19" t="s">
        <v>101</v>
      </c>
      <c r="BL19" t="s">
        <v>102</v>
      </c>
      <c r="BM19" t="s">
        <v>453</v>
      </c>
      <c r="BN19">
        <v>24933808</v>
      </c>
      <c r="BO19" t="s">
        <v>454</v>
      </c>
      <c r="BP19" t="s">
        <v>74</v>
      </c>
      <c r="BQ19" t="s">
        <v>74</v>
      </c>
      <c r="BR19" t="s">
        <v>104</v>
      </c>
      <c r="BS19" t="s">
        <v>455</v>
      </c>
      <c r="BT19" t="str">
        <f>HYPERLINK("https%3A%2F%2Fwww.webofscience.com%2Fwos%2Fwoscc%2Ffull-record%2FWOS:000334573600009","View Full Record in Web of Science")</f>
        <v>View Full Record in Web of Science</v>
      </c>
    </row>
    <row r="20" spans="1:72" x14ac:dyDescent="0.15">
      <c r="A20" t="s">
        <v>72</v>
      </c>
      <c r="B20" t="s">
        <v>456</v>
      </c>
      <c r="C20" t="s">
        <v>74</v>
      </c>
      <c r="D20" t="s">
        <v>74</v>
      </c>
      <c r="E20" t="s">
        <v>74</v>
      </c>
      <c r="F20" t="s">
        <v>457</v>
      </c>
      <c r="G20" t="s">
        <v>74</v>
      </c>
      <c r="H20" t="s">
        <v>74</v>
      </c>
      <c r="I20" t="s">
        <v>458</v>
      </c>
      <c r="J20" t="s">
        <v>459</v>
      </c>
      <c r="K20" t="s">
        <v>74</v>
      </c>
      <c r="L20" t="s">
        <v>74</v>
      </c>
      <c r="M20" t="s">
        <v>78</v>
      </c>
      <c r="N20" t="s">
        <v>79</v>
      </c>
      <c r="O20" t="s">
        <v>74</v>
      </c>
      <c r="P20" t="s">
        <v>74</v>
      </c>
      <c r="Q20" t="s">
        <v>74</v>
      </c>
      <c r="R20" t="s">
        <v>74</v>
      </c>
      <c r="S20" t="s">
        <v>74</v>
      </c>
      <c r="T20" t="s">
        <v>460</v>
      </c>
      <c r="U20" t="s">
        <v>461</v>
      </c>
      <c r="V20" t="s">
        <v>462</v>
      </c>
      <c r="W20" t="s">
        <v>463</v>
      </c>
      <c r="X20" t="s">
        <v>464</v>
      </c>
      <c r="Y20" t="s">
        <v>465</v>
      </c>
      <c r="Z20" t="s">
        <v>466</v>
      </c>
      <c r="AA20" t="s">
        <v>467</v>
      </c>
      <c r="AB20" t="s">
        <v>468</v>
      </c>
      <c r="AC20" t="s">
        <v>469</v>
      </c>
      <c r="AD20" t="s">
        <v>470</v>
      </c>
      <c r="AE20" t="s">
        <v>471</v>
      </c>
      <c r="AF20" t="s">
        <v>74</v>
      </c>
      <c r="AG20">
        <v>40</v>
      </c>
      <c r="AH20">
        <v>25</v>
      </c>
      <c r="AI20">
        <v>34</v>
      </c>
      <c r="AJ20">
        <v>2</v>
      </c>
      <c r="AK20">
        <v>59</v>
      </c>
      <c r="AL20" t="s">
        <v>145</v>
      </c>
      <c r="AM20" t="s">
        <v>92</v>
      </c>
      <c r="AN20" t="s">
        <v>472</v>
      </c>
      <c r="AO20" t="s">
        <v>473</v>
      </c>
      <c r="AP20" t="s">
        <v>474</v>
      </c>
      <c r="AQ20" t="s">
        <v>74</v>
      </c>
      <c r="AR20" t="s">
        <v>475</v>
      </c>
      <c r="AS20" t="s">
        <v>476</v>
      </c>
      <c r="AT20" t="s">
        <v>98</v>
      </c>
      <c r="AU20">
        <v>2014</v>
      </c>
      <c r="AV20">
        <v>53</v>
      </c>
      <c r="AW20">
        <v>4</v>
      </c>
      <c r="AX20" t="s">
        <v>74</v>
      </c>
      <c r="AY20" t="s">
        <v>74</v>
      </c>
      <c r="AZ20" t="s">
        <v>74</v>
      </c>
      <c r="BA20" t="s">
        <v>74</v>
      </c>
      <c r="BB20">
        <v>769</v>
      </c>
      <c r="BC20">
        <v>782</v>
      </c>
      <c r="BD20" t="s">
        <v>74</v>
      </c>
      <c r="BE20" t="s">
        <v>477</v>
      </c>
      <c r="BF20" t="str">
        <f>HYPERLINK("http://dx.doi.org/10.1007/s00267-014-0237-7","http://dx.doi.org/10.1007/s00267-014-0237-7")</f>
        <v>http://dx.doi.org/10.1007/s00267-014-0237-7</v>
      </c>
      <c r="BG20" t="s">
        <v>74</v>
      </c>
      <c r="BH20" t="s">
        <v>74</v>
      </c>
      <c r="BI20">
        <v>14</v>
      </c>
      <c r="BJ20" t="s">
        <v>478</v>
      </c>
      <c r="BK20" t="s">
        <v>479</v>
      </c>
      <c r="BL20" t="s">
        <v>102</v>
      </c>
      <c r="BM20" t="s">
        <v>480</v>
      </c>
      <c r="BN20">
        <v>24477552</v>
      </c>
      <c r="BO20" t="s">
        <v>234</v>
      </c>
      <c r="BP20" t="s">
        <v>74</v>
      </c>
      <c r="BQ20" t="s">
        <v>74</v>
      </c>
      <c r="BR20" t="s">
        <v>104</v>
      </c>
      <c r="BS20" t="s">
        <v>481</v>
      </c>
      <c r="BT20" t="str">
        <f>HYPERLINK("https%3A%2F%2Fwww.webofscience.com%2Fwos%2Fwoscc%2Ffull-record%2FWOS:000332949600005","View Full Record in Web of Science")</f>
        <v>View Full Record in Web of Science</v>
      </c>
    </row>
    <row r="21" spans="1:72" x14ac:dyDescent="0.15">
      <c r="A21" t="s">
        <v>72</v>
      </c>
      <c r="B21" t="s">
        <v>482</v>
      </c>
      <c r="C21" t="s">
        <v>74</v>
      </c>
      <c r="D21" t="s">
        <v>74</v>
      </c>
      <c r="E21" t="s">
        <v>74</v>
      </c>
      <c r="F21" t="s">
        <v>483</v>
      </c>
      <c r="G21" t="s">
        <v>74</v>
      </c>
      <c r="H21" t="s">
        <v>74</v>
      </c>
      <c r="I21" t="s">
        <v>484</v>
      </c>
      <c r="J21" t="s">
        <v>485</v>
      </c>
      <c r="K21" t="s">
        <v>74</v>
      </c>
      <c r="L21" t="s">
        <v>74</v>
      </c>
      <c r="M21" t="s">
        <v>78</v>
      </c>
      <c r="N21" t="s">
        <v>79</v>
      </c>
      <c r="O21" t="s">
        <v>74</v>
      </c>
      <c r="P21" t="s">
        <v>74</v>
      </c>
      <c r="Q21" t="s">
        <v>74</v>
      </c>
      <c r="R21" t="s">
        <v>74</v>
      </c>
      <c r="S21" t="s">
        <v>74</v>
      </c>
      <c r="T21" t="s">
        <v>486</v>
      </c>
      <c r="U21" t="s">
        <v>487</v>
      </c>
      <c r="V21" t="s">
        <v>488</v>
      </c>
      <c r="W21" t="s">
        <v>489</v>
      </c>
      <c r="X21" t="s">
        <v>490</v>
      </c>
      <c r="Y21" t="s">
        <v>491</v>
      </c>
      <c r="Z21" t="s">
        <v>492</v>
      </c>
      <c r="AA21" t="s">
        <v>493</v>
      </c>
      <c r="AB21" t="s">
        <v>494</v>
      </c>
      <c r="AC21" t="s">
        <v>495</v>
      </c>
      <c r="AD21" t="s">
        <v>496</v>
      </c>
      <c r="AE21" t="s">
        <v>497</v>
      </c>
      <c r="AF21" t="s">
        <v>74</v>
      </c>
      <c r="AG21">
        <v>27</v>
      </c>
      <c r="AH21">
        <v>19</v>
      </c>
      <c r="AI21">
        <v>25</v>
      </c>
      <c r="AJ21">
        <v>0</v>
      </c>
      <c r="AK21">
        <v>44</v>
      </c>
      <c r="AL21" t="s">
        <v>145</v>
      </c>
      <c r="AM21" t="s">
        <v>146</v>
      </c>
      <c r="AN21" t="s">
        <v>147</v>
      </c>
      <c r="AO21" t="s">
        <v>498</v>
      </c>
      <c r="AP21" t="s">
        <v>499</v>
      </c>
      <c r="AQ21" t="s">
        <v>74</v>
      </c>
      <c r="AR21" t="s">
        <v>500</v>
      </c>
      <c r="AS21" t="s">
        <v>501</v>
      </c>
      <c r="AT21" t="s">
        <v>98</v>
      </c>
      <c r="AU21">
        <v>2014</v>
      </c>
      <c r="AV21">
        <v>186</v>
      </c>
      <c r="AW21">
        <v>4</v>
      </c>
      <c r="AX21" t="s">
        <v>74</v>
      </c>
      <c r="AY21" t="s">
        <v>74</v>
      </c>
      <c r="AZ21" t="s">
        <v>74</v>
      </c>
      <c r="BA21" t="s">
        <v>74</v>
      </c>
      <c r="BB21">
        <v>2619</v>
      </c>
      <c r="BC21">
        <v>2628</v>
      </c>
      <c r="BD21" t="s">
        <v>74</v>
      </c>
      <c r="BE21" t="s">
        <v>502</v>
      </c>
      <c r="BF21" t="str">
        <f>HYPERLINK("http://dx.doi.org/10.1007/s10661-013-3565-9","http://dx.doi.org/10.1007/s10661-013-3565-9")</f>
        <v>http://dx.doi.org/10.1007/s10661-013-3565-9</v>
      </c>
      <c r="BG21" t="s">
        <v>74</v>
      </c>
      <c r="BH21" t="s">
        <v>74</v>
      </c>
      <c r="BI21">
        <v>10</v>
      </c>
      <c r="BJ21" t="s">
        <v>478</v>
      </c>
      <c r="BK21" t="s">
        <v>101</v>
      </c>
      <c r="BL21" t="s">
        <v>102</v>
      </c>
      <c r="BM21" t="s">
        <v>503</v>
      </c>
      <c r="BN21">
        <v>24366817</v>
      </c>
      <c r="BO21" t="s">
        <v>74</v>
      </c>
      <c r="BP21" t="s">
        <v>74</v>
      </c>
      <c r="BQ21" t="s">
        <v>74</v>
      </c>
      <c r="BR21" t="s">
        <v>104</v>
      </c>
      <c r="BS21" t="s">
        <v>504</v>
      </c>
      <c r="BT21" t="str">
        <f>HYPERLINK("https%3A%2F%2Fwww.webofscience.com%2Fwos%2Fwoscc%2Ffull-record%2FWOS:000332150800051","View Full Record in Web of Science")</f>
        <v>View Full Record in Web of Science</v>
      </c>
    </row>
    <row r="22" spans="1:72" x14ac:dyDescent="0.15">
      <c r="A22" t="s">
        <v>72</v>
      </c>
      <c r="B22" t="s">
        <v>505</v>
      </c>
      <c r="C22" t="s">
        <v>74</v>
      </c>
      <c r="D22" t="s">
        <v>74</v>
      </c>
      <c r="E22" t="s">
        <v>74</v>
      </c>
      <c r="F22" t="s">
        <v>506</v>
      </c>
      <c r="G22" t="s">
        <v>74</v>
      </c>
      <c r="H22" t="s">
        <v>74</v>
      </c>
      <c r="I22" t="s">
        <v>507</v>
      </c>
      <c r="J22" t="s">
        <v>508</v>
      </c>
      <c r="K22" t="s">
        <v>74</v>
      </c>
      <c r="L22" t="s">
        <v>74</v>
      </c>
      <c r="M22" t="s">
        <v>78</v>
      </c>
      <c r="N22" t="s">
        <v>79</v>
      </c>
      <c r="O22" t="s">
        <v>74</v>
      </c>
      <c r="P22" t="s">
        <v>74</v>
      </c>
      <c r="Q22" t="s">
        <v>74</v>
      </c>
      <c r="R22" t="s">
        <v>74</v>
      </c>
      <c r="S22" t="s">
        <v>74</v>
      </c>
      <c r="T22" t="s">
        <v>509</v>
      </c>
      <c r="U22" t="s">
        <v>510</v>
      </c>
      <c r="V22" t="s">
        <v>511</v>
      </c>
      <c r="W22" t="s">
        <v>512</v>
      </c>
      <c r="X22" t="s">
        <v>513</v>
      </c>
      <c r="Y22" t="s">
        <v>514</v>
      </c>
      <c r="Z22" t="s">
        <v>515</v>
      </c>
      <c r="AA22" t="s">
        <v>516</v>
      </c>
      <c r="AB22" t="s">
        <v>517</v>
      </c>
      <c r="AC22" t="s">
        <v>518</v>
      </c>
      <c r="AD22" t="s">
        <v>519</v>
      </c>
      <c r="AE22" t="s">
        <v>520</v>
      </c>
      <c r="AF22" t="s">
        <v>74</v>
      </c>
      <c r="AG22">
        <v>92</v>
      </c>
      <c r="AH22">
        <v>187</v>
      </c>
      <c r="AI22">
        <v>204</v>
      </c>
      <c r="AJ22">
        <v>2</v>
      </c>
      <c r="AK22">
        <v>188</v>
      </c>
      <c r="AL22" t="s">
        <v>521</v>
      </c>
      <c r="AM22" t="s">
        <v>522</v>
      </c>
      <c r="AN22" t="s">
        <v>523</v>
      </c>
      <c r="AO22" t="s">
        <v>524</v>
      </c>
      <c r="AP22" t="s">
        <v>525</v>
      </c>
      <c r="AQ22" t="s">
        <v>74</v>
      </c>
      <c r="AR22" t="s">
        <v>526</v>
      </c>
      <c r="AS22" t="s">
        <v>527</v>
      </c>
      <c r="AT22" t="s">
        <v>98</v>
      </c>
      <c r="AU22">
        <v>2014</v>
      </c>
      <c r="AV22">
        <v>187</v>
      </c>
      <c r="AW22" t="s">
        <v>74</v>
      </c>
      <c r="AX22" t="s">
        <v>74</v>
      </c>
      <c r="AY22" t="s">
        <v>74</v>
      </c>
      <c r="AZ22" t="s">
        <v>74</v>
      </c>
      <c r="BA22" t="s">
        <v>74</v>
      </c>
      <c r="BB22">
        <v>124</v>
      </c>
      <c r="BC22">
        <v>129</v>
      </c>
      <c r="BD22" t="s">
        <v>74</v>
      </c>
      <c r="BE22" t="s">
        <v>528</v>
      </c>
      <c r="BF22" t="str">
        <f>HYPERLINK("http://dx.doi.org/10.1016/j.envpol.2013.12.020","http://dx.doi.org/10.1016/j.envpol.2013.12.020")</f>
        <v>http://dx.doi.org/10.1016/j.envpol.2013.12.020</v>
      </c>
      <c r="BG22" t="s">
        <v>74</v>
      </c>
      <c r="BH22" t="s">
        <v>74</v>
      </c>
      <c r="BI22">
        <v>6</v>
      </c>
      <c r="BJ22" t="s">
        <v>478</v>
      </c>
      <c r="BK22" t="s">
        <v>101</v>
      </c>
      <c r="BL22" t="s">
        <v>102</v>
      </c>
      <c r="BM22" t="s">
        <v>529</v>
      </c>
      <c r="BN22">
        <v>24480381</v>
      </c>
      <c r="BO22" t="s">
        <v>74</v>
      </c>
      <c r="BP22" t="s">
        <v>74</v>
      </c>
      <c r="BQ22" t="s">
        <v>74</v>
      </c>
      <c r="BR22" t="s">
        <v>104</v>
      </c>
      <c r="BS22" t="s">
        <v>530</v>
      </c>
      <c r="BT22" t="str">
        <f>HYPERLINK("https%3A%2F%2Fwww.webofscience.com%2Fwos%2Fwoscc%2Ffull-record%2FWOS:000333491600016","View Full Record in Web of Science")</f>
        <v>View Full Record in Web of Science</v>
      </c>
    </row>
    <row r="23" spans="1:72" x14ac:dyDescent="0.15">
      <c r="A23" t="s">
        <v>72</v>
      </c>
      <c r="B23" t="s">
        <v>531</v>
      </c>
      <c r="C23" t="s">
        <v>74</v>
      </c>
      <c r="D23" t="s">
        <v>74</v>
      </c>
      <c r="E23" t="s">
        <v>74</v>
      </c>
      <c r="F23" t="s">
        <v>532</v>
      </c>
      <c r="G23" t="s">
        <v>74</v>
      </c>
      <c r="H23" t="s">
        <v>74</v>
      </c>
      <c r="I23" t="s">
        <v>533</v>
      </c>
      <c r="J23" t="s">
        <v>534</v>
      </c>
      <c r="K23" t="s">
        <v>74</v>
      </c>
      <c r="L23" t="s">
        <v>74</v>
      </c>
      <c r="M23" t="s">
        <v>78</v>
      </c>
      <c r="N23" t="s">
        <v>79</v>
      </c>
      <c r="O23" t="s">
        <v>74</v>
      </c>
      <c r="P23" t="s">
        <v>74</v>
      </c>
      <c r="Q23" t="s">
        <v>74</v>
      </c>
      <c r="R23" t="s">
        <v>74</v>
      </c>
      <c r="S23" t="s">
        <v>74</v>
      </c>
      <c r="T23" t="s">
        <v>535</v>
      </c>
      <c r="U23" t="s">
        <v>536</v>
      </c>
      <c r="V23" t="s">
        <v>537</v>
      </c>
      <c r="W23" t="s">
        <v>538</v>
      </c>
      <c r="X23" t="s">
        <v>539</v>
      </c>
      <c r="Y23" t="s">
        <v>540</v>
      </c>
      <c r="Z23" t="s">
        <v>541</v>
      </c>
      <c r="AA23" t="s">
        <v>542</v>
      </c>
      <c r="AB23" t="s">
        <v>543</v>
      </c>
      <c r="AC23" t="s">
        <v>544</v>
      </c>
      <c r="AD23" t="s">
        <v>544</v>
      </c>
      <c r="AE23" t="s">
        <v>545</v>
      </c>
      <c r="AF23" t="s">
        <v>74</v>
      </c>
      <c r="AG23">
        <v>136</v>
      </c>
      <c r="AH23">
        <v>87</v>
      </c>
      <c r="AI23">
        <v>98</v>
      </c>
      <c r="AJ23">
        <v>2</v>
      </c>
      <c r="AK23">
        <v>92</v>
      </c>
      <c r="AL23" t="s">
        <v>521</v>
      </c>
      <c r="AM23" t="s">
        <v>522</v>
      </c>
      <c r="AN23" t="s">
        <v>523</v>
      </c>
      <c r="AO23" t="s">
        <v>546</v>
      </c>
      <c r="AP23" t="s">
        <v>547</v>
      </c>
      <c r="AQ23" t="s">
        <v>74</v>
      </c>
      <c r="AR23" t="s">
        <v>548</v>
      </c>
      <c r="AS23" t="s">
        <v>549</v>
      </c>
      <c r="AT23" t="s">
        <v>98</v>
      </c>
      <c r="AU23">
        <v>2014</v>
      </c>
      <c r="AV23">
        <v>38</v>
      </c>
      <c r="AW23" t="s">
        <v>74</v>
      </c>
      <c r="AX23" t="s">
        <v>74</v>
      </c>
      <c r="AY23" t="s">
        <v>74</v>
      </c>
      <c r="AZ23" t="s">
        <v>74</v>
      </c>
      <c r="BA23" t="s">
        <v>74</v>
      </c>
      <c r="BB23">
        <v>107</v>
      </c>
      <c r="BC23">
        <v>119</v>
      </c>
      <c r="BD23" t="s">
        <v>74</v>
      </c>
      <c r="BE23" t="s">
        <v>550</v>
      </c>
      <c r="BF23" t="str">
        <f>HYPERLINK("http://dx.doi.org/10.1016/j.envsci.2013.10.010","http://dx.doi.org/10.1016/j.envsci.2013.10.010")</f>
        <v>http://dx.doi.org/10.1016/j.envsci.2013.10.010</v>
      </c>
      <c r="BG23" t="s">
        <v>74</v>
      </c>
      <c r="BH23" t="s">
        <v>74</v>
      </c>
      <c r="BI23">
        <v>13</v>
      </c>
      <c r="BJ23" t="s">
        <v>478</v>
      </c>
      <c r="BK23" t="s">
        <v>479</v>
      </c>
      <c r="BL23" t="s">
        <v>102</v>
      </c>
      <c r="BM23" t="s">
        <v>551</v>
      </c>
      <c r="BN23" t="s">
        <v>74</v>
      </c>
      <c r="BO23" t="s">
        <v>74</v>
      </c>
      <c r="BP23" t="s">
        <v>74</v>
      </c>
      <c r="BQ23" t="s">
        <v>74</v>
      </c>
      <c r="BR23" t="s">
        <v>104</v>
      </c>
      <c r="BS23" t="s">
        <v>552</v>
      </c>
      <c r="BT23" t="str">
        <f>HYPERLINK("https%3A%2F%2Fwww.webofscience.com%2Fwos%2Fwoscc%2Ffull-record%2FWOS:000333720300009","View Full Record in Web of Science")</f>
        <v>View Full Record in Web of Science</v>
      </c>
    </row>
    <row r="24" spans="1:72" x14ac:dyDescent="0.15">
      <c r="A24" t="s">
        <v>72</v>
      </c>
      <c r="B24" t="s">
        <v>553</v>
      </c>
      <c r="C24" t="s">
        <v>74</v>
      </c>
      <c r="D24" t="s">
        <v>74</v>
      </c>
      <c r="E24" t="s">
        <v>74</v>
      </c>
      <c r="F24" t="s">
        <v>554</v>
      </c>
      <c r="G24" t="s">
        <v>74</v>
      </c>
      <c r="H24" t="s">
        <v>74</v>
      </c>
      <c r="I24" t="s">
        <v>555</v>
      </c>
      <c r="J24" t="s">
        <v>556</v>
      </c>
      <c r="K24" t="s">
        <v>74</v>
      </c>
      <c r="L24" t="s">
        <v>74</v>
      </c>
      <c r="M24" t="s">
        <v>78</v>
      </c>
      <c r="N24" t="s">
        <v>79</v>
      </c>
      <c r="O24" t="s">
        <v>74</v>
      </c>
      <c r="P24" t="s">
        <v>74</v>
      </c>
      <c r="Q24" t="s">
        <v>74</v>
      </c>
      <c r="R24" t="s">
        <v>74</v>
      </c>
      <c r="S24" t="s">
        <v>74</v>
      </c>
      <c r="T24" t="s">
        <v>557</v>
      </c>
      <c r="U24" t="s">
        <v>558</v>
      </c>
      <c r="V24" t="s">
        <v>559</v>
      </c>
      <c r="W24" t="s">
        <v>560</v>
      </c>
      <c r="X24" t="s">
        <v>561</v>
      </c>
      <c r="Y24" t="s">
        <v>562</v>
      </c>
      <c r="Z24" t="s">
        <v>563</v>
      </c>
      <c r="AA24" t="s">
        <v>74</v>
      </c>
      <c r="AB24" t="s">
        <v>564</v>
      </c>
      <c r="AC24" t="s">
        <v>565</v>
      </c>
      <c r="AD24" t="s">
        <v>566</v>
      </c>
      <c r="AE24" t="s">
        <v>567</v>
      </c>
      <c r="AF24" t="s">
        <v>74</v>
      </c>
      <c r="AG24">
        <v>53</v>
      </c>
      <c r="AH24">
        <v>11</v>
      </c>
      <c r="AI24">
        <v>13</v>
      </c>
      <c r="AJ24">
        <v>1</v>
      </c>
      <c r="AK24">
        <v>45</v>
      </c>
      <c r="AL24" t="s">
        <v>568</v>
      </c>
      <c r="AM24" t="s">
        <v>447</v>
      </c>
      <c r="AN24" t="s">
        <v>569</v>
      </c>
      <c r="AO24" t="s">
        <v>570</v>
      </c>
      <c r="AP24" t="s">
        <v>74</v>
      </c>
      <c r="AQ24" t="s">
        <v>74</v>
      </c>
      <c r="AR24" t="s">
        <v>571</v>
      </c>
      <c r="AS24" t="s">
        <v>572</v>
      </c>
      <c r="AT24" t="s">
        <v>98</v>
      </c>
      <c r="AU24">
        <v>2014</v>
      </c>
      <c r="AV24">
        <v>15</v>
      </c>
      <c r="AW24">
        <v>4</v>
      </c>
      <c r="AX24" t="s">
        <v>74</v>
      </c>
      <c r="AY24" t="s">
        <v>74</v>
      </c>
      <c r="AZ24" t="s">
        <v>74</v>
      </c>
      <c r="BA24" t="s">
        <v>74</v>
      </c>
      <c r="BB24">
        <v>1462</v>
      </c>
      <c r="BC24">
        <v>1475</v>
      </c>
      <c r="BD24" t="s">
        <v>74</v>
      </c>
      <c r="BE24" t="s">
        <v>573</v>
      </c>
      <c r="BF24" t="str">
        <f>HYPERLINK("http://dx.doi.org/10.1002/2013GC005169","http://dx.doi.org/10.1002/2013GC005169")</f>
        <v>http://dx.doi.org/10.1002/2013GC005169</v>
      </c>
      <c r="BG24" t="s">
        <v>74</v>
      </c>
      <c r="BH24" t="s">
        <v>74</v>
      </c>
      <c r="BI24">
        <v>14</v>
      </c>
      <c r="BJ24" t="s">
        <v>574</v>
      </c>
      <c r="BK24" t="s">
        <v>101</v>
      </c>
      <c r="BL24" t="s">
        <v>574</v>
      </c>
      <c r="BM24" t="s">
        <v>575</v>
      </c>
      <c r="BN24" t="s">
        <v>74</v>
      </c>
      <c r="BO24" t="s">
        <v>576</v>
      </c>
      <c r="BP24" t="s">
        <v>74</v>
      </c>
      <c r="BQ24" t="s">
        <v>74</v>
      </c>
      <c r="BR24" t="s">
        <v>104</v>
      </c>
      <c r="BS24" t="s">
        <v>577</v>
      </c>
      <c r="BT24" t="str">
        <f>HYPERLINK("https%3A%2F%2Fwww.webofscience.com%2Fwos%2Fwoscc%2Ffull-record%2FWOS:000336493400039","View Full Record in Web of Science")</f>
        <v>View Full Record in Web of Science</v>
      </c>
    </row>
    <row r="25" spans="1:72" x14ac:dyDescent="0.15">
      <c r="A25" t="s">
        <v>72</v>
      </c>
      <c r="B25" t="s">
        <v>578</v>
      </c>
      <c r="C25" t="s">
        <v>74</v>
      </c>
      <c r="D25" t="s">
        <v>74</v>
      </c>
      <c r="E25" t="s">
        <v>74</v>
      </c>
      <c r="F25" t="s">
        <v>579</v>
      </c>
      <c r="G25" t="s">
        <v>74</v>
      </c>
      <c r="H25" t="s">
        <v>74</v>
      </c>
      <c r="I25" t="s">
        <v>580</v>
      </c>
      <c r="J25" t="s">
        <v>581</v>
      </c>
      <c r="K25" t="s">
        <v>74</v>
      </c>
      <c r="L25" t="s">
        <v>74</v>
      </c>
      <c r="M25" t="s">
        <v>78</v>
      </c>
      <c r="N25" t="s">
        <v>79</v>
      </c>
      <c r="O25" t="s">
        <v>74</v>
      </c>
      <c r="P25" t="s">
        <v>74</v>
      </c>
      <c r="Q25" t="s">
        <v>74</v>
      </c>
      <c r="R25" t="s">
        <v>74</v>
      </c>
      <c r="S25" t="s">
        <v>74</v>
      </c>
      <c r="T25" t="s">
        <v>74</v>
      </c>
      <c r="U25" t="s">
        <v>582</v>
      </c>
      <c r="V25" t="s">
        <v>583</v>
      </c>
      <c r="W25" t="s">
        <v>584</v>
      </c>
      <c r="X25" t="s">
        <v>585</v>
      </c>
      <c r="Y25" t="s">
        <v>586</v>
      </c>
      <c r="Z25" t="s">
        <v>74</v>
      </c>
      <c r="AA25" t="s">
        <v>587</v>
      </c>
      <c r="AB25" t="s">
        <v>588</v>
      </c>
      <c r="AC25" t="s">
        <v>589</v>
      </c>
      <c r="AD25" t="s">
        <v>590</v>
      </c>
      <c r="AE25" t="s">
        <v>591</v>
      </c>
      <c r="AF25" t="s">
        <v>74</v>
      </c>
      <c r="AG25">
        <v>20</v>
      </c>
      <c r="AH25">
        <v>25</v>
      </c>
      <c r="AI25">
        <v>25</v>
      </c>
      <c r="AJ25">
        <v>0</v>
      </c>
      <c r="AK25">
        <v>12</v>
      </c>
      <c r="AL25" t="s">
        <v>592</v>
      </c>
      <c r="AM25" t="s">
        <v>593</v>
      </c>
      <c r="AN25" t="s">
        <v>594</v>
      </c>
      <c r="AO25" t="s">
        <v>595</v>
      </c>
      <c r="AP25" t="s">
        <v>596</v>
      </c>
      <c r="AQ25" t="s">
        <v>74</v>
      </c>
      <c r="AR25" t="s">
        <v>581</v>
      </c>
      <c r="AS25" t="s">
        <v>597</v>
      </c>
      <c r="AT25" t="s">
        <v>98</v>
      </c>
      <c r="AU25">
        <v>2014</v>
      </c>
      <c r="AV25">
        <v>42</v>
      </c>
      <c r="AW25">
        <v>4</v>
      </c>
      <c r="AX25" t="s">
        <v>74</v>
      </c>
      <c r="AY25" t="s">
        <v>74</v>
      </c>
      <c r="AZ25" t="s">
        <v>74</v>
      </c>
      <c r="BA25" t="s">
        <v>74</v>
      </c>
      <c r="BB25">
        <v>299</v>
      </c>
      <c r="BC25">
        <v>302</v>
      </c>
      <c r="BD25" t="s">
        <v>74</v>
      </c>
      <c r="BE25" t="s">
        <v>598</v>
      </c>
      <c r="BF25" t="str">
        <f>HYPERLINK("http://dx.doi.org/10.1130/G35091.1","http://dx.doi.org/10.1130/G35091.1")</f>
        <v>http://dx.doi.org/10.1130/G35091.1</v>
      </c>
      <c r="BG25" t="s">
        <v>74</v>
      </c>
      <c r="BH25" t="s">
        <v>74</v>
      </c>
      <c r="BI25">
        <v>4</v>
      </c>
      <c r="BJ25" t="s">
        <v>597</v>
      </c>
      <c r="BK25" t="s">
        <v>101</v>
      </c>
      <c r="BL25" t="s">
        <v>597</v>
      </c>
      <c r="BM25" t="s">
        <v>599</v>
      </c>
      <c r="BN25" t="s">
        <v>74</v>
      </c>
      <c r="BO25" t="s">
        <v>600</v>
      </c>
      <c r="BP25" t="s">
        <v>74</v>
      </c>
      <c r="BQ25" t="s">
        <v>74</v>
      </c>
      <c r="BR25" t="s">
        <v>104</v>
      </c>
      <c r="BS25" t="s">
        <v>601</v>
      </c>
      <c r="BT25" t="str">
        <f>HYPERLINK("https%3A%2F%2Fwww.webofscience.com%2Fwos%2Fwoscc%2Ffull-record%2FWOS:000333244300010","View Full Record in Web of Science")</f>
        <v>View Full Record in Web of Science</v>
      </c>
    </row>
    <row r="26" spans="1:72" x14ac:dyDescent="0.15">
      <c r="A26" t="s">
        <v>72</v>
      </c>
      <c r="B26" t="s">
        <v>602</v>
      </c>
      <c r="C26" t="s">
        <v>74</v>
      </c>
      <c r="D26" t="s">
        <v>74</v>
      </c>
      <c r="E26" t="s">
        <v>74</v>
      </c>
      <c r="F26" t="s">
        <v>603</v>
      </c>
      <c r="G26" t="s">
        <v>74</v>
      </c>
      <c r="H26" t="s">
        <v>74</v>
      </c>
      <c r="I26" t="s">
        <v>604</v>
      </c>
      <c r="J26" t="s">
        <v>581</v>
      </c>
      <c r="K26" t="s">
        <v>74</v>
      </c>
      <c r="L26" t="s">
        <v>74</v>
      </c>
      <c r="M26" t="s">
        <v>78</v>
      </c>
      <c r="N26" t="s">
        <v>189</v>
      </c>
      <c r="O26" t="s">
        <v>74</v>
      </c>
      <c r="P26" t="s">
        <v>74</v>
      </c>
      <c r="Q26" t="s">
        <v>74</v>
      </c>
      <c r="R26" t="s">
        <v>74</v>
      </c>
      <c r="S26" t="s">
        <v>74</v>
      </c>
      <c r="T26" t="s">
        <v>74</v>
      </c>
      <c r="U26" t="s">
        <v>605</v>
      </c>
      <c r="V26" t="s">
        <v>74</v>
      </c>
      <c r="W26" t="s">
        <v>606</v>
      </c>
      <c r="X26" t="s">
        <v>607</v>
      </c>
      <c r="Y26" t="s">
        <v>608</v>
      </c>
      <c r="Z26" t="s">
        <v>609</v>
      </c>
      <c r="AA26" t="s">
        <v>610</v>
      </c>
      <c r="AB26" t="s">
        <v>74</v>
      </c>
      <c r="AC26" t="s">
        <v>74</v>
      </c>
      <c r="AD26" t="s">
        <v>74</v>
      </c>
      <c r="AE26" t="s">
        <v>74</v>
      </c>
      <c r="AF26" t="s">
        <v>74</v>
      </c>
      <c r="AG26">
        <v>22</v>
      </c>
      <c r="AH26">
        <v>11</v>
      </c>
      <c r="AI26">
        <v>12</v>
      </c>
      <c r="AJ26">
        <v>0</v>
      </c>
      <c r="AK26">
        <v>13</v>
      </c>
      <c r="AL26" t="s">
        <v>592</v>
      </c>
      <c r="AM26" t="s">
        <v>593</v>
      </c>
      <c r="AN26" t="s">
        <v>594</v>
      </c>
      <c r="AO26" t="s">
        <v>595</v>
      </c>
      <c r="AP26" t="s">
        <v>596</v>
      </c>
      <c r="AQ26" t="s">
        <v>74</v>
      </c>
      <c r="AR26" t="s">
        <v>581</v>
      </c>
      <c r="AS26" t="s">
        <v>597</v>
      </c>
      <c r="AT26" t="s">
        <v>98</v>
      </c>
      <c r="AU26">
        <v>2014</v>
      </c>
      <c r="AV26">
        <v>42</v>
      </c>
      <c r="AW26">
        <v>4</v>
      </c>
      <c r="AX26" t="s">
        <v>74</v>
      </c>
      <c r="AY26" t="s">
        <v>74</v>
      </c>
      <c r="AZ26" t="s">
        <v>74</v>
      </c>
      <c r="BA26" t="s">
        <v>74</v>
      </c>
      <c r="BB26">
        <v>367</v>
      </c>
      <c r="BC26">
        <v>368</v>
      </c>
      <c r="BD26" t="s">
        <v>74</v>
      </c>
      <c r="BE26" t="s">
        <v>611</v>
      </c>
      <c r="BF26" t="str">
        <f>HYPERLINK("http://dx.doi.org/10.1130/focus042014.1","http://dx.doi.org/10.1130/focus042014.1")</f>
        <v>http://dx.doi.org/10.1130/focus042014.1</v>
      </c>
      <c r="BG26" t="s">
        <v>74</v>
      </c>
      <c r="BH26" t="s">
        <v>74</v>
      </c>
      <c r="BI26">
        <v>2</v>
      </c>
      <c r="BJ26" t="s">
        <v>597</v>
      </c>
      <c r="BK26" t="s">
        <v>101</v>
      </c>
      <c r="BL26" t="s">
        <v>597</v>
      </c>
      <c r="BM26" t="s">
        <v>599</v>
      </c>
      <c r="BN26" t="s">
        <v>74</v>
      </c>
      <c r="BO26" t="s">
        <v>200</v>
      </c>
      <c r="BP26" t="s">
        <v>74</v>
      </c>
      <c r="BQ26" t="s">
        <v>74</v>
      </c>
      <c r="BR26" t="s">
        <v>104</v>
      </c>
      <c r="BS26" t="s">
        <v>612</v>
      </c>
      <c r="BT26" t="str">
        <f>HYPERLINK("https%3A%2F%2Fwww.webofscience.com%2Fwos%2Fwoscc%2Ffull-record%2FWOS:000333244300028","View Full Record in Web of Science")</f>
        <v>View Full Record in Web of Science</v>
      </c>
    </row>
    <row r="27" spans="1:72" x14ac:dyDescent="0.15">
      <c r="A27" t="s">
        <v>72</v>
      </c>
      <c r="B27" t="s">
        <v>613</v>
      </c>
      <c r="C27" t="s">
        <v>74</v>
      </c>
      <c r="D27" t="s">
        <v>74</v>
      </c>
      <c r="E27" t="s">
        <v>74</v>
      </c>
      <c r="F27" t="s">
        <v>614</v>
      </c>
      <c r="G27" t="s">
        <v>74</v>
      </c>
      <c r="H27" t="s">
        <v>74</v>
      </c>
      <c r="I27" t="s">
        <v>615</v>
      </c>
      <c r="J27" t="s">
        <v>616</v>
      </c>
      <c r="K27" t="s">
        <v>74</v>
      </c>
      <c r="L27" t="s">
        <v>74</v>
      </c>
      <c r="M27" t="s">
        <v>78</v>
      </c>
      <c r="N27" t="s">
        <v>79</v>
      </c>
      <c r="O27" t="s">
        <v>74</v>
      </c>
      <c r="P27" t="s">
        <v>74</v>
      </c>
      <c r="Q27" t="s">
        <v>74</v>
      </c>
      <c r="R27" t="s">
        <v>74</v>
      </c>
      <c r="S27" t="s">
        <v>74</v>
      </c>
      <c r="T27" t="s">
        <v>617</v>
      </c>
      <c r="U27" t="s">
        <v>618</v>
      </c>
      <c r="V27" t="s">
        <v>619</v>
      </c>
      <c r="W27" t="s">
        <v>620</v>
      </c>
      <c r="X27" t="s">
        <v>621</v>
      </c>
      <c r="Y27" t="s">
        <v>622</v>
      </c>
      <c r="Z27" t="s">
        <v>623</v>
      </c>
      <c r="AA27" t="s">
        <v>74</v>
      </c>
      <c r="AB27" t="s">
        <v>74</v>
      </c>
      <c r="AC27" t="s">
        <v>624</v>
      </c>
      <c r="AD27" t="s">
        <v>624</v>
      </c>
      <c r="AE27" t="s">
        <v>625</v>
      </c>
      <c r="AF27" t="s">
        <v>74</v>
      </c>
      <c r="AG27">
        <v>29</v>
      </c>
      <c r="AH27">
        <v>62</v>
      </c>
      <c r="AI27">
        <v>66</v>
      </c>
      <c r="AJ27">
        <v>4</v>
      </c>
      <c r="AK27">
        <v>66</v>
      </c>
      <c r="AL27" t="s">
        <v>521</v>
      </c>
      <c r="AM27" t="s">
        <v>522</v>
      </c>
      <c r="AN27" t="s">
        <v>523</v>
      </c>
      <c r="AO27" t="s">
        <v>626</v>
      </c>
      <c r="AP27" t="s">
        <v>627</v>
      </c>
      <c r="AQ27" t="s">
        <v>74</v>
      </c>
      <c r="AR27" t="s">
        <v>628</v>
      </c>
      <c r="AS27" t="s">
        <v>629</v>
      </c>
      <c r="AT27" t="s">
        <v>98</v>
      </c>
      <c r="AU27">
        <v>2014</v>
      </c>
      <c r="AV27">
        <v>89</v>
      </c>
      <c r="AW27" t="s">
        <v>74</v>
      </c>
      <c r="AX27" t="s">
        <v>74</v>
      </c>
      <c r="AY27" t="s">
        <v>74</v>
      </c>
      <c r="AZ27" t="s">
        <v>74</v>
      </c>
      <c r="BA27" t="s">
        <v>74</v>
      </c>
      <c r="BB27">
        <v>103</v>
      </c>
      <c r="BC27">
        <v>109</v>
      </c>
      <c r="BD27" t="s">
        <v>74</v>
      </c>
      <c r="BE27" t="s">
        <v>630</v>
      </c>
      <c r="BF27" t="str">
        <f>HYPERLINK("http://dx.doi.org/10.1016/j.ibiod.2014.01.010","http://dx.doi.org/10.1016/j.ibiod.2014.01.010")</f>
        <v>http://dx.doi.org/10.1016/j.ibiod.2014.01.010</v>
      </c>
      <c r="BG27" t="s">
        <v>74</v>
      </c>
      <c r="BH27" t="s">
        <v>74</v>
      </c>
      <c r="BI27">
        <v>7</v>
      </c>
      <c r="BJ27" t="s">
        <v>631</v>
      </c>
      <c r="BK27" t="s">
        <v>101</v>
      </c>
      <c r="BL27" t="s">
        <v>632</v>
      </c>
      <c r="BM27" t="s">
        <v>633</v>
      </c>
      <c r="BN27" t="s">
        <v>74</v>
      </c>
      <c r="BO27" t="s">
        <v>74</v>
      </c>
      <c r="BP27" t="s">
        <v>74</v>
      </c>
      <c r="BQ27" t="s">
        <v>74</v>
      </c>
      <c r="BR27" t="s">
        <v>104</v>
      </c>
      <c r="BS27" t="s">
        <v>634</v>
      </c>
      <c r="BT27" t="str">
        <f>HYPERLINK("https%3A%2F%2Fwww.webofscience.com%2Fwos%2Fwoscc%2Ffull-record%2FWOS:000333782100015","View Full Record in Web of Science")</f>
        <v>View Full Record in Web of Science</v>
      </c>
    </row>
    <row r="28" spans="1:72" x14ac:dyDescent="0.15">
      <c r="A28" t="s">
        <v>72</v>
      </c>
      <c r="B28" t="s">
        <v>635</v>
      </c>
      <c r="C28" t="s">
        <v>74</v>
      </c>
      <c r="D28" t="s">
        <v>74</v>
      </c>
      <c r="E28" t="s">
        <v>74</v>
      </c>
      <c r="F28" t="s">
        <v>636</v>
      </c>
      <c r="G28" t="s">
        <v>74</v>
      </c>
      <c r="H28" t="s">
        <v>74</v>
      </c>
      <c r="I28" t="s">
        <v>637</v>
      </c>
      <c r="J28" t="s">
        <v>638</v>
      </c>
      <c r="K28" t="s">
        <v>74</v>
      </c>
      <c r="L28" t="s">
        <v>74</v>
      </c>
      <c r="M28" t="s">
        <v>78</v>
      </c>
      <c r="N28" t="s">
        <v>639</v>
      </c>
      <c r="O28" t="s">
        <v>640</v>
      </c>
      <c r="P28" t="s">
        <v>641</v>
      </c>
      <c r="Q28" t="s">
        <v>642</v>
      </c>
      <c r="R28" t="s">
        <v>74</v>
      </c>
      <c r="S28" t="s">
        <v>643</v>
      </c>
      <c r="T28" t="s">
        <v>74</v>
      </c>
      <c r="U28" t="s">
        <v>644</v>
      </c>
      <c r="V28" t="s">
        <v>645</v>
      </c>
      <c r="W28" t="s">
        <v>646</v>
      </c>
      <c r="X28" t="s">
        <v>647</v>
      </c>
      <c r="Y28" t="s">
        <v>648</v>
      </c>
      <c r="Z28" t="s">
        <v>649</v>
      </c>
      <c r="AA28" t="s">
        <v>650</v>
      </c>
      <c r="AB28" t="s">
        <v>651</v>
      </c>
      <c r="AC28" t="s">
        <v>74</v>
      </c>
      <c r="AD28" t="s">
        <v>74</v>
      </c>
      <c r="AE28" t="s">
        <v>74</v>
      </c>
      <c r="AF28" t="s">
        <v>74</v>
      </c>
      <c r="AG28">
        <v>53</v>
      </c>
      <c r="AH28">
        <v>200</v>
      </c>
      <c r="AI28">
        <v>240</v>
      </c>
      <c r="AJ28">
        <v>3</v>
      </c>
      <c r="AK28">
        <v>200</v>
      </c>
      <c r="AL28" t="s">
        <v>652</v>
      </c>
      <c r="AM28" t="s">
        <v>653</v>
      </c>
      <c r="AN28" t="s">
        <v>654</v>
      </c>
      <c r="AO28" t="s">
        <v>655</v>
      </c>
      <c r="AP28" t="s">
        <v>656</v>
      </c>
      <c r="AQ28" t="s">
        <v>74</v>
      </c>
      <c r="AR28" t="s">
        <v>657</v>
      </c>
      <c r="AS28" t="s">
        <v>658</v>
      </c>
      <c r="AT28" t="s">
        <v>98</v>
      </c>
      <c r="AU28">
        <v>2014</v>
      </c>
      <c r="AV28">
        <v>27</v>
      </c>
      <c r="AW28" t="s">
        <v>74</v>
      </c>
      <c r="AX28" t="s">
        <v>659</v>
      </c>
      <c r="AY28" t="s">
        <v>74</v>
      </c>
      <c r="AZ28" t="s">
        <v>660</v>
      </c>
      <c r="BA28" t="s">
        <v>74</v>
      </c>
      <c r="BB28">
        <v>53</v>
      </c>
      <c r="BC28">
        <v>62</v>
      </c>
      <c r="BD28" t="s">
        <v>74</v>
      </c>
      <c r="BE28" t="s">
        <v>661</v>
      </c>
      <c r="BF28" t="str">
        <f>HYPERLINK("http://dx.doi.org/10.1016/j.jag.2013.05.011","http://dx.doi.org/10.1016/j.jag.2013.05.011")</f>
        <v>http://dx.doi.org/10.1016/j.jag.2013.05.011</v>
      </c>
      <c r="BG28" t="s">
        <v>74</v>
      </c>
      <c r="BH28" t="s">
        <v>74</v>
      </c>
      <c r="BI28">
        <v>10</v>
      </c>
      <c r="BJ28" t="s">
        <v>662</v>
      </c>
      <c r="BK28" t="s">
        <v>663</v>
      </c>
      <c r="BL28" t="s">
        <v>662</v>
      </c>
      <c r="BM28" t="s">
        <v>664</v>
      </c>
      <c r="BN28" t="s">
        <v>74</v>
      </c>
      <c r="BO28" t="s">
        <v>270</v>
      </c>
      <c r="BP28" t="s">
        <v>74</v>
      </c>
      <c r="BQ28" t="s">
        <v>74</v>
      </c>
      <c r="BR28" t="s">
        <v>104</v>
      </c>
      <c r="BS28" t="s">
        <v>665</v>
      </c>
      <c r="BT28" t="str">
        <f>HYPERLINK("https%3A%2F%2Fwww.webofscience.com%2Fwos%2Fwoscc%2Ffull-record%2FWOS:000329385900007","View Full Record in Web of Science")</f>
        <v>View Full Record in Web of Science</v>
      </c>
    </row>
    <row r="29" spans="1:72" x14ac:dyDescent="0.15">
      <c r="A29" t="s">
        <v>72</v>
      </c>
      <c r="B29" t="s">
        <v>666</v>
      </c>
      <c r="C29" t="s">
        <v>74</v>
      </c>
      <c r="D29" t="s">
        <v>74</v>
      </c>
      <c r="E29" t="s">
        <v>74</v>
      </c>
      <c r="F29" t="s">
        <v>667</v>
      </c>
      <c r="G29" t="s">
        <v>74</v>
      </c>
      <c r="H29" t="s">
        <v>74</v>
      </c>
      <c r="I29" t="s">
        <v>668</v>
      </c>
      <c r="J29" t="s">
        <v>669</v>
      </c>
      <c r="K29" t="s">
        <v>74</v>
      </c>
      <c r="L29" t="s">
        <v>74</v>
      </c>
      <c r="M29" t="s">
        <v>78</v>
      </c>
      <c r="N29" t="s">
        <v>79</v>
      </c>
      <c r="O29" t="s">
        <v>74</v>
      </c>
      <c r="P29" t="s">
        <v>74</v>
      </c>
      <c r="Q29" t="s">
        <v>74</v>
      </c>
      <c r="R29" t="s">
        <v>74</v>
      </c>
      <c r="S29" t="s">
        <v>74</v>
      </c>
      <c r="T29" t="s">
        <v>670</v>
      </c>
      <c r="U29" t="s">
        <v>671</v>
      </c>
      <c r="V29" t="s">
        <v>672</v>
      </c>
      <c r="W29" t="s">
        <v>673</v>
      </c>
      <c r="X29" t="s">
        <v>674</v>
      </c>
      <c r="Y29" t="s">
        <v>675</v>
      </c>
      <c r="Z29" t="s">
        <v>676</v>
      </c>
      <c r="AA29" t="s">
        <v>74</v>
      </c>
      <c r="AB29" t="s">
        <v>74</v>
      </c>
      <c r="AC29" t="s">
        <v>677</v>
      </c>
      <c r="AD29" t="s">
        <v>350</v>
      </c>
      <c r="AE29" t="s">
        <v>74</v>
      </c>
      <c r="AF29" t="s">
        <v>74</v>
      </c>
      <c r="AG29">
        <v>125</v>
      </c>
      <c r="AH29">
        <v>67</v>
      </c>
      <c r="AI29">
        <v>80</v>
      </c>
      <c r="AJ29">
        <v>3</v>
      </c>
      <c r="AK29">
        <v>68</v>
      </c>
      <c r="AL29" t="s">
        <v>91</v>
      </c>
      <c r="AM29" t="s">
        <v>92</v>
      </c>
      <c r="AN29" t="s">
        <v>93</v>
      </c>
      <c r="AO29" t="s">
        <v>678</v>
      </c>
      <c r="AP29" t="s">
        <v>679</v>
      </c>
      <c r="AQ29" t="s">
        <v>74</v>
      </c>
      <c r="AR29" t="s">
        <v>680</v>
      </c>
      <c r="AS29" t="s">
        <v>681</v>
      </c>
      <c r="AT29" t="s">
        <v>98</v>
      </c>
      <c r="AU29">
        <v>2014</v>
      </c>
      <c r="AV29">
        <v>13</v>
      </c>
      <c r="AW29">
        <v>2</v>
      </c>
      <c r="AX29" t="s">
        <v>74</v>
      </c>
      <c r="AY29" t="s">
        <v>74</v>
      </c>
      <c r="AZ29" t="s">
        <v>660</v>
      </c>
      <c r="BA29" t="s">
        <v>74</v>
      </c>
      <c r="BB29">
        <v>141</v>
      </c>
      <c r="BC29">
        <v>154</v>
      </c>
      <c r="BD29" t="s">
        <v>74</v>
      </c>
      <c r="BE29" t="s">
        <v>682</v>
      </c>
      <c r="BF29" t="str">
        <f>HYPERLINK("http://dx.doi.org/10.1017/S1473550413000438","http://dx.doi.org/10.1017/S1473550413000438")</f>
        <v>http://dx.doi.org/10.1017/S1473550413000438</v>
      </c>
      <c r="BG29" t="s">
        <v>74</v>
      </c>
      <c r="BH29" t="s">
        <v>74</v>
      </c>
      <c r="BI29">
        <v>14</v>
      </c>
      <c r="BJ29" t="s">
        <v>683</v>
      </c>
      <c r="BK29" t="s">
        <v>101</v>
      </c>
      <c r="BL29" t="s">
        <v>684</v>
      </c>
      <c r="BM29" t="s">
        <v>685</v>
      </c>
      <c r="BN29" t="s">
        <v>74</v>
      </c>
      <c r="BO29" t="s">
        <v>576</v>
      </c>
      <c r="BP29" t="s">
        <v>74</v>
      </c>
      <c r="BQ29" t="s">
        <v>74</v>
      </c>
      <c r="BR29" t="s">
        <v>104</v>
      </c>
      <c r="BS29" t="s">
        <v>686</v>
      </c>
      <c r="BT29" t="str">
        <f>HYPERLINK("https%3A%2F%2Fwww.webofscience.com%2Fwos%2Fwoscc%2Ffull-record%2FWOS:000333749700006","View Full Record in Web of Science")</f>
        <v>View Full Record in Web of Science</v>
      </c>
    </row>
    <row r="30" spans="1:72" x14ac:dyDescent="0.15">
      <c r="A30" t="s">
        <v>72</v>
      </c>
      <c r="B30" t="s">
        <v>687</v>
      </c>
      <c r="C30" t="s">
        <v>74</v>
      </c>
      <c r="D30" t="s">
        <v>74</v>
      </c>
      <c r="E30" t="s">
        <v>74</v>
      </c>
      <c r="F30" t="s">
        <v>688</v>
      </c>
      <c r="G30" t="s">
        <v>74</v>
      </c>
      <c r="H30" t="s">
        <v>74</v>
      </c>
      <c r="I30" t="s">
        <v>689</v>
      </c>
      <c r="J30" t="s">
        <v>690</v>
      </c>
      <c r="K30" t="s">
        <v>74</v>
      </c>
      <c r="L30" t="s">
        <v>74</v>
      </c>
      <c r="M30" t="s">
        <v>78</v>
      </c>
      <c r="N30" t="s">
        <v>79</v>
      </c>
      <c r="O30" t="s">
        <v>74</v>
      </c>
      <c r="P30" t="s">
        <v>74</v>
      </c>
      <c r="Q30" t="s">
        <v>74</v>
      </c>
      <c r="R30" t="s">
        <v>74</v>
      </c>
      <c r="S30" t="s">
        <v>74</v>
      </c>
      <c r="T30" t="s">
        <v>691</v>
      </c>
      <c r="U30" t="s">
        <v>692</v>
      </c>
      <c r="V30" t="s">
        <v>693</v>
      </c>
      <c r="W30" t="s">
        <v>694</v>
      </c>
      <c r="X30" t="s">
        <v>695</v>
      </c>
      <c r="Y30" t="s">
        <v>696</v>
      </c>
      <c r="Z30" t="s">
        <v>697</v>
      </c>
      <c r="AA30" t="s">
        <v>698</v>
      </c>
      <c r="AB30" t="s">
        <v>699</v>
      </c>
      <c r="AC30" t="s">
        <v>700</v>
      </c>
      <c r="AD30" t="s">
        <v>701</v>
      </c>
      <c r="AE30" t="s">
        <v>702</v>
      </c>
      <c r="AF30" t="s">
        <v>74</v>
      </c>
      <c r="AG30">
        <v>87</v>
      </c>
      <c r="AH30">
        <v>160</v>
      </c>
      <c r="AI30">
        <v>172</v>
      </c>
      <c r="AJ30">
        <v>6</v>
      </c>
      <c r="AK30">
        <v>126</v>
      </c>
      <c r="AL30" t="s">
        <v>703</v>
      </c>
      <c r="AM30" t="s">
        <v>704</v>
      </c>
      <c r="AN30" t="s">
        <v>705</v>
      </c>
      <c r="AO30" t="s">
        <v>706</v>
      </c>
      <c r="AP30" t="s">
        <v>707</v>
      </c>
      <c r="AQ30" t="s">
        <v>74</v>
      </c>
      <c r="AR30" t="s">
        <v>708</v>
      </c>
      <c r="AS30" t="s">
        <v>709</v>
      </c>
      <c r="AT30" t="s">
        <v>98</v>
      </c>
      <c r="AU30">
        <v>2014</v>
      </c>
      <c r="AV30">
        <v>8</v>
      </c>
      <c r="AW30">
        <v>4</v>
      </c>
      <c r="AX30" t="s">
        <v>74</v>
      </c>
      <c r="AY30" t="s">
        <v>74</v>
      </c>
      <c r="AZ30" t="s">
        <v>74</v>
      </c>
      <c r="BA30" t="s">
        <v>74</v>
      </c>
      <c r="BB30">
        <v>778</v>
      </c>
      <c r="BC30">
        <v>789</v>
      </c>
      <c r="BD30" t="s">
        <v>74</v>
      </c>
      <c r="BE30" t="s">
        <v>710</v>
      </c>
      <c r="BF30" t="str">
        <f>HYPERLINK("http://dx.doi.org/10.1038/ismej.2013.190","http://dx.doi.org/10.1038/ismej.2013.190")</f>
        <v>http://dx.doi.org/10.1038/ismej.2013.190</v>
      </c>
      <c r="BG30" t="s">
        <v>74</v>
      </c>
      <c r="BH30" t="s">
        <v>74</v>
      </c>
      <c r="BI30">
        <v>12</v>
      </c>
      <c r="BJ30" t="s">
        <v>711</v>
      </c>
      <c r="BK30" t="s">
        <v>101</v>
      </c>
      <c r="BL30" t="s">
        <v>712</v>
      </c>
      <c r="BM30" t="s">
        <v>713</v>
      </c>
      <c r="BN30">
        <v>24152712</v>
      </c>
      <c r="BO30" t="s">
        <v>234</v>
      </c>
      <c r="BP30" t="s">
        <v>74</v>
      </c>
      <c r="BQ30" t="s">
        <v>74</v>
      </c>
      <c r="BR30" t="s">
        <v>104</v>
      </c>
      <c r="BS30" t="s">
        <v>714</v>
      </c>
      <c r="BT30" t="str">
        <f>HYPERLINK("https%3A%2F%2Fwww.webofscience.com%2Fwos%2Fwoscc%2Ffull-record%2FWOS:000333189700005","View Full Record in Web of Science")</f>
        <v>View Full Record in Web of Science</v>
      </c>
    </row>
    <row r="31" spans="1:72" x14ac:dyDescent="0.15">
      <c r="A31" t="s">
        <v>72</v>
      </c>
      <c r="B31" t="s">
        <v>715</v>
      </c>
      <c r="C31" t="s">
        <v>74</v>
      </c>
      <c r="D31" t="s">
        <v>74</v>
      </c>
      <c r="E31" t="s">
        <v>74</v>
      </c>
      <c r="F31" t="s">
        <v>716</v>
      </c>
      <c r="G31" t="s">
        <v>74</v>
      </c>
      <c r="H31" t="s">
        <v>74</v>
      </c>
      <c r="I31" t="s">
        <v>717</v>
      </c>
      <c r="J31" t="s">
        <v>718</v>
      </c>
      <c r="K31" t="s">
        <v>74</v>
      </c>
      <c r="L31" t="s">
        <v>74</v>
      </c>
      <c r="M31" t="s">
        <v>78</v>
      </c>
      <c r="N31" t="s">
        <v>79</v>
      </c>
      <c r="O31" t="s">
        <v>74</v>
      </c>
      <c r="P31" t="s">
        <v>74</v>
      </c>
      <c r="Q31" t="s">
        <v>74</v>
      </c>
      <c r="R31" t="s">
        <v>74</v>
      </c>
      <c r="S31" t="s">
        <v>74</v>
      </c>
      <c r="T31" t="s">
        <v>719</v>
      </c>
      <c r="U31" t="s">
        <v>720</v>
      </c>
      <c r="V31" t="s">
        <v>721</v>
      </c>
      <c r="W31" t="s">
        <v>722</v>
      </c>
      <c r="X31" t="s">
        <v>723</v>
      </c>
      <c r="Y31" t="s">
        <v>724</v>
      </c>
      <c r="Z31" t="s">
        <v>725</v>
      </c>
      <c r="AA31" t="s">
        <v>74</v>
      </c>
      <c r="AB31" t="s">
        <v>726</v>
      </c>
      <c r="AC31" t="s">
        <v>727</v>
      </c>
      <c r="AD31" t="s">
        <v>728</v>
      </c>
      <c r="AE31" t="s">
        <v>729</v>
      </c>
      <c r="AF31" t="s">
        <v>74</v>
      </c>
      <c r="AG31">
        <v>24</v>
      </c>
      <c r="AH31">
        <v>25</v>
      </c>
      <c r="AI31">
        <v>27</v>
      </c>
      <c r="AJ31">
        <v>2</v>
      </c>
      <c r="AK31">
        <v>71</v>
      </c>
      <c r="AL31" t="s">
        <v>145</v>
      </c>
      <c r="AM31" t="s">
        <v>146</v>
      </c>
      <c r="AN31" t="s">
        <v>147</v>
      </c>
      <c r="AO31" t="s">
        <v>730</v>
      </c>
      <c r="AP31" t="s">
        <v>731</v>
      </c>
      <c r="AQ31" t="s">
        <v>74</v>
      </c>
      <c r="AR31" t="s">
        <v>732</v>
      </c>
      <c r="AS31" t="s">
        <v>733</v>
      </c>
      <c r="AT31" t="s">
        <v>98</v>
      </c>
      <c r="AU31">
        <v>2014</v>
      </c>
      <c r="AV31">
        <v>26</v>
      </c>
      <c r="AW31">
        <v>2</v>
      </c>
      <c r="AX31" t="s">
        <v>74</v>
      </c>
      <c r="AY31" t="s">
        <v>74</v>
      </c>
      <c r="AZ31" t="s">
        <v>74</v>
      </c>
      <c r="BA31" t="s">
        <v>74</v>
      </c>
      <c r="BB31">
        <v>973</v>
      </c>
      <c r="BC31">
        <v>978</v>
      </c>
      <c r="BD31" t="s">
        <v>74</v>
      </c>
      <c r="BE31" t="s">
        <v>734</v>
      </c>
      <c r="BF31" t="str">
        <f>HYPERLINK("http://dx.doi.org/10.1007/s10811-013-0141-1","http://dx.doi.org/10.1007/s10811-013-0141-1")</f>
        <v>http://dx.doi.org/10.1007/s10811-013-0141-1</v>
      </c>
      <c r="BG31" t="s">
        <v>74</v>
      </c>
      <c r="BH31" t="s">
        <v>74</v>
      </c>
      <c r="BI31">
        <v>6</v>
      </c>
      <c r="BJ31" t="s">
        <v>735</v>
      </c>
      <c r="BK31" t="s">
        <v>101</v>
      </c>
      <c r="BL31" t="s">
        <v>735</v>
      </c>
      <c r="BM31" t="s">
        <v>736</v>
      </c>
      <c r="BN31" t="s">
        <v>74</v>
      </c>
      <c r="BO31" t="s">
        <v>74</v>
      </c>
      <c r="BP31" t="s">
        <v>74</v>
      </c>
      <c r="BQ31" t="s">
        <v>74</v>
      </c>
      <c r="BR31" t="s">
        <v>104</v>
      </c>
      <c r="BS31" t="s">
        <v>737</v>
      </c>
      <c r="BT31" t="str">
        <f>HYPERLINK("https%3A%2F%2Fwww.webofscience.com%2Fwos%2Fwoscc%2Ffull-record%2FWOS:000334498200032","View Full Record in Web of Science")</f>
        <v>View Full Record in Web of Science</v>
      </c>
    </row>
    <row r="32" spans="1:72" x14ac:dyDescent="0.15">
      <c r="A32" t="s">
        <v>72</v>
      </c>
      <c r="B32" t="s">
        <v>738</v>
      </c>
      <c r="C32" t="s">
        <v>74</v>
      </c>
      <c r="D32" t="s">
        <v>74</v>
      </c>
      <c r="E32" t="s">
        <v>74</v>
      </c>
      <c r="F32" t="s">
        <v>739</v>
      </c>
      <c r="G32" t="s">
        <v>74</v>
      </c>
      <c r="H32" t="s">
        <v>74</v>
      </c>
      <c r="I32" t="s">
        <v>740</v>
      </c>
      <c r="J32" t="s">
        <v>741</v>
      </c>
      <c r="K32" t="s">
        <v>74</v>
      </c>
      <c r="L32" t="s">
        <v>74</v>
      </c>
      <c r="M32" t="s">
        <v>78</v>
      </c>
      <c r="N32" t="s">
        <v>79</v>
      </c>
      <c r="O32" t="s">
        <v>74</v>
      </c>
      <c r="P32" t="s">
        <v>74</v>
      </c>
      <c r="Q32" t="s">
        <v>74</v>
      </c>
      <c r="R32" t="s">
        <v>74</v>
      </c>
      <c r="S32" t="s">
        <v>74</v>
      </c>
      <c r="T32" t="s">
        <v>742</v>
      </c>
      <c r="U32" t="s">
        <v>743</v>
      </c>
      <c r="V32" t="s">
        <v>744</v>
      </c>
      <c r="W32" t="s">
        <v>745</v>
      </c>
      <c r="X32" t="s">
        <v>746</v>
      </c>
      <c r="Y32" t="s">
        <v>747</v>
      </c>
      <c r="Z32" t="s">
        <v>748</v>
      </c>
      <c r="AA32" t="s">
        <v>749</v>
      </c>
      <c r="AB32" t="s">
        <v>750</v>
      </c>
      <c r="AC32" t="s">
        <v>751</v>
      </c>
      <c r="AD32" t="s">
        <v>752</v>
      </c>
      <c r="AE32" t="s">
        <v>753</v>
      </c>
      <c r="AF32" t="s">
        <v>74</v>
      </c>
      <c r="AG32">
        <v>27</v>
      </c>
      <c r="AH32">
        <v>8</v>
      </c>
      <c r="AI32">
        <v>12</v>
      </c>
      <c r="AJ32">
        <v>3</v>
      </c>
      <c r="AK32">
        <v>43</v>
      </c>
      <c r="AL32" t="s">
        <v>754</v>
      </c>
      <c r="AM32" t="s">
        <v>704</v>
      </c>
      <c r="AN32" t="s">
        <v>755</v>
      </c>
      <c r="AO32" t="s">
        <v>756</v>
      </c>
      <c r="AP32" t="s">
        <v>757</v>
      </c>
      <c r="AQ32" t="s">
        <v>74</v>
      </c>
      <c r="AR32" t="s">
        <v>758</v>
      </c>
      <c r="AS32" t="s">
        <v>759</v>
      </c>
      <c r="AT32" t="s">
        <v>98</v>
      </c>
      <c r="AU32">
        <v>2014</v>
      </c>
      <c r="AV32">
        <v>12</v>
      </c>
      <c r="AW32">
        <v>2</v>
      </c>
      <c r="AX32" t="s">
        <v>74</v>
      </c>
      <c r="AY32" t="s">
        <v>74</v>
      </c>
      <c r="AZ32" t="s">
        <v>660</v>
      </c>
      <c r="BA32" t="s">
        <v>74</v>
      </c>
      <c r="BB32" t="s">
        <v>74</v>
      </c>
      <c r="BC32" t="s">
        <v>74</v>
      </c>
      <c r="BD32">
        <v>1441003</v>
      </c>
      <c r="BE32" t="s">
        <v>760</v>
      </c>
      <c r="BF32" t="str">
        <f>HYPERLINK("http://dx.doi.org/10.1142/S0219720014410030","http://dx.doi.org/10.1142/S0219720014410030")</f>
        <v>http://dx.doi.org/10.1142/S0219720014410030</v>
      </c>
      <c r="BG32" t="s">
        <v>74</v>
      </c>
      <c r="BH32" t="s">
        <v>74</v>
      </c>
      <c r="BI32">
        <v>14</v>
      </c>
      <c r="BJ32" t="s">
        <v>761</v>
      </c>
      <c r="BK32" t="s">
        <v>101</v>
      </c>
      <c r="BL32" t="s">
        <v>762</v>
      </c>
      <c r="BM32" t="s">
        <v>763</v>
      </c>
      <c r="BN32">
        <v>24712530</v>
      </c>
      <c r="BO32" t="s">
        <v>74</v>
      </c>
      <c r="BP32" t="s">
        <v>74</v>
      </c>
      <c r="BQ32" t="s">
        <v>74</v>
      </c>
      <c r="BR32" t="s">
        <v>104</v>
      </c>
      <c r="BS32" t="s">
        <v>764</v>
      </c>
      <c r="BT32" t="str">
        <f>HYPERLINK("https%3A%2F%2Fwww.webofscience.com%2Fwos%2Fwoscc%2Ffull-record%2FWOS:000348346700003","View Full Record in Web of Science")</f>
        <v>View Full Record in Web of Science</v>
      </c>
    </row>
    <row r="33" spans="1:72" x14ac:dyDescent="0.15">
      <c r="A33" t="s">
        <v>72</v>
      </c>
      <c r="B33" t="s">
        <v>765</v>
      </c>
      <c r="C33" t="s">
        <v>74</v>
      </c>
      <c r="D33" t="s">
        <v>74</v>
      </c>
      <c r="E33" t="s">
        <v>74</v>
      </c>
      <c r="F33" t="s">
        <v>766</v>
      </c>
      <c r="G33" t="s">
        <v>74</v>
      </c>
      <c r="H33" t="s">
        <v>74</v>
      </c>
      <c r="I33" t="s">
        <v>767</v>
      </c>
      <c r="J33" t="s">
        <v>768</v>
      </c>
      <c r="K33" t="s">
        <v>74</v>
      </c>
      <c r="L33" t="s">
        <v>74</v>
      </c>
      <c r="M33" t="s">
        <v>78</v>
      </c>
      <c r="N33" t="s">
        <v>79</v>
      </c>
      <c r="O33" t="s">
        <v>74</v>
      </c>
      <c r="P33" t="s">
        <v>74</v>
      </c>
      <c r="Q33" t="s">
        <v>74</v>
      </c>
      <c r="R33" t="s">
        <v>74</v>
      </c>
      <c r="S33" t="s">
        <v>74</v>
      </c>
      <c r="T33" t="s">
        <v>769</v>
      </c>
      <c r="U33" t="s">
        <v>770</v>
      </c>
      <c r="V33" t="s">
        <v>771</v>
      </c>
      <c r="W33" t="s">
        <v>772</v>
      </c>
      <c r="X33" t="s">
        <v>773</v>
      </c>
      <c r="Y33" t="s">
        <v>774</v>
      </c>
      <c r="Z33" t="s">
        <v>775</v>
      </c>
      <c r="AA33" t="s">
        <v>776</v>
      </c>
      <c r="AB33" t="s">
        <v>777</v>
      </c>
      <c r="AC33" t="s">
        <v>778</v>
      </c>
      <c r="AD33" t="s">
        <v>566</v>
      </c>
      <c r="AE33" t="s">
        <v>779</v>
      </c>
      <c r="AF33" t="s">
        <v>74</v>
      </c>
      <c r="AG33">
        <v>42</v>
      </c>
      <c r="AH33">
        <v>62</v>
      </c>
      <c r="AI33">
        <v>69</v>
      </c>
      <c r="AJ33">
        <v>0</v>
      </c>
      <c r="AK33">
        <v>26</v>
      </c>
      <c r="AL33" t="s">
        <v>568</v>
      </c>
      <c r="AM33" t="s">
        <v>447</v>
      </c>
      <c r="AN33" t="s">
        <v>569</v>
      </c>
      <c r="AO33" t="s">
        <v>780</v>
      </c>
      <c r="AP33" t="s">
        <v>781</v>
      </c>
      <c r="AQ33" t="s">
        <v>74</v>
      </c>
      <c r="AR33" t="s">
        <v>782</v>
      </c>
      <c r="AS33" t="s">
        <v>783</v>
      </c>
      <c r="AT33" t="s">
        <v>98</v>
      </c>
      <c r="AU33">
        <v>2014</v>
      </c>
      <c r="AV33">
        <v>119</v>
      </c>
      <c r="AW33">
        <v>4</v>
      </c>
      <c r="AX33" t="s">
        <v>74</v>
      </c>
      <c r="AY33" t="s">
        <v>74</v>
      </c>
      <c r="AZ33" t="s">
        <v>74</v>
      </c>
      <c r="BA33" t="s">
        <v>74</v>
      </c>
      <c r="BB33">
        <v>2420</v>
      </c>
      <c r="BC33">
        <v>2438</v>
      </c>
      <c r="BD33" t="s">
        <v>74</v>
      </c>
      <c r="BE33" t="s">
        <v>784</v>
      </c>
      <c r="BF33" t="str">
        <f>HYPERLINK("http://dx.doi.org/10.1002/2013JC009513","http://dx.doi.org/10.1002/2013JC009513")</f>
        <v>http://dx.doi.org/10.1002/2013JC009513</v>
      </c>
      <c r="BG33" t="s">
        <v>74</v>
      </c>
      <c r="BH33" t="s">
        <v>74</v>
      </c>
      <c r="BI33">
        <v>19</v>
      </c>
      <c r="BJ33" t="s">
        <v>785</v>
      </c>
      <c r="BK33" t="s">
        <v>101</v>
      </c>
      <c r="BL33" t="s">
        <v>785</v>
      </c>
      <c r="BM33" t="s">
        <v>786</v>
      </c>
      <c r="BN33" t="s">
        <v>74</v>
      </c>
      <c r="BO33" t="s">
        <v>787</v>
      </c>
      <c r="BP33" t="s">
        <v>74</v>
      </c>
      <c r="BQ33" t="s">
        <v>74</v>
      </c>
      <c r="BR33" t="s">
        <v>104</v>
      </c>
      <c r="BS33" t="s">
        <v>788</v>
      </c>
      <c r="BT33" t="str">
        <f>HYPERLINK("https%3A%2F%2Fwww.webofscience.com%2Fwos%2Fwoscc%2Ffull-record%2FWOS:000336213200017","View Full Record in Web of Science")</f>
        <v>View Full Record in Web of Science</v>
      </c>
    </row>
    <row r="34" spans="1:72" x14ac:dyDescent="0.15">
      <c r="A34" t="s">
        <v>72</v>
      </c>
      <c r="B34" t="s">
        <v>789</v>
      </c>
      <c r="C34" t="s">
        <v>74</v>
      </c>
      <c r="D34" t="s">
        <v>74</v>
      </c>
      <c r="E34" t="s">
        <v>74</v>
      </c>
      <c r="F34" t="s">
        <v>790</v>
      </c>
      <c r="G34" t="s">
        <v>74</v>
      </c>
      <c r="H34" t="s">
        <v>74</v>
      </c>
      <c r="I34" t="s">
        <v>791</v>
      </c>
      <c r="J34" t="s">
        <v>792</v>
      </c>
      <c r="K34" t="s">
        <v>74</v>
      </c>
      <c r="L34" t="s">
        <v>74</v>
      </c>
      <c r="M34" t="s">
        <v>78</v>
      </c>
      <c r="N34" t="s">
        <v>79</v>
      </c>
      <c r="O34" t="s">
        <v>74</v>
      </c>
      <c r="P34" t="s">
        <v>74</v>
      </c>
      <c r="Q34" t="s">
        <v>74</v>
      </c>
      <c r="R34" t="s">
        <v>74</v>
      </c>
      <c r="S34" t="s">
        <v>74</v>
      </c>
      <c r="T34" t="s">
        <v>74</v>
      </c>
      <c r="U34" t="s">
        <v>793</v>
      </c>
      <c r="V34" t="s">
        <v>794</v>
      </c>
      <c r="W34" t="s">
        <v>795</v>
      </c>
      <c r="X34" t="s">
        <v>796</v>
      </c>
      <c r="Y34" t="s">
        <v>797</v>
      </c>
      <c r="Z34" t="s">
        <v>798</v>
      </c>
      <c r="AA34" t="s">
        <v>799</v>
      </c>
      <c r="AB34" t="s">
        <v>800</v>
      </c>
      <c r="AC34" t="s">
        <v>801</v>
      </c>
      <c r="AD34" t="s">
        <v>802</v>
      </c>
      <c r="AE34" t="s">
        <v>803</v>
      </c>
      <c r="AF34" t="s">
        <v>74</v>
      </c>
      <c r="AG34">
        <v>81</v>
      </c>
      <c r="AH34">
        <v>256</v>
      </c>
      <c r="AI34">
        <v>270</v>
      </c>
      <c r="AJ34">
        <v>6</v>
      </c>
      <c r="AK34">
        <v>59</v>
      </c>
      <c r="AL34" t="s">
        <v>568</v>
      </c>
      <c r="AM34" t="s">
        <v>447</v>
      </c>
      <c r="AN34" t="s">
        <v>569</v>
      </c>
      <c r="AO34" t="s">
        <v>804</v>
      </c>
      <c r="AP34" t="s">
        <v>805</v>
      </c>
      <c r="AQ34" t="s">
        <v>74</v>
      </c>
      <c r="AR34" t="s">
        <v>806</v>
      </c>
      <c r="AS34" t="s">
        <v>807</v>
      </c>
      <c r="AT34" t="s">
        <v>98</v>
      </c>
      <c r="AU34">
        <v>2014</v>
      </c>
      <c r="AV34">
        <v>119</v>
      </c>
      <c r="AW34">
        <v>4</v>
      </c>
      <c r="AX34" t="s">
        <v>74</v>
      </c>
      <c r="AY34" t="s">
        <v>74</v>
      </c>
      <c r="AZ34" t="s">
        <v>74</v>
      </c>
      <c r="BA34" t="s">
        <v>74</v>
      </c>
      <c r="BB34">
        <v>3584</v>
      </c>
      <c r="BC34">
        <v>3600</v>
      </c>
      <c r="BD34" t="s">
        <v>74</v>
      </c>
      <c r="BE34" t="s">
        <v>808</v>
      </c>
      <c r="BF34" t="str">
        <f>HYPERLINK("http://dx.doi.org/10.1002/2013JB010901","http://dx.doi.org/10.1002/2013JB010901")</f>
        <v>http://dx.doi.org/10.1002/2013JB010901</v>
      </c>
      <c r="BG34" t="s">
        <v>74</v>
      </c>
      <c r="BH34" t="s">
        <v>74</v>
      </c>
      <c r="BI34">
        <v>17</v>
      </c>
      <c r="BJ34" t="s">
        <v>574</v>
      </c>
      <c r="BK34" t="s">
        <v>101</v>
      </c>
      <c r="BL34" t="s">
        <v>574</v>
      </c>
      <c r="BM34" t="s">
        <v>809</v>
      </c>
      <c r="BN34" t="s">
        <v>74</v>
      </c>
      <c r="BO34" t="s">
        <v>810</v>
      </c>
      <c r="BP34" t="s">
        <v>811</v>
      </c>
      <c r="BQ34" t="s">
        <v>812</v>
      </c>
      <c r="BR34" t="s">
        <v>104</v>
      </c>
      <c r="BS34" t="s">
        <v>813</v>
      </c>
      <c r="BT34" t="str">
        <f>HYPERLINK("https%3A%2F%2Fwww.webofscience.com%2Fwos%2Fwoscc%2Ffull-record%2FWOS:000337688600052","View Full Record in Web of Science")</f>
        <v>View Full Record in Web of Science</v>
      </c>
    </row>
    <row r="35" spans="1:72" x14ac:dyDescent="0.15">
      <c r="A35" t="s">
        <v>72</v>
      </c>
      <c r="B35" t="s">
        <v>814</v>
      </c>
      <c r="C35" t="s">
        <v>74</v>
      </c>
      <c r="D35" t="s">
        <v>74</v>
      </c>
      <c r="E35" t="s">
        <v>74</v>
      </c>
      <c r="F35" t="s">
        <v>815</v>
      </c>
      <c r="G35" t="s">
        <v>74</v>
      </c>
      <c r="H35" t="s">
        <v>74</v>
      </c>
      <c r="I35" t="s">
        <v>816</v>
      </c>
      <c r="J35" t="s">
        <v>817</v>
      </c>
      <c r="K35" t="s">
        <v>74</v>
      </c>
      <c r="L35" t="s">
        <v>74</v>
      </c>
      <c r="M35" t="s">
        <v>78</v>
      </c>
      <c r="N35" t="s">
        <v>79</v>
      </c>
      <c r="O35" t="s">
        <v>74</v>
      </c>
      <c r="P35" t="s">
        <v>74</v>
      </c>
      <c r="Q35" t="s">
        <v>74</v>
      </c>
      <c r="R35" t="s">
        <v>74</v>
      </c>
      <c r="S35" t="s">
        <v>74</v>
      </c>
      <c r="T35" t="s">
        <v>818</v>
      </c>
      <c r="U35" t="s">
        <v>819</v>
      </c>
      <c r="V35" t="s">
        <v>820</v>
      </c>
      <c r="W35" t="s">
        <v>821</v>
      </c>
      <c r="X35" t="s">
        <v>822</v>
      </c>
      <c r="Y35" t="s">
        <v>823</v>
      </c>
      <c r="Z35" t="s">
        <v>824</v>
      </c>
      <c r="AA35" t="s">
        <v>825</v>
      </c>
      <c r="AB35" t="s">
        <v>826</v>
      </c>
      <c r="AC35" t="s">
        <v>827</v>
      </c>
      <c r="AD35" t="s">
        <v>828</v>
      </c>
      <c r="AE35" t="s">
        <v>829</v>
      </c>
      <c r="AF35" t="s">
        <v>74</v>
      </c>
      <c r="AG35">
        <v>65</v>
      </c>
      <c r="AH35">
        <v>38</v>
      </c>
      <c r="AI35">
        <v>40</v>
      </c>
      <c r="AJ35">
        <v>0</v>
      </c>
      <c r="AK35">
        <v>9</v>
      </c>
      <c r="AL35" t="s">
        <v>568</v>
      </c>
      <c r="AM35" t="s">
        <v>447</v>
      </c>
      <c r="AN35" t="s">
        <v>569</v>
      </c>
      <c r="AO35" t="s">
        <v>830</v>
      </c>
      <c r="AP35" t="s">
        <v>831</v>
      </c>
      <c r="AQ35" t="s">
        <v>74</v>
      </c>
      <c r="AR35" t="s">
        <v>832</v>
      </c>
      <c r="AS35" t="s">
        <v>833</v>
      </c>
      <c r="AT35" t="s">
        <v>98</v>
      </c>
      <c r="AU35">
        <v>2014</v>
      </c>
      <c r="AV35">
        <v>119</v>
      </c>
      <c r="AW35">
        <v>4</v>
      </c>
      <c r="AX35" t="s">
        <v>74</v>
      </c>
      <c r="AY35" t="s">
        <v>74</v>
      </c>
      <c r="AZ35" t="s">
        <v>74</v>
      </c>
      <c r="BA35" t="s">
        <v>74</v>
      </c>
      <c r="BB35">
        <v>2963</v>
      </c>
      <c r="BC35">
        <v>2977</v>
      </c>
      <c r="BD35" t="s">
        <v>74</v>
      </c>
      <c r="BE35" t="s">
        <v>834</v>
      </c>
      <c r="BF35" t="str">
        <f>HYPERLINK("http://dx.doi.org/10.1002/2013JA019595","http://dx.doi.org/10.1002/2013JA019595")</f>
        <v>http://dx.doi.org/10.1002/2013JA019595</v>
      </c>
      <c r="BG35" t="s">
        <v>74</v>
      </c>
      <c r="BH35" t="s">
        <v>74</v>
      </c>
      <c r="BI35">
        <v>15</v>
      </c>
      <c r="BJ35" t="s">
        <v>332</v>
      </c>
      <c r="BK35" t="s">
        <v>101</v>
      </c>
      <c r="BL35" t="s">
        <v>332</v>
      </c>
      <c r="BM35" t="s">
        <v>835</v>
      </c>
      <c r="BN35" t="s">
        <v>74</v>
      </c>
      <c r="BO35" t="s">
        <v>600</v>
      </c>
      <c r="BP35" t="s">
        <v>74</v>
      </c>
      <c r="BQ35" t="s">
        <v>74</v>
      </c>
      <c r="BR35" t="s">
        <v>104</v>
      </c>
      <c r="BS35" t="s">
        <v>836</v>
      </c>
      <c r="BT35" t="str">
        <f>HYPERLINK("https%3A%2F%2Fwww.webofscience.com%2Fwos%2Fwoscc%2Ffull-record%2FWOS:000336218600038","View Full Record in Web of Science")</f>
        <v>View Full Record in Web of Science</v>
      </c>
    </row>
    <row r="36" spans="1:72" x14ac:dyDescent="0.15">
      <c r="A36" t="s">
        <v>72</v>
      </c>
      <c r="B36" t="s">
        <v>837</v>
      </c>
      <c r="C36" t="s">
        <v>74</v>
      </c>
      <c r="D36" t="s">
        <v>74</v>
      </c>
      <c r="E36" t="s">
        <v>74</v>
      </c>
      <c r="F36" t="s">
        <v>838</v>
      </c>
      <c r="G36" t="s">
        <v>74</v>
      </c>
      <c r="H36" t="s">
        <v>74</v>
      </c>
      <c r="I36" t="s">
        <v>839</v>
      </c>
      <c r="J36" t="s">
        <v>840</v>
      </c>
      <c r="K36" t="s">
        <v>74</v>
      </c>
      <c r="L36" t="s">
        <v>74</v>
      </c>
      <c r="M36" t="s">
        <v>78</v>
      </c>
      <c r="N36" t="s">
        <v>79</v>
      </c>
      <c r="O36" t="s">
        <v>74</v>
      </c>
      <c r="P36" t="s">
        <v>74</v>
      </c>
      <c r="Q36" t="s">
        <v>74</v>
      </c>
      <c r="R36" t="s">
        <v>74</v>
      </c>
      <c r="S36" t="s">
        <v>74</v>
      </c>
      <c r="T36" t="s">
        <v>841</v>
      </c>
      <c r="U36" t="s">
        <v>842</v>
      </c>
      <c r="V36" t="s">
        <v>843</v>
      </c>
      <c r="W36" t="s">
        <v>844</v>
      </c>
      <c r="X36" t="s">
        <v>845</v>
      </c>
      <c r="Y36" t="s">
        <v>846</v>
      </c>
      <c r="Z36" t="s">
        <v>847</v>
      </c>
      <c r="AA36" t="s">
        <v>848</v>
      </c>
      <c r="AB36" t="s">
        <v>849</v>
      </c>
      <c r="AC36" t="s">
        <v>850</v>
      </c>
      <c r="AD36" t="s">
        <v>850</v>
      </c>
      <c r="AE36" t="s">
        <v>851</v>
      </c>
      <c r="AF36" t="s">
        <v>74</v>
      </c>
      <c r="AG36">
        <v>98</v>
      </c>
      <c r="AH36">
        <v>8</v>
      </c>
      <c r="AI36">
        <v>8</v>
      </c>
      <c r="AJ36">
        <v>1</v>
      </c>
      <c r="AK36">
        <v>26</v>
      </c>
      <c r="AL36" t="s">
        <v>403</v>
      </c>
      <c r="AM36" t="s">
        <v>404</v>
      </c>
      <c r="AN36" t="s">
        <v>405</v>
      </c>
      <c r="AO36" t="s">
        <v>852</v>
      </c>
      <c r="AP36" t="s">
        <v>853</v>
      </c>
      <c r="AQ36" t="s">
        <v>74</v>
      </c>
      <c r="AR36" t="s">
        <v>854</v>
      </c>
      <c r="AS36" t="s">
        <v>855</v>
      </c>
      <c r="AT36" t="s">
        <v>98</v>
      </c>
      <c r="AU36">
        <v>2014</v>
      </c>
      <c r="AV36">
        <v>50</v>
      </c>
      <c r="AW36">
        <v>2</v>
      </c>
      <c r="AX36" t="s">
        <v>74</v>
      </c>
      <c r="AY36" t="s">
        <v>74</v>
      </c>
      <c r="AZ36" t="s">
        <v>74</v>
      </c>
      <c r="BA36" t="s">
        <v>74</v>
      </c>
      <c r="BB36">
        <v>267</v>
      </c>
      <c r="BC36">
        <v>279</v>
      </c>
      <c r="BD36" t="s">
        <v>74</v>
      </c>
      <c r="BE36" t="s">
        <v>856</v>
      </c>
      <c r="BF36" t="str">
        <f>HYPERLINK("http://dx.doi.org/10.1111/jpy.12166","http://dx.doi.org/10.1111/jpy.12166")</f>
        <v>http://dx.doi.org/10.1111/jpy.12166</v>
      </c>
      <c r="BG36" t="s">
        <v>74</v>
      </c>
      <c r="BH36" t="s">
        <v>74</v>
      </c>
      <c r="BI36">
        <v>13</v>
      </c>
      <c r="BJ36" t="s">
        <v>857</v>
      </c>
      <c r="BK36" t="s">
        <v>101</v>
      </c>
      <c r="BL36" t="s">
        <v>857</v>
      </c>
      <c r="BM36" t="s">
        <v>858</v>
      </c>
      <c r="BN36">
        <v>26988184</v>
      </c>
      <c r="BO36" t="s">
        <v>74</v>
      </c>
      <c r="BP36" t="s">
        <v>74</v>
      </c>
      <c r="BQ36" t="s">
        <v>74</v>
      </c>
      <c r="BR36" t="s">
        <v>104</v>
      </c>
      <c r="BS36" t="s">
        <v>859</v>
      </c>
      <c r="BT36" t="str">
        <f>HYPERLINK("https%3A%2F%2Fwww.webofscience.com%2Fwos%2Fwoscc%2Ffull-record%2FWOS:000333625100004","View Full Record in Web of Science")</f>
        <v>View Full Record in Web of Science</v>
      </c>
    </row>
    <row r="37" spans="1:72" x14ac:dyDescent="0.15">
      <c r="A37" t="s">
        <v>72</v>
      </c>
      <c r="B37" t="s">
        <v>860</v>
      </c>
      <c r="C37" t="s">
        <v>74</v>
      </c>
      <c r="D37" t="s">
        <v>74</v>
      </c>
      <c r="E37" t="s">
        <v>74</v>
      </c>
      <c r="F37" t="s">
        <v>861</v>
      </c>
      <c r="G37" t="s">
        <v>74</v>
      </c>
      <c r="H37" t="s">
        <v>74</v>
      </c>
      <c r="I37" t="s">
        <v>862</v>
      </c>
      <c r="J37" t="s">
        <v>863</v>
      </c>
      <c r="K37" t="s">
        <v>74</v>
      </c>
      <c r="L37" t="s">
        <v>74</v>
      </c>
      <c r="M37" t="s">
        <v>78</v>
      </c>
      <c r="N37" t="s">
        <v>79</v>
      </c>
      <c r="O37" t="s">
        <v>74</v>
      </c>
      <c r="P37" t="s">
        <v>74</v>
      </c>
      <c r="Q37" t="s">
        <v>74</v>
      </c>
      <c r="R37" t="s">
        <v>74</v>
      </c>
      <c r="S37" t="s">
        <v>74</v>
      </c>
      <c r="T37" t="s">
        <v>864</v>
      </c>
      <c r="U37" t="s">
        <v>865</v>
      </c>
      <c r="V37" t="s">
        <v>866</v>
      </c>
      <c r="W37" t="s">
        <v>867</v>
      </c>
      <c r="X37" t="s">
        <v>868</v>
      </c>
      <c r="Y37" t="s">
        <v>869</v>
      </c>
      <c r="Z37" t="s">
        <v>870</v>
      </c>
      <c r="AA37" t="s">
        <v>871</v>
      </c>
      <c r="AB37" t="s">
        <v>872</v>
      </c>
      <c r="AC37" t="s">
        <v>873</v>
      </c>
      <c r="AD37" t="s">
        <v>874</v>
      </c>
      <c r="AE37" t="s">
        <v>875</v>
      </c>
      <c r="AF37" t="s">
        <v>74</v>
      </c>
      <c r="AG37">
        <v>38</v>
      </c>
      <c r="AH37">
        <v>13</v>
      </c>
      <c r="AI37">
        <v>13</v>
      </c>
      <c r="AJ37">
        <v>0</v>
      </c>
      <c r="AK37">
        <v>11</v>
      </c>
      <c r="AL37" t="s">
        <v>876</v>
      </c>
      <c r="AM37" t="s">
        <v>877</v>
      </c>
      <c r="AN37" t="s">
        <v>878</v>
      </c>
      <c r="AO37" t="s">
        <v>879</v>
      </c>
      <c r="AP37" t="s">
        <v>880</v>
      </c>
      <c r="AQ37" t="s">
        <v>74</v>
      </c>
      <c r="AR37" t="s">
        <v>881</v>
      </c>
      <c r="AS37" t="s">
        <v>882</v>
      </c>
      <c r="AT37" t="s">
        <v>98</v>
      </c>
      <c r="AU37">
        <v>2014</v>
      </c>
      <c r="AV37">
        <v>44</v>
      </c>
      <c r="AW37">
        <v>4</v>
      </c>
      <c r="AX37" t="s">
        <v>74</v>
      </c>
      <c r="AY37" t="s">
        <v>74</v>
      </c>
      <c r="AZ37" t="s">
        <v>74</v>
      </c>
      <c r="BA37" t="s">
        <v>74</v>
      </c>
      <c r="BB37">
        <v>1230</v>
      </c>
      <c r="BC37">
        <v>1243</v>
      </c>
      <c r="BD37" t="s">
        <v>74</v>
      </c>
      <c r="BE37" t="s">
        <v>883</v>
      </c>
      <c r="BF37" t="str">
        <f>HYPERLINK("http://dx.doi.org/10.1175/JPO-D-13-0180.1","http://dx.doi.org/10.1175/JPO-D-13-0180.1")</f>
        <v>http://dx.doi.org/10.1175/JPO-D-13-0180.1</v>
      </c>
      <c r="BG37" t="s">
        <v>74</v>
      </c>
      <c r="BH37" t="s">
        <v>74</v>
      </c>
      <c r="BI37">
        <v>14</v>
      </c>
      <c r="BJ37" t="s">
        <v>785</v>
      </c>
      <c r="BK37" t="s">
        <v>101</v>
      </c>
      <c r="BL37" t="s">
        <v>785</v>
      </c>
      <c r="BM37" t="s">
        <v>884</v>
      </c>
      <c r="BN37" t="s">
        <v>74</v>
      </c>
      <c r="BO37" t="s">
        <v>787</v>
      </c>
      <c r="BP37" t="s">
        <v>74</v>
      </c>
      <c r="BQ37" t="s">
        <v>74</v>
      </c>
      <c r="BR37" t="s">
        <v>104</v>
      </c>
      <c r="BS37" t="s">
        <v>885</v>
      </c>
      <c r="BT37" t="str">
        <f>HYPERLINK("https%3A%2F%2Fwww.webofscience.com%2Fwos%2Fwoscc%2Ffull-record%2FWOS:000334128200010","View Full Record in Web of Science")</f>
        <v>View Full Record in Web of Science</v>
      </c>
    </row>
    <row r="38" spans="1:72" x14ac:dyDescent="0.15">
      <c r="A38" t="s">
        <v>72</v>
      </c>
      <c r="B38" t="s">
        <v>886</v>
      </c>
      <c r="C38" t="s">
        <v>74</v>
      </c>
      <c r="D38" t="s">
        <v>74</v>
      </c>
      <c r="E38" t="s">
        <v>74</v>
      </c>
      <c r="F38" t="s">
        <v>887</v>
      </c>
      <c r="G38" t="s">
        <v>74</v>
      </c>
      <c r="H38" t="s">
        <v>74</v>
      </c>
      <c r="I38" t="s">
        <v>888</v>
      </c>
      <c r="J38" t="s">
        <v>889</v>
      </c>
      <c r="K38" t="s">
        <v>74</v>
      </c>
      <c r="L38" t="s">
        <v>74</v>
      </c>
      <c r="M38" t="s">
        <v>78</v>
      </c>
      <c r="N38" t="s">
        <v>79</v>
      </c>
      <c r="O38" t="s">
        <v>74</v>
      </c>
      <c r="P38" t="s">
        <v>74</v>
      </c>
      <c r="Q38" t="s">
        <v>74</v>
      </c>
      <c r="R38" t="s">
        <v>74</v>
      </c>
      <c r="S38" t="s">
        <v>74</v>
      </c>
      <c r="T38" t="s">
        <v>890</v>
      </c>
      <c r="U38" t="s">
        <v>891</v>
      </c>
      <c r="V38" t="s">
        <v>892</v>
      </c>
      <c r="W38" t="s">
        <v>893</v>
      </c>
      <c r="X38" t="s">
        <v>894</v>
      </c>
      <c r="Y38" t="s">
        <v>895</v>
      </c>
      <c r="Z38" t="s">
        <v>896</v>
      </c>
      <c r="AA38" t="s">
        <v>897</v>
      </c>
      <c r="AB38" t="s">
        <v>898</v>
      </c>
      <c r="AC38" t="s">
        <v>899</v>
      </c>
      <c r="AD38" t="s">
        <v>900</v>
      </c>
      <c r="AE38" t="s">
        <v>901</v>
      </c>
      <c r="AF38" t="s">
        <v>74</v>
      </c>
      <c r="AG38">
        <v>79</v>
      </c>
      <c r="AH38">
        <v>34</v>
      </c>
      <c r="AI38">
        <v>35</v>
      </c>
      <c r="AJ38">
        <v>1</v>
      </c>
      <c r="AK38">
        <v>42</v>
      </c>
      <c r="AL38" t="s">
        <v>902</v>
      </c>
      <c r="AM38" t="s">
        <v>653</v>
      </c>
      <c r="AN38" t="s">
        <v>903</v>
      </c>
      <c r="AO38" t="s">
        <v>904</v>
      </c>
      <c r="AP38" t="s">
        <v>905</v>
      </c>
      <c r="AQ38" t="s">
        <v>74</v>
      </c>
      <c r="AR38" t="s">
        <v>906</v>
      </c>
      <c r="AS38" t="s">
        <v>907</v>
      </c>
      <c r="AT38" t="s">
        <v>98</v>
      </c>
      <c r="AU38">
        <v>2014</v>
      </c>
      <c r="AV38">
        <v>88</v>
      </c>
      <c r="AW38" t="s">
        <v>74</v>
      </c>
      <c r="AX38" t="s">
        <v>74</v>
      </c>
      <c r="AY38" t="s">
        <v>74</v>
      </c>
      <c r="AZ38" t="s">
        <v>74</v>
      </c>
      <c r="BA38" t="s">
        <v>74</v>
      </c>
      <c r="BB38">
        <v>1</v>
      </c>
      <c r="BC38">
        <v>10</v>
      </c>
      <c r="BD38" t="s">
        <v>74</v>
      </c>
      <c r="BE38" t="s">
        <v>908</v>
      </c>
      <c r="BF38" t="str">
        <f>HYPERLINK("http://dx.doi.org/10.1016/j.seares.2013.12.011","http://dx.doi.org/10.1016/j.seares.2013.12.011")</f>
        <v>http://dx.doi.org/10.1016/j.seares.2013.12.011</v>
      </c>
      <c r="BG38" t="s">
        <v>74</v>
      </c>
      <c r="BH38" t="s">
        <v>74</v>
      </c>
      <c r="BI38">
        <v>10</v>
      </c>
      <c r="BJ38" t="s">
        <v>909</v>
      </c>
      <c r="BK38" t="s">
        <v>101</v>
      </c>
      <c r="BL38" t="s">
        <v>909</v>
      </c>
      <c r="BM38" t="s">
        <v>910</v>
      </c>
      <c r="BN38" t="s">
        <v>74</v>
      </c>
      <c r="BO38" t="s">
        <v>74</v>
      </c>
      <c r="BP38" t="s">
        <v>74</v>
      </c>
      <c r="BQ38" t="s">
        <v>74</v>
      </c>
      <c r="BR38" t="s">
        <v>104</v>
      </c>
      <c r="BS38" t="s">
        <v>911</v>
      </c>
      <c r="BT38" t="str">
        <f>HYPERLINK("https%3A%2F%2Fwww.webofscience.com%2Fwos%2Fwoscc%2Ffull-record%2FWOS:000335871900001","View Full Record in Web of Science")</f>
        <v>View Full Record in Web of Science</v>
      </c>
    </row>
    <row r="39" spans="1:72" x14ac:dyDescent="0.15">
      <c r="A39" t="s">
        <v>72</v>
      </c>
      <c r="B39" t="s">
        <v>912</v>
      </c>
      <c r="C39" t="s">
        <v>74</v>
      </c>
      <c r="D39" t="s">
        <v>74</v>
      </c>
      <c r="E39" t="s">
        <v>74</v>
      </c>
      <c r="F39" t="s">
        <v>913</v>
      </c>
      <c r="G39" t="s">
        <v>74</v>
      </c>
      <c r="H39" t="s">
        <v>74</v>
      </c>
      <c r="I39" t="s">
        <v>914</v>
      </c>
      <c r="J39" t="s">
        <v>889</v>
      </c>
      <c r="K39" t="s">
        <v>74</v>
      </c>
      <c r="L39" t="s">
        <v>74</v>
      </c>
      <c r="M39" t="s">
        <v>78</v>
      </c>
      <c r="N39" t="s">
        <v>79</v>
      </c>
      <c r="O39" t="s">
        <v>74</v>
      </c>
      <c r="P39" t="s">
        <v>74</v>
      </c>
      <c r="Q39" t="s">
        <v>74</v>
      </c>
      <c r="R39" t="s">
        <v>74</v>
      </c>
      <c r="S39" t="s">
        <v>74</v>
      </c>
      <c r="T39" t="s">
        <v>915</v>
      </c>
      <c r="U39" t="s">
        <v>916</v>
      </c>
      <c r="V39" t="s">
        <v>917</v>
      </c>
      <c r="W39" t="s">
        <v>918</v>
      </c>
      <c r="X39" t="s">
        <v>919</v>
      </c>
      <c r="Y39" t="s">
        <v>920</v>
      </c>
      <c r="Z39" t="s">
        <v>921</v>
      </c>
      <c r="AA39" t="s">
        <v>922</v>
      </c>
      <c r="AB39" t="s">
        <v>923</v>
      </c>
      <c r="AC39" t="s">
        <v>924</v>
      </c>
      <c r="AD39" t="s">
        <v>925</v>
      </c>
      <c r="AE39" t="s">
        <v>926</v>
      </c>
      <c r="AF39" t="s">
        <v>74</v>
      </c>
      <c r="AG39">
        <v>97</v>
      </c>
      <c r="AH39">
        <v>7</v>
      </c>
      <c r="AI39">
        <v>7</v>
      </c>
      <c r="AJ39">
        <v>0</v>
      </c>
      <c r="AK39">
        <v>18</v>
      </c>
      <c r="AL39" t="s">
        <v>652</v>
      </c>
      <c r="AM39" t="s">
        <v>653</v>
      </c>
      <c r="AN39" t="s">
        <v>654</v>
      </c>
      <c r="AO39" t="s">
        <v>904</v>
      </c>
      <c r="AP39" t="s">
        <v>905</v>
      </c>
      <c r="AQ39" t="s">
        <v>74</v>
      </c>
      <c r="AR39" t="s">
        <v>906</v>
      </c>
      <c r="AS39" t="s">
        <v>907</v>
      </c>
      <c r="AT39" t="s">
        <v>98</v>
      </c>
      <c r="AU39">
        <v>2014</v>
      </c>
      <c r="AV39">
        <v>88</v>
      </c>
      <c r="AW39" t="s">
        <v>74</v>
      </c>
      <c r="AX39" t="s">
        <v>74</v>
      </c>
      <c r="AY39" t="s">
        <v>74</v>
      </c>
      <c r="AZ39" t="s">
        <v>74</v>
      </c>
      <c r="BA39" t="s">
        <v>74</v>
      </c>
      <c r="BB39">
        <v>11</v>
      </c>
      <c r="BC39">
        <v>20</v>
      </c>
      <c r="BD39" t="s">
        <v>74</v>
      </c>
      <c r="BE39" t="s">
        <v>927</v>
      </c>
      <c r="BF39" t="str">
        <f>HYPERLINK("http://dx.doi.org/10.1016/j.seares.2013.12.008","http://dx.doi.org/10.1016/j.seares.2013.12.008")</f>
        <v>http://dx.doi.org/10.1016/j.seares.2013.12.008</v>
      </c>
      <c r="BG39" t="s">
        <v>74</v>
      </c>
      <c r="BH39" t="s">
        <v>74</v>
      </c>
      <c r="BI39">
        <v>10</v>
      </c>
      <c r="BJ39" t="s">
        <v>909</v>
      </c>
      <c r="BK39" t="s">
        <v>101</v>
      </c>
      <c r="BL39" t="s">
        <v>909</v>
      </c>
      <c r="BM39" t="s">
        <v>910</v>
      </c>
      <c r="BN39" t="s">
        <v>74</v>
      </c>
      <c r="BO39" t="s">
        <v>252</v>
      </c>
      <c r="BP39" t="s">
        <v>74</v>
      </c>
      <c r="BQ39" t="s">
        <v>74</v>
      </c>
      <c r="BR39" t="s">
        <v>104</v>
      </c>
      <c r="BS39" t="s">
        <v>928</v>
      </c>
      <c r="BT39" t="str">
        <f>HYPERLINK("https%3A%2F%2Fwww.webofscience.com%2Fwos%2Fwoscc%2Ffull-record%2FWOS:000335871900002","View Full Record in Web of Science")</f>
        <v>View Full Record in Web of Science</v>
      </c>
    </row>
    <row r="40" spans="1:72" x14ac:dyDescent="0.15">
      <c r="A40" t="s">
        <v>72</v>
      </c>
      <c r="B40" t="s">
        <v>929</v>
      </c>
      <c r="C40" t="s">
        <v>74</v>
      </c>
      <c r="D40" t="s">
        <v>74</v>
      </c>
      <c r="E40" t="s">
        <v>74</v>
      </c>
      <c r="F40" t="s">
        <v>930</v>
      </c>
      <c r="G40" t="s">
        <v>74</v>
      </c>
      <c r="H40" t="s">
        <v>74</v>
      </c>
      <c r="I40" t="s">
        <v>931</v>
      </c>
      <c r="J40" t="s">
        <v>932</v>
      </c>
      <c r="K40" t="s">
        <v>74</v>
      </c>
      <c r="L40" t="s">
        <v>74</v>
      </c>
      <c r="M40" t="s">
        <v>78</v>
      </c>
      <c r="N40" t="s">
        <v>933</v>
      </c>
      <c r="O40" t="s">
        <v>74</v>
      </c>
      <c r="P40" t="s">
        <v>74</v>
      </c>
      <c r="Q40" t="s">
        <v>74</v>
      </c>
      <c r="R40" t="s">
        <v>74</v>
      </c>
      <c r="S40" t="s">
        <v>74</v>
      </c>
      <c r="T40" t="s">
        <v>934</v>
      </c>
      <c r="U40" t="s">
        <v>935</v>
      </c>
      <c r="V40" t="s">
        <v>936</v>
      </c>
      <c r="W40" t="s">
        <v>937</v>
      </c>
      <c r="X40" t="s">
        <v>938</v>
      </c>
      <c r="Y40" t="s">
        <v>939</v>
      </c>
      <c r="Z40" t="s">
        <v>940</v>
      </c>
      <c r="AA40" t="s">
        <v>941</v>
      </c>
      <c r="AB40" t="s">
        <v>942</v>
      </c>
      <c r="AC40" t="s">
        <v>943</v>
      </c>
      <c r="AD40" t="s">
        <v>944</v>
      </c>
      <c r="AE40" t="s">
        <v>945</v>
      </c>
      <c r="AF40" t="s">
        <v>74</v>
      </c>
      <c r="AG40">
        <v>194</v>
      </c>
      <c r="AH40">
        <v>74</v>
      </c>
      <c r="AI40">
        <v>83</v>
      </c>
      <c r="AJ40">
        <v>2</v>
      </c>
      <c r="AK40">
        <v>73</v>
      </c>
      <c r="AL40" t="s">
        <v>946</v>
      </c>
      <c r="AM40" t="s">
        <v>522</v>
      </c>
      <c r="AN40" t="s">
        <v>947</v>
      </c>
      <c r="AO40" t="s">
        <v>948</v>
      </c>
      <c r="AP40" t="s">
        <v>74</v>
      </c>
      <c r="AQ40" t="s">
        <v>74</v>
      </c>
      <c r="AR40" t="s">
        <v>949</v>
      </c>
      <c r="AS40" t="s">
        <v>950</v>
      </c>
      <c r="AT40" t="s">
        <v>98</v>
      </c>
      <c r="AU40">
        <v>2014</v>
      </c>
      <c r="AV40">
        <v>61</v>
      </c>
      <c r="AW40" t="s">
        <v>74</v>
      </c>
      <c r="AX40" t="s">
        <v>74</v>
      </c>
      <c r="AY40" t="s">
        <v>74</v>
      </c>
      <c r="AZ40" t="s">
        <v>660</v>
      </c>
      <c r="BA40" t="s">
        <v>74</v>
      </c>
      <c r="BB40">
        <v>2</v>
      </c>
      <c r="BC40">
        <v>20</v>
      </c>
      <c r="BD40" t="s">
        <v>74</v>
      </c>
      <c r="BE40" t="s">
        <v>951</v>
      </c>
      <c r="BF40" t="str">
        <f>HYPERLINK("http://dx.doi.org/10.1016/j.jsg.2013.09.010","http://dx.doi.org/10.1016/j.jsg.2013.09.010")</f>
        <v>http://dx.doi.org/10.1016/j.jsg.2013.09.010</v>
      </c>
      <c r="BG40" t="s">
        <v>74</v>
      </c>
      <c r="BH40" t="s">
        <v>74</v>
      </c>
      <c r="BI40">
        <v>19</v>
      </c>
      <c r="BJ40" t="s">
        <v>952</v>
      </c>
      <c r="BK40" t="s">
        <v>101</v>
      </c>
      <c r="BL40" t="s">
        <v>597</v>
      </c>
      <c r="BM40" t="s">
        <v>953</v>
      </c>
      <c r="BN40" t="s">
        <v>74</v>
      </c>
      <c r="BO40" t="s">
        <v>270</v>
      </c>
      <c r="BP40" t="s">
        <v>74</v>
      </c>
      <c r="BQ40" t="s">
        <v>74</v>
      </c>
      <c r="BR40" t="s">
        <v>104</v>
      </c>
      <c r="BS40" t="s">
        <v>954</v>
      </c>
      <c r="BT40" t="str">
        <f>HYPERLINK("https%3A%2F%2Fwww.webofscience.com%2Fwos%2Fwoscc%2Ffull-record%2FWOS:000334482200002","View Full Record in Web of Science")</f>
        <v>View Full Record in Web of Science</v>
      </c>
    </row>
    <row r="41" spans="1:72" x14ac:dyDescent="0.15">
      <c r="A41" t="s">
        <v>72</v>
      </c>
      <c r="B41" t="s">
        <v>955</v>
      </c>
      <c r="C41" t="s">
        <v>74</v>
      </c>
      <c r="D41" t="s">
        <v>74</v>
      </c>
      <c r="E41" t="s">
        <v>74</v>
      </c>
      <c r="F41" t="s">
        <v>956</v>
      </c>
      <c r="G41" t="s">
        <v>74</v>
      </c>
      <c r="H41" t="s">
        <v>74</v>
      </c>
      <c r="I41" t="s">
        <v>957</v>
      </c>
      <c r="J41" t="s">
        <v>958</v>
      </c>
      <c r="K41" t="s">
        <v>74</v>
      </c>
      <c r="L41" t="s">
        <v>74</v>
      </c>
      <c r="M41" t="s">
        <v>959</v>
      </c>
      <c r="N41" t="s">
        <v>79</v>
      </c>
      <c r="O41" t="s">
        <v>74</v>
      </c>
      <c r="P41" t="s">
        <v>74</v>
      </c>
      <c r="Q41" t="s">
        <v>74</v>
      </c>
      <c r="R41" t="s">
        <v>74</v>
      </c>
      <c r="S41" t="s">
        <v>74</v>
      </c>
      <c r="T41" t="s">
        <v>960</v>
      </c>
      <c r="U41" t="s">
        <v>961</v>
      </c>
      <c r="V41" t="s">
        <v>962</v>
      </c>
      <c r="W41" t="s">
        <v>963</v>
      </c>
      <c r="X41" t="s">
        <v>964</v>
      </c>
      <c r="Y41" t="s">
        <v>965</v>
      </c>
      <c r="Z41" t="s">
        <v>966</v>
      </c>
      <c r="AA41" t="s">
        <v>74</v>
      </c>
      <c r="AB41" t="s">
        <v>74</v>
      </c>
      <c r="AC41" t="s">
        <v>74</v>
      </c>
      <c r="AD41" t="s">
        <v>74</v>
      </c>
      <c r="AE41" t="s">
        <v>74</v>
      </c>
      <c r="AF41" t="s">
        <v>74</v>
      </c>
      <c r="AG41">
        <v>100</v>
      </c>
      <c r="AH41">
        <v>0</v>
      </c>
      <c r="AI41">
        <v>0</v>
      </c>
      <c r="AJ41">
        <v>1</v>
      </c>
      <c r="AK41">
        <v>13</v>
      </c>
      <c r="AL41" t="s">
        <v>967</v>
      </c>
      <c r="AM41" t="s">
        <v>968</v>
      </c>
      <c r="AN41" t="s">
        <v>969</v>
      </c>
      <c r="AO41" t="s">
        <v>970</v>
      </c>
      <c r="AP41" t="s">
        <v>971</v>
      </c>
      <c r="AQ41" t="s">
        <v>74</v>
      </c>
      <c r="AR41" t="s">
        <v>972</v>
      </c>
      <c r="AS41" t="s">
        <v>973</v>
      </c>
      <c r="AT41" t="s">
        <v>98</v>
      </c>
      <c r="AU41">
        <v>2014</v>
      </c>
      <c r="AV41">
        <v>50</v>
      </c>
      <c r="AW41">
        <v>2</v>
      </c>
      <c r="AX41" t="s">
        <v>74</v>
      </c>
      <c r="AY41" t="s">
        <v>74</v>
      </c>
      <c r="AZ41" t="s">
        <v>74</v>
      </c>
      <c r="BA41" t="s">
        <v>74</v>
      </c>
      <c r="BB41">
        <v>277</v>
      </c>
      <c r="BC41">
        <v>292</v>
      </c>
      <c r="BD41" t="s">
        <v>74</v>
      </c>
      <c r="BE41" t="s">
        <v>974</v>
      </c>
      <c r="BF41" t="str">
        <f>HYPERLINK("http://dx.doi.org/10.14770/jgsk.2014.50.2.277","http://dx.doi.org/10.14770/jgsk.2014.50.2.277")</f>
        <v>http://dx.doi.org/10.14770/jgsk.2014.50.2.277</v>
      </c>
      <c r="BG41" t="s">
        <v>74</v>
      </c>
      <c r="BH41" t="s">
        <v>74</v>
      </c>
      <c r="BI41">
        <v>16</v>
      </c>
      <c r="BJ41" t="s">
        <v>952</v>
      </c>
      <c r="BK41" t="s">
        <v>975</v>
      </c>
      <c r="BL41" t="s">
        <v>597</v>
      </c>
      <c r="BM41" t="s">
        <v>976</v>
      </c>
      <c r="BN41" t="s">
        <v>74</v>
      </c>
      <c r="BO41" t="s">
        <v>74</v>
      </c>
      <c r="BP41" t="s">
        <v>74</v>
      </c>
      <c r="BQ41" t="s">
        <v>74</v>
      </c>
      <c r="BR41" t="s">
        <v>104</v>
      </c>
      <c r="BS41" t="s">
        <v>977</v>
      </c>
      <c r="BT41" t="str">
        <f>HYPERLINK("https%3A%2F%2Fwww.webofscience.com%2Fwos%2Fwoscc%2Ffull-record%2FWOS:000454030000007","View Full Record in Web of Science")</f>
        <v>View Full Record in Web of Science</v>
      </c>
    </row>
    <row r="42" spans="1:72" x14ac:dyDescent="0.15">
      <c r="A42" t="s">
        <v>72</v>
      </c>
      <c r="B42" t="s">
        <v>978</v>
      </c>
      <c r="C42" t="s">
        <v>74</v>
      </c>
      <c r="D42" t="s">
        <v>74</v>
      </c>
      <c r="E42" t="s">
        <v>74</v>
      </c>
      <c r="F42" t="s">
        <v>979</v>
      </c>
      <c r="G42" t="s">
        <v>74</v>
      </c>
      <c r="H42" t="s">
        <v>74</v>
      </c>
      <c r="I42" t="s">
        <v>980</v>
      </c>
      <c r="J42" t="s">
        <v>981</v>
      </c>
      <c r="K42" t="s">
        <v>74</v>
      </c>
      <c r="L42" t="s">
        <v>74</v>
      </c>
      <c r="M42" t="s">
        <v>78</v>
      </c>
      <c r="N42" t="s">
        <v>79</v>
      </c>
      <c r="O42" t="s">
        <v>74</v>
      </c>
      <c r="P42" t="s">
        <v>74</v>
      </c>
      <c r="Q42" t="s">
        <v>74</v>
      </c>
      <c r="R42" t="s">
        <v>74</v>
      </c>
      <c r="S42" t="s">
        <v>74</v>
      </c>
      <c r="T42" t="s">
        <v>982</v>
      </c>
      <c r="U42" t="s">
        <v>983</v>
      </c>
      <c r="V42" t="s">
        <v>984</v>
      </c>
      <c r="W42" t="s">
        <v>985</v>
      </c>
      <c r="X42" t="s">
        <v>986</v>
      </c>
      <c r="Y42" t="s">
        <v>987</v>
      </c>
      <c r="Z42" t="s">
        <v>988</v>
      </c>
      <c r="AA42" t="s">
        <v>989</v>
      </c>
      <c r="AB42" t="s">
        <v>990</v>
      </c>
      <c r="AC42" t="s">
        <v>991</v>
      </c>
      <c r="AD42" t="s">
        <v>992</v>
      </c>
      <c r="AE42" t="s">
        <v>993</v>
      </c>
      <c r="AF42" t="s">
        <v>74</v>
      </c>
      <c r="AG42">
        <v>40</v>
      </c>
      <c r="AH42">
        <v>57</v>
      </c>
      <c r="AI42">
        <v>58</v>
      </c>
      <c r="AJ42">
        <v>0</v>
      </c>
      <c r="AK42">
        <v>69</v>
      </c>
      <c r="AL42" t="s">
        <v>994</v>
      </c>
      <c r="AM42" t="s">
        <v>995</v>
      </c>
      <c r="AN42" t="s">
        <v>996</v>
      </c>
      <c r="AO42" t="s">
        <v>997</v>
      </c>
      <c r="AP42" t="s">
        <v>998</v>
      </c>
      <c r="AQ42" t="s">
        <v>74</v>
      </c>
      <c r="AR42" t="s">
        <v>999</v>
      </c>
      <c r="AS42" t="s">
        <v>1000</v>
      </c>
      <c r="AT42" t="s">
        <v>98</v>
      </c>
      <c r="AU42">
        <v>2014</v>
      </c>
      <c r="AV42">
        <v>50</v>
      </c>
      <c r="AW42">
        <v>2</v>
      </c>
      <c r="AX42" t="s">
        <v>74</v>
      </c>
      <c r="AY42" t="s">
        <v>74</v>
      </c>
      <c r="AZ42" t="s">
        <v>74</v>
      </c>
      <c r="BA42" t="s">
        <v>74</v>
      </c>
      <c r="BB42">
        <v>288</v>
      </c>
      <c r="BC42">
        <v>296</v>
      </c>
      <c r="BD42" t="s">
        <v>74</v>
      </c>
      <c r="BE42" t="s">
        <v>1001</v>
      </c>
      <c r="BF42" t="str">
        <f>HYPERLINK("http://dx.doi.org/10.7589/2013-05-121","http://dx.doi.org/10.7589/2013-05-121")</f>
        <v>http://dx.doi.org/10.7589/2013-05-121</v>
      </c>
      <c r="BG42" t="s">
        <v>74</v>
      </c>
      <c r="BH42" t="s">
        <v>74</v>
      </c>
      <c r="BI42">
        <v>9</v>
      </c>
      <c r="BJ42" t="s">
        <v>1002</v>
      </c>
      <c r="BK42" t="s">
        <v>101</v>
      </c>
      <c r="BL42" t="s">
        <v>1002</v>
      </c>
      <c r="BM42" t="s">
        <v>1003</v>
      </c>
      <c r="BN42">
        <v>24484492</v>
      </c>
      <c r="BO42" t="s">
        <v>200</v>
      </c>
      <c r="BP42" t="s">
        <v>74</v>
      </c>
      <c r="BQ42" t="s">
        <v>74</v>
      </c>
      <c r="BR42" t="s">
        <v>104</v>
      </c>
      <c r="BS42" t="s">
        <v>1004</v>
      </c>
      <c r="BT42" t="str">
        <f>HYPERLINK("https%3A%2F%2Fwww.webofscience.com%2Fwos%2Fwoscc%2Ffull-record%2FWOS:000336237900015","View Full Record in Web of Science")</f>
        <v>View Full Record in Web of Science</v>
      </c>
    </row>
    <row r="43" spans="1:72" x14ac:dyDescent="0.15">
      <c r="A43" t="s">
        <v>72</v>
      </c>
      <c r="B43" t="s">
        <v>1005</v>
      </c>
      <c r="C43" t="s">
        <v>74</v>
      </c>
      <c r="D43" t="s">
        <v>74</v>
      </c>
      <c r="E43" t="s">
        <v>74</v>
      </c>
      <c r="F43" t="s">
        <v>1006</v>
      </c>
      <c r="G43" t="s">
        <v>74</v>
      </c>
      <c r="H43" t="s">
        <v>74</v>
      </c>
      <c r="I43" t="s">
        <v>1007</v>
      </c>
      <c r="J43" t="s">
        <v>1008</v>
      </c>
      <c r="K43" t="s">
        <v>74</v>
      </c>
      <c r="L43" t="s">
        <v>74</v>
      </c>
      <c r="M43" t="s">
        <v>78</v>
      </c>
      <c r="N43" t="s">
        <v>79</v>
      </c>
      <c r="O43" t="s">
        <v>74</v>
      </c>
      <c r="P43" t="s">
        <v>74</v>
      </c>
      <c r="Q43" t="s">
        <v>74</v>
      </c>
      <c r="R43" t="s">
        <v>74</v>
      </c>
      <c r="S43" t="s">
        <v>74</v>
      </c>
      <c r="T43" t="s">
        <v>74</v>
      </c>
      <c r="U43" t="s">
        <v>1009</v>
      </c>
      <c r="V43" t="s">
        <v>1010</v>
      </c>
      <c r="W43" t="s">
        <v>1011</v>
      </c>
      <c r="X43" t="s">
        <v>1012</v>
      </c>
      <c r="Y43" t="s">
        <v>1013</v>
      </c>
      <c r="Z43" t="s">
        <v>1014</v>
      </c>
      <c r="AA43" t="s">
        <v>1015</v>
      </c>
      <c r="AB43" t="s">
        <v>1016</v>
      </c>
      <c r="AC43" t="s">
        <v>1017</v>
      </c>
      <c r="AD43" t="s">
        <v>1018</v>
      </c>
      <c r="AE43" t="s">
        <v>1019</v>
      </c>
      <c r="AF43" t="s">
        <v>74</v>
      </c>
      <c r="AG43">
        <v>73</v>
      </c>
      <c r="AH43">
        <v>43</v>
      </c>
      <c r="AI43">
        <v>47</v>
      </c>
      <c r="AJ43">
        <v>1</v>
      </c>
      <c r="AK43">
        <v>50</v>
      </c>
      <c r="AL43" t="s">
        <v>1020</v>
      </c>
      <c r="AM43" t="s">
        <v>1021</v>
      </c>
      <c r="AN43" t="s">
        <v>1022</v>
      </c>
      <c r="AO43" t="s">
        <v>1023</v>
      </c>
      <c r="AP43" t="s">
        <v>1024</v>
      </c>
      <c r="AQ43" t="s">
        <v>74</v>
      </c>
      <c r="AR43" t="s">
        <v>1025</v>
      </c>
      <c r="AS43" t="s">
        <v>1026</v>
      </c>
      <c r="AT43" t="s">
        <v>98</v>
      </c>
      <c r="AU43">
        <v>2014</v>
      </c>
      <c r="AV43">
        <v>161</v>
      </c>
      <c r="AW43">
        <v>4</v>
      </c>
      <c r="AX43" t="s">
        <v>74</v>
      </c>
      <c r="AY43" t="s">
        <v>74</v>
      </c>
      <c r="AZ43" t="s">
        <v>74</v>
      </c>
      <c r="BA43" t="s">
        <v>74</v>
      </c>
      <c r="BB43">
        <v>925</v>
      </c>
      <c r="BC43">
        <v>937</v>
      </c>
      <c r="BD43" t="s">
        <v>74</v>
      </c>
      <c r="BE43" t="s">
        <v>1027</v>
      </c>
      <c r="BF43" t="str">
        <f>HYPERLINK("http://dx.doi.org/10.1007/s00227-014-2392-z","http://dx.doi.org/10.1007/s00227-014-2392-z")</f>
        <v>http://dx.doi.org/10.1007/s00227-014-2392-z</v>
      </c>
      <c r="BG43" t="s">
        <v>74</v>
      </c>
      <c r="BH43" t="s">
        <v>74</v>
      </c>
      <c r="BI43">
        <v>13</v>
      </c>
      <c r="BJ43" t="s">
        <v>1028</v>
      </c>
      <c r="BK43" t="s">
        <v>101</v>
      </c>
      <c r="BL43" t="s">
        <v>1028</v>
      </c>
      <c r="BM43" t="s">
        <v>1029</v>
      </c>
      <c r="BN43">
        <v>24719494</v>
      </c>
      <c r="BO43" t="s">
        <v>1030</v>
      </c>
      <c r="BP43" t="s">
        <v>74</v>
      </c>
      <c r="BQ43" t="s">
        <v>74</v>
      </c>
      <c r="BR43" t="s">
        <v>104</v>
      </c>
      <c r="BS43" t="s">
        <v>1031</v>
      </c>
      <c r="BT43" t="str">
        <f>HYPERLINK("https%3A%2F%2Fwww.webofscience.com%2Fwos%2Fwoscc%2Ffull-record%2FWOS:000333899500016","View Full Record in Web of Science")</f>
        <v>View Full Record in Web of Science</v>
      </c>
    </row>
    <row r="44" spans="1:72" x14ac:dyDescent="0.15">
      <c r="A44" t="s">
        <v>72</v>
      </c>
      <c r="B44" t="s">
        <v>1032</v>
      </c>
      <c r="C44" t="s">
        <v>74</v>
      </c>
      <c r="D44" t="s">
        <v>74</v>
      </c>
      <c r="E44" t="s">
        <v>74</v>
      </c>
      <c r="F44" t="s">
        <v>1033</v>
      </c>
      <c r="G44" t="s">
        <v>74</v>
      </c>
      <c r="H44" t="s">
        <v>74</v>
      </c>
      <c r="I44" t="s">
        <v>1034</v>
      </c>
      <c r="J44" t="s">
        <v>1035</v>
      </c>
      <c r="K44" t="s">
        <v>74</v>
      </c>
      <c r="L44" t="s">
        <v>74</v>
      </c>
      <c r="M44" t="s">
        <v>78</v>
      </c>
      <c r="N44" t="s">
        <v>79</v>
      </c>
      <c r="O44" t="s">
        <v>74</v>
      </c>
      <c r="P44" t="s">
        <v>74</v>
      </c>
      <c r="Q44" t="s">
        <v>74</v>
      </c>
      <c r="R44" t="s">
        <v>74</v>
      </c>
      <c r="S44" t="s">
        <v>74</v>
      </c>
      <c r="T44" t="s">
        <v>1036</v>
      </c>
      <c r="U44" t="s">
        <v>1037</v>
      </c>
      <c r="V44" t="s">
        <v>1038</v>
      </c>
      <c r="W44" t="s">
        <v>1039</v>
      </c>
      <c r="X44" t="s">
        <v>1040</v>
      </c>
      <c r="Y44" t="s">
        <v>1041</v>
      </c>
      <c r="Z44" t="s">
        <v>1042</v>
      </c>
      <c r="AA44" t="s">
        <v>1043</v>
      </c>
      <c r="AB44" t="s">
        <v>1044</v>
      </c>
      <c r="AC44" t="s">
        <v>1045</v>
      </c>
      <c r="AD44" t="s">
        <v>1046</v>
      </c>
      <c r="AE44" t="s">
        <v>1047</v>
      </c>
      <c r="AF44" t="s">
        <v>74</v>
      </c>
      <c r="AG44">
        <v>87</v>
      </c>
      <c r="AH44">
        <v>54</v>
      </c>
      <c r="AI44">
        <v>57</v>
      </c>
      <c r="AJ44">
        <v>0</v>
      </c>
      <c r="AK44">
        <v>11</v>
      </c>
      <c r="AL44" t="s">
        <v>1048</v>
      </c>
      <c r="AM44" t="s">
        <v>522</v>
      </c>
      <c r="AN44" t="s">
        <v>1049</v>
      </c>
      <c r="AO44" t="s">
        <v>1050</v>
      </c>
      <c r="AP44" t="s">
        <v>1051</v>
      </c>
      <c r="AQ44" t="s">
        <v>74</v>
      </c>
      <c r="AR44" t="s">
        <v>1052</v>
      </c>
      <c r="AS44" t="s">
        <v>1053</v>
      </c>
      <c r="AT44" t="s">
        <v>98</v>
      </c>
      <c r="AU44">
        <v>2014</v>
      </c>
      <c r="AV44">
        <v>439</v>
      </c>
      <c r="AW44">
        <v>4</v>
      </c>
      <c r="AX44" t="s">
        <v>74</v>
      </c>
      <c r="AY44" t="s">
        <v>74</v>
      </c>
      <c r="AZ44" t="s">
        <v>74</v>
      </c>
      <c r="BA44" t="s">
        <v>74</v>
      </c>
      <c r="BB44">
        <v>3329</v>
      </c>
      <c r="BC44">
        <v>3341</v>
      </c>
      <c r="BD44" t="s">
        <v>74</v>
      </c>
      <c r="BE44" t="s">
        <v>1054</v>
      </c>
      <c r="BF44" t="str">
        <f>HYPERLINK("http://dx.doi.org/10.1093/mnras/stu166","http://dx.doi.org/10.1093/mnras/stu166")</f>
        <v>http://dx.doi.org/10.1093/mnras/stu166</v>
      </c>
      <c r="BG44" t="s">
        <v>74</v>
      </c>
      <c r="BH44" t="s">
        <v>74</v>
      </c>
      <c r="BI44">
        <v>13</v>
      </c>
      <c r="BJ44" t="s">
        <v>332</v>
      </c>
      <c r="BK44" t="s">
        <v>101</v>
      </c>
      <c r="BL44" t="s">
        <v>332</v>
      </c>
      <c r="BM44" t="s">
        <v>1055</v>
      </c>
      <c r="BN44" t="s">
        <v>74</v>
      </c>
      <c r="BO44" t="s">
        <v>1056</v>
      </c>
      <c r="BP44" t="s">
        <v>74</v>
      </c>
      <c r="BQ44" t="s">
        <v>74</v>
      </c>
      <c r="BR44" t="s">
        <v>104</v>
      </c>
      <c r="BS44" t="s">
        <v>1057</v>
      </c>
      <c r="BT44" t="str">
        <f>HYPERLINK("https%3A%2F%2Fwww.webofscience.com%2Fwos%2Fwoscc%2Ffull-record%2FWOS:000334115400011","View Full Record in Web of Science")</f>
        <v>View Full Record in Web of Science</v>
      </c>
    </row>
    <row r="45" spans="1:72" x14ac:dyDescent="0.15">
      <c r="A45" t="s">
        <v>72</v>
      </c>
      <c r="B45" t="s">
        <v>1058</v>
      </c>
      <c r="C45" t="s">
        <v>74</v>
      </c>
      <c r="D45" t="s">
        <v>74</v>
      </c>
      <c r="E45" t="s">
        <v>74</v>
      </c>
      <c r="F45" t="s">
        <v>1059</v>
      </c>
      <c r="G45" t="s">
        <v>74</v>
      </c>
      <c r="H45" t="s">
        <v>74</v>
      </c>
      <c r="I45" t="s">
        <v>1060</v>
      </c>
      <c r="J45" t="s">
        <v>1061</v>
      </c>
      <c r="K45" t="s">
        <v>74</v>
      </c>
      <c r="L45" t="s">
        <v>74</v>
      </c>
      <c r="M45" t="s">
        <v>78</v>
      </c>
      <c r="N45" t="s">
        <v>79</v>
      </c>
      <c r="O45" t="s">
        <v>74</v>
      </c>
      <c r="P45" t="s">
        <v>74</v>
      </c>
      <c r="Q45" t="s">
        <v>74</v>
      </c>
      <c r="R45" t="s">
        <v>74</v>
      </c>
      <c r="S45" t="s">
        <v>74</v>
      </c>
      <c r="T45" t="s">
        <v>74</v>
      </c>
      <c r="U45" t="s">
        <v>1062</v>
      </c>
      <c r="V45" t="s">
        <v>1063</v>
      </c>
      <c r="W45" t="s">
        <v>1064</v>
      </c>
      <c r="X45" t="s">
        <v>1065</v>
      </c>
      <c r="Y45" t="s">
        <v>1066</v>
      </c>
      <c r="Z45" t="s">
        <v>1067</v>
      </c>
      <c r="AA45" t="s">
        <v>1068</v>
      </c>
      <c r="AB45" t="s">
        <v>1069</v>
      </c>
      <c r="AC45" t="s">
        <v>1070</v>
      </c>
      <c r="AD45" t="s">
        <v>1071</v>
      </c>
      <c r="AE45" t="s">
        <v>1072</v>
      </c>
      <c r="AF45" t="s">
        <v>74</v>
      </c>
      <c r="AG45">
        <v>30</v>
      </c>
      <c r="AH45">
        <v>211</v>
      </c>
      <c r="AI45">
        <v>225</v>
      </c>
      <c r="AJ45">
        <v>0</v>
      </c>
      <c r="AK45">
        <v>63</v>
      </c>
      <c r="AL45" t="s">
        <v>1073</v>
      </c>
      <c r="AM45" t="s">
        <v>704</v>
      </c>
      <c r="AN45" t="s">
        <v>1074</v>
      </c>
      <c r="AO45" t="s">
        <v>1075</v>
      </c>
      <c r="AP45" t="s">
        <v>1076</v>
      </c>
      <c r="AQ45" t="s">
        <v>74</v>
      </c>
      <c r="AR45" t="s">
        <v>1077</v>
      </c>
      <c r="AS45" t="s">
        <v>1078</v>
      </c>
      <c r="AT45" t="s">
        <v>98</v>
      </c>
      <c r="AU45">
        <v>2014</v>
      </c>
      <c r="AV45">
        <v>4</v>
      </c>
      <c r="AW45">
        <v>4</v>
      </c>
      <c r="AX45" t="s">
        <v>74</v>
      </c>
      <c r="AY45" t="s">
        <v>74</v>
      </c>
      <c r="AZ45" t="s">
        <v>74</v>
      </c>
      <c r="BA45" t="s">
        <v>74</v>
      </c>
      <c r="BB45">
        <v>278</v>
      </c>
      <c r="BC45">
        <v>282</v>
      </c>
      <c r="BD45" t="s">
        <v>74</v>
      </c>
      <c r="BE45" t="s">
        <v>1079</v>
      </c>
      <c r="BF45" t="str">
        <f>HYPERLINK("http://dx.doi.org/10.1038/NCLIMATE2132","http://dx.doi.org/10.1038/NCLIMATE2132")</f>
        <v>http://dx.doi.org/10.1038/NCLIMATE2132</v>
      </c>
      <c r="BG45" t="s">
        <v>74</v>
      </c>
      <c r="BH45" t="s">
        <v>74</v>
      </c>
      <c r="BI45">
        <v>5</v>
      </c>
      <c r="BJ45" t="s">
        <v>1080</v>
      </c>
      <c r="BK45" t="s">
        <v>479</v>
      </c>
      <c r="BL45" t="s">
        <v>1081</v>
      </c>
      <c r="BM45" t="s">
        <v>1082</v>
      </c>
      <c r="BN45" t="s">
        <v>74</v>
      </c>
      <c r="BO45" t="s">
        <v>270</v>
      </c>
      <c r="BP45" t="s">
        <v>74</v>
      </c>
      <c r="BQ45" t="s">
        <v>74</v>
      </c>
      <c r="BR45" t="s">
        <v>104</v>
      </c>
      <c r="BS45" t="s">
        <v>1083</v>
      </c>
      <c r="BT45" t="str">
        <f>HYPERLINK("https%3A%2F%2Fwww.webofscience.com%2Fwos%2Fwoscc%2Ffull-record%2FWOS:000333669600021","View Full Record in Web of Science")</f>
        <v>View Full Record in Web of Science</v>
      </c>
    </row>
    <row r="46" spans="1:72" x14ac:dyDescent="0.15">
      <c r="A46" t="s">
        <v>72</v>
      </c>
      <c r="B46" t="s">
        <v>1084</v>
      </c>
      <c r="C46" t="s">
        <v>74</v>
      </c>
      <c r="D46" t="s">
        <v>74</v>
      </c>
      <c r="E46" t="s">
        <v>74</v>
      </c>
      <c r="F46" t="s">
        <v>1085</v>
      </c>
      <c r="G46" t="s">
        <v>74</v>
      </c>
      <c r="H46" t="s">
        <v>74</v>
      </c>
      <c r="I46" t="s">
        <v>1086</v>
      </c>
      <c r="J46" t="s">
        <v>1087</v>
      </c>
      <c r="K46" t="s">
        <v>74</v>
      </c>
      <c r="L46" t="s">
        <v>74</v>
      </c>
      <c r="M46" t="s">
        <v>78</v>
      </c>
      <c r="N46" t="s">
        <v>79</v>
      </c>
      <c r="O46" t="s">
        <v>74</v>
      </c>
      <c r="P46" t="s">
        <v>74</v>
      </c>
      <c r="Q46" t="s">
        <v>74</v>
      </c>
      <c r="R46" t="s">
        <v>74</v>
      </c>
      <c r="S46" t="s">
        <v>74</v>
      </c>
      <c r="T46" t="s">
        <v>74</v>
      </c>
      <c r="U46" t="s">
        <v>1088</v>
      </c>
      <c r="V46" t="s">
        <v>1089</v>
      </c>
      <c r="W46" t="s">
        <v>1090</v>
      </c>
      <c r="X46" t="s">
        <v>1091</v>
      </c>
      <c r="Y46" t="s">
        <v>965</v>
      </c>
      <c r="Z46" t="s">
        <v>966</v>
      </c>
      <c r="AA46" t="s">
        <v>1092</v>
      </c>
      <c r="AB46" t="s">
        <v>74</v>
      </c>
      <c r="AC46" t="s">
        <v>1093</v>
      </c>
      <c r="AD46" t="s">
        <v>1094</v>
      </c>
      <c r="AE46" t="s">
        <v>1095</v>
      </c>
      <c r="AF46" t="s">
        <v>74</v>
      </c>
      <c r="AG46">
        <v>58</v>
      </c>
      <c r="AH46">
        <v>138</v>
      </c>
      <c r="AI46">
        <v>146</v>
      </c>
      <c r="AJ46">
        <v>0</v>
      </c>
      <c r="AK46">
        <v>53</v>
      </c>
      <c r="AL46" t="s">
        <v>1073</v>
      </c>
      <c r="AM46" t="s">
        <v>704</v>
      </c>
      <c r="AN46" t="s">
        <v>1074</v>
      </c>
      <c r="AO46" t="s">
        <v>1096</v>
      </c>
      <c r="AP46" t="s">
        <v>74</v>
      </c>
      <c r="AQ46" t="s">
        <v>74</v>
      </c>
      <c r="AR46" t="s">
        <v>1097</v>
      </c>
      <c r="AS46" t="s">
        <v>1098</v>
      </c>
      <c r="AT46" t="s">
        <v>98</v>
      </c>
      <c r="AU46">
        <v>2014</v>
      </c>
      <c r="AV46">
        <v>5</v>
      </c>
      <c r="AW46" t="s">
        <v>74</v>
      </c>
      <c r="AX46" t="s">
        <v>74</v>
      </c>
      <c r="AY46" t="s">
        <v>74</v>
      </c>
      <c r="AZ46" t="s">
        <v>74</v>
      </c>
      <c r="BA46" t="s">
        <v>74</v>
      </c>
      <c r="BB46" t="s">
        <v>74</v>
      </c>
      <c r="BC46" t="s">
        <v>74</v>
      </c>
      <c r="BD46">
        <v>3723</v>
      </c>
      <c r="BE46" t="s">
        <v>1099</v>
      </c>
      <c r="BF46" t="str">
        <f>HYPERLINK("http://dx.doi.org/10.1038/ncomms4723","http://dx.doi.org/10.1038/ncomms4723")</f>
        <v>http://dx.doi.org/10.1038/ncomms4723</v>
      </c>
      <c r="BG46" t="s">
        <v>74</v>
      </c>
      <c r="BH46" t="s">
        <v>74</v>
      </c>
      <c r="BI46">
        <v>6</v>
      </c>
      <c r="BJ46" t="s">
        <v>1100</v>
      </c>
      <c r="BK46" t="s">
        <v>101</v>
      </c>
      <c r="BL46" t="s">
        <v>1101</v>
      </c>
      <c r="BM46" t="s">
        <v>1102</v>
      </c>
      <c r="BN46">
        <v>24781344</v>
      </c>
      <c r="BO46" t="s">
        <v>1103</v>
      </c>
      <c r="BP46" t="s">
        <v>74</v>
      </c>
      <c r="BQ46" t="s">
        <v>74</v>
      </c>
      <c r="BR46" t="s">
        <v>104</v>
      </c>
      <c r="BS46" t="s">
        <v>1104</v>
      </c>
      <c r="BT46" t="str">
        <f>HYPERLINK("https%3A%2F%2Fwww.webofscience.com%2Fwos%2Fwoscc%2Ffull-record%2FWOS:000335223200010","View Full Record in Web of Science")</f>
        <v>View Full Record in Web of Science</v>
      </c>
    </row>
    <row r="47" spans="1:72" x14ac:dyDescent="0.15">
      <c r="A47" t="s">
        <v>72</v>
      </c>
      <c r="B47" t="s">
        <v>1105</v>
      </c>
      <c r="C47" t="s">
        <v>74</v>
      </c>
      <c r="D47" t="s">
        <v>74</v>
      </c>
      <c r="E47" t="s">
        <v>74</v>
      </c>
      <c r="F47" t="s">
        <v>1106</v>
      </c>
      <c r="G47" t="s">
        <v>74</v>
      </c>
      <c r="H47" t="s">
        <v>74</v>
      </c>
      <c r="I47" t="s">
        <v>1107</v>
      </c>
      <c r="J47" t="s">
        <v>1087</v>
      </c>
      <c r="K47" t="s">
        <v>74</v>
      </c>
      <c r="L47" t="s">
        <v>74</v>
      </c>
      <c r="M47" t="s">
        <v>78</v>
      </c>
      <c r="N47" t="s">
        <v>79</v>
      </c>
      <c r="O47" t="s">
        <v>74</v>
      </c>
      <c r="P47" t="s">
        <v>74</v>
      </c>
      <c r="Q47" t="s">
        <v>74</v>
      </c>
      <c r="R47" t="s">
        <v>74</v>
      </c>
      <c r="S47" t="s">
        <v>74</v>
      </c>
      <c r="T47" t="s">
        <v>74</v>
      </c>
      <c r="U47" t="s">
        <v>1108</v>
      </c>
      <c r="V47" t="s">
        <v>1109</v>
      </c>
      <c r="W47" t="s">
        <v>1110</v>
      </c>
      <c r="X47" t="s">
        <v>1111</v>
      </c>
      <c r="Y47" t="s">
        <v>1112</v>
      </c>
      <c r="Z47" t="s">
        <v>1113</v>
      </c>
      <c r="AA47" t="s">
        <v>1114</v>
      </c>
      <c r="AB47" t="s">
        <v>1115</v>
      </c>
      <c r="AC47" t="s">
        <v>1116</v>
      </c>
      <c r="AD47" t="s">
        <v>1117</v>
      </c>
      <c r="AE47" t="s">
        <v>1118</v>
      </c>
      <c r="AF47" t="s">
        <v>74</v>
      </c>
      <c r="AG47">
        <v>32</v>
      </c>
      <c r="AH47">
        <v>66</v>
      </c>
      <c r="AI47">
        <v>72</v>
      </c>
      <c r="AJ47">
        <v>3</v>
      </c>
      <c r="AK47">
        <v>33</v>
      </c>
      <c r="AL47" t="s">
        <v>1073</v>
      </c>
      <c r="AM47" t="s">
        <v>704</v>
      </c>
      <c r="AN47" t="s">
        <v>1074</v>
      </c>
      <c r="AO47" t="s">
        <v>1096</v>
      </c>
      <c r="AP47" t="s">
        <v>74</v>
      </c>
      <c r="AQ47" t="s">
        <v>74</v>
      </c>
      <c r="AR47" t="s">
        <v>1097</v>
      </c>
      <c r="AS47" t="s">
        <v>1098</v>
      </c>
      <c r="AT47" t="s">
        <v>98</v>
      </c>
      <c r="AU47">
        <v>2014</v>
      </c>
      <c r="AV47">
        <v>5</v>
      </c>
      <c r="AW47" t="s">
        <v>74</v>
      </c>
      <c r="AX47" t="s">
        <v>74</v>
      </c>
      <c r="AY47" t="s">
        <v>74</v>
      </c>
      <c r="AZ47" t="s">
        <v>74</v>
      </c>
      <c r="BA47" t="s">
        <v>74</v>
      </c>
      <c r="BB47" t="s">
        <v>74</v>
      </c>
      <c r="BC47" t="s">
        <v>74</v>
      </c>
      <c r="BD47">
        <v>3707</v>
      </c>
      <c r="BE47" t="s">
        <v>1119</v>
      </c>
      <c r="BF47" t="str">
        <f>HYPERLINK("http://dx.doi.org/10.1038/ncomms4707","http://dx.doi.org/10.1038/ncomms4707")</f>
        <v>http://dx.doi.org/10.1038/ncomms4707</v>
      </c>
      <c r="BG47" t="s">
        <v>74</v>
      </c>
      <c r="BH47" t="s">
        <v>74</v>
      </c>
      <c r="BI47">
        <v>7</v>
      </c>
      <c r="BJ47" t="s">
        <v>1100</v>
      </c>
      <c r="BK47" t="s">
        <v>101</v>
      </c>
      <c r="BL47" t="s">
        <v>1101</v>
      </c>
      <c r="BM47" t="s">
        <v>1120</v>
      </c>
      <c r="BN47">
        <v>24751641</v>
      </c>
      <c r="BO47" t="s">
        <v>1121</v>
      </c>
      <c r="BP47" t="s">
        <v>74</v>
      </c>
      <c r="BQ47" t="s">
        <v>74</v>
      </c>
      <c r="BR47" t="s">
        <v>104</v>
      </c>
      <c r="BS47" t="s">
        <v>1122</v>
      </c>
      <c r="BT47" t="str">
        <f>HYPERLINK("https%3A%2F%2Fwww.webofscience.com%2Fwos%2Fwoscc%2Ffull-record%2FWOS:000335378200001","View Full Record in Web of Science")</f>
        <v>View Full Record in Web of Science</v>
      </c>
    </row>
    <row r="48" spans="1:72" x14ac:dyDescent="0.15">
      <c r="A48" t="s">
        <v>72</v>
      </c>
      <c r="B48" t="s">
        <v>1123</v>
      </c>
      <c r="C48" t="s">
        <v>74</v>
      </c>
      <c r="D48" t="s">
        <v>74</v>
      </c>
      <c r="E48" t="s">
        <v>74</v>
      </c>
      <c r="F48" t="s">
        <v>1124</v>
      </c>
      <c r="G48" t="s">
        <v>74</v>
      </c>
      <c r="H48" t="s">
        <v>74</v>
      </c>
      <c r="I48" t="s">
        <v>1125</v>
      </c>
      <c r="J48" t="s">
        <v>1126</v>
      </c>
      <c r="K48" t="s">
        <v>74</v>
      </c>
      <c r="L48" t="s">
        <v>74</v>
      </c>
      <c r="M48" t="s">
        <v>78</v>
      </c>
      <c r="N48" t="s">
        <v>1127</v>
      </c>
      <c r="O48" t="s">
        <v>74</v>
      </c>
      <c r="P48" t="s">
        <v>74</v>
      </c>
      <c r="Q48" t="s">
        <v>74</v>
      </c>
      <c r="R48" t="s">
        <v>74</v>
      </c>
      <c r="S48" t="s">
        <v>74</v>
      </c>
      <c r="T48" t="s">
        <v>74</v>
      </c>
      <c r="U48" t="s">
        <v>74</v>
      </c>
      <c r="V48" t="s">
        <v>74</v>
      </c>
      <c r="W48" t="s">
        <v>1128</v>
      </c>
      <c r="X48" t="s">
        <v>1129</v>
      </c>
      <c r="Y48" t="s">
        <v>1130</v>
      </c>
      <c r="Z48" t="s">
        <v>1131</v>
      </c>
      <c r="AA48" t="s">
        <v>1132</v>
      </c>
      <c r="AB48" t="s">
        <v>1133</v>
      </c>
      <c r="AC48" t="s">
        <v>1134</v>
      </c>
      <c r="AD48" t="s">
        <v>350</v>
      </c>
      <c r="AE48" t="s">
        <v>74</v>
      </c>
      <c r="AF48" t="s">
        <v>74</v>
      </c>
      <c r="AG48">
        <v>6</v>
      </c>
      <c r="AH48">
        <v>38</v>
      </c>
      <c r="AI48">
        <v>39</v>
      </c>
      <c r="AJ48">
        <v>0</v>
      </c>
      <c r="AK48">
        <v>25</v>
      </c>
      <c r="AL48" t="s">
        <v>1073</v>
      </c>
      <c r="AM48" t="s">
        <v>92</v>
      </c>
      <c r="AN48" t="s">
        <v>1135</v>
      </c>
      <c r="AO48" t="s">
        <v>1136</v>
      </c>
      <c r="AP48" t="s">
        <v>1137</v>
      </c>
      <c r="AQ48" t="s">
        <v>74</v>
      </c>
      <c r="AR48" t="s">
        <v>1138</v>
      </c>
      <c r="AS48" t="s">
        <v>1139</v>
      </c>
      <c r="AT48" t="s">
        <v>98</v>
      </c>
      <c r="AU48">
        <v>2014</v>
      </c>
      <c r="AV48">
        <v>7</v>
      </c>
      <c r="AW48">
        <v>4</v>
      </c>
      <c r="AX48" t="s">
        <v>74</v>
      </c>
      <c r="AY48" t="s">
        <v>74</v>
      </c>
      <c r="AZ48" t="s">
        <v>74</v>
      </c>
      <c r="BA48" t="s">
        <v>74</v>
      </c>
      <c r="BB48">
        <v>246</v>
      </c>
      <c r="BC48">
        <v>247</v>
      </c>
      <c r="BD48" t="s">
        <v>74</v>
      </c>
      <c r="BE48" t="s">
        <v>1140</v>
      </c>
      <c r="BF48" t="str">
        <f>HYPERLINK("http://dx.doi.org/10.1038/ngeo2126","http://dx.doi.org/10.1038/ngeo2126")</f>
        <v>http://dx.doi.org/10.1038/ngeo2126</v>
      </c>
      <c r="BG48" t="s">
        <v>74</v>
      </c>
      <c r="BH48" t="s">
        <v>74</v>
      </c>
      <c r="BI48">
        <v>2</v>
      </c>
      <c r="BJ48" t="s">
        <v>952</v>
      </c>
      <c r="BK48" t="s">
        <v>101</v>
      </c>
      <c r="BL48" t="s">
        <v>597</v>
      </c>
      <c r="BM48" t="s">
        <v>1141</v>
      </c>
      <c r="BN48" t="s">
        <v>74</v>
      </c>
      <c r="BO48" t="s">
        <v>74</v>
      </c>
      <c r="BP48" t="s">
        <v>74</v>
      </c>
      <c r="BQ48" t="s">
        <v>74</v>
      </c>
      <c r="BR48" t="s">
        <v>104</v>
      </c>
      <c r="BS48" t="s">
        <v>1142</v>
      </c>
      <c r="BT48" t="str">
        <f>HYPERLINK("https%3A%2F%2Fwww.webofscience.com%2Fwos%2Fwoscc%2Ffull-record%2FWOS:000333815700002","View Full Record in Web of Science")</f>
        <v>View Full Record in Web of Science</v>
      </c>
    </row>
    <row r="49" spans="1:72" x14ac:dyDescent="0.15">
      <c r="A49" t="s">
        <v>72</v>
      </c>
      <c r="B49" t="s">
        <v>1143</v>
      </c>
      <c r="C49" t="s">
        <v>74</v>
      </c>
      <c r="D49" t="s">
        <v>74</v>
      </c>
      <c r="E49" t="s">
        <v>74</v>
      </c>
      <c r="F49" t="s">
        <v>1144</v>
      </c>
      <c r="G49" t="s">
        <v>74</v>
      </c>
      <c r="H49" t="s">
        <v>74</v>
      </c>
      <c r="I49" t="s">
        <v>1145</v>
      </c>
      <c r="J49" t="s">
        <v>1126</v>
      </c>
      <c r="K49" t="s">
        <v>74</v>
      </c>
      <c r="L49" t="s">
        <v>74</v>
      </c>
      <c r="M49" t="s">
        <v>78</v>
      </c>
      <c r="N49" t="s">
        <v>79</v>
      </c>
      <c r="O49" t="s">
        <v>74</v>
      </c>
      <c r="P49" t="s">
        <v>74</v>
      </c>
      <c r="Q49" t="s">
        <v>74</v>
      </c>
      <c r="R49" t="s">
        <v>74</v>
      </c>
      <c r="S49" t="s">
        <v>74</v>
      </c>
      <c r="T49" t="s">
        <v>74</v>
      </c>
      <c r="U49" t="s">
        <v>1146</v>
      </c>
      <c r="V49" t="s">
        <v>1147</v>
      </c>
      <c r="W49" t="s">
        <v>1148</v>
      </c>
      <c r="X49" t="s">
        <v>1149</v>
      </c>
      <c r="Y49" t="s">
        <v>1150</v>
      </c>
      <c r="Z49" t="s">
        <v>1151</v>
      </c>
      <c r="AA49" t="s">
        <v>1152</v>
      </c>
      <c r="AB49" t="s">
        <v>1153</v>
      </c>
      <c r="AC49" t="s">
        <v>1154</v>
      </c>
      <c r="AD49" t="s">
        <v>1155</v>
      </c>
      <c r="AE49" t="s">
        <v>1156</v>
      </c>
      <c r="AF49" t="s">
        <v>74</v>
      </c>
      <c r="AG49">
        <v>49</v>
      </c>
      <c r="AH49">
        <v>206</v>
      </c>
      <c r="AI49">
        <v>218</v>
      </c>
      <c r="AJ49">
        <v>2</v>
      </c>
      <c r="AK49">
        <v>126</v>
      </c>
      <c r="AL49" t="s">
        <v>1073</v>
      </c>
      <c r="AM49" t="s">
        <v>92</v>
      </c>
      <c r="AN49" t="s">
        <v>1135</v>
      </c>
      <c r="AO49" t="s">
        <v>1136</v>
      </c>
      <c r="AP49" t="s">
        <v>1137</v>
      </c>
      <c r="AQ49" t="s">
        <v>74</v>
      </c>
      <c r="AR49" t="s">
        <v>1138</v>
      </c>
      <c r="AS49" t="s">
        <v>1139</v>
      </c>
      <c r="AT49" t="s">
        <v>98</v>
      </c>
      <c r="AU49">
        <v>2014</v>
      </c>
      <c r="AV49">
        <v>7</v>
      </c>
      <c r="AW49">
        <v>4</v>
      </c>
      <c r="AX49" t="s">
        <v>74</v>
      </c>
      <c r="AY49" t="s">
        <v>74</v>
      </c>
      <c r="AZ49" t="s">
        <v>74</v>
      </c>
      <c r="BA49" t="s">
        <v>74</v>
      </c>
      <c r="BB49">
        <v>314</v>
      </c>
      <c r="BC49">
        <v>320</v>
      </c>
      <c r="BD49" t="s">
        <v>74</v>
      </c>
      <c r="BE49" t="s">
        <v>1157</v>
      </c>
      <c r="BF49" t="str">
        <f>HYPERLINK("http://dx.doi.org/10.1038/NGEO2101","http://dx.doi.org/10.1038/NGEO2101")</f>
        <v>http://dx.doi.org/10.1038/NGEO2101</v>
      </c>
      <c r="BG49" t="s">
        <v>74</v>
      </c>
      <c r="BH49" t="s">
        <v>74</v>
      </c>
      <c r="BI49">
        <v>7</v>
      </c>
      <c r="BJ49" t="s">
        <v>952</v>
      </c>
      <c r="BK49" t="s">
        <v>101</v>
      </c>
      <c r="BL49" t="s">
        <v>597</v>
      </c>
      <c r="BM49" t="s">
        <v>1141</v>
      </c>
      <c r="BN49" t="s">
        <v>74</v>
      </c>
      <c r="BO49" t="s">
        <v>252</v>
      </c>
      <c r="BP49" t="s">
        <v>74</v>
      </c>
      <c r="BQ49" t="s">
        <v>74</v>
      </c>
      <c r="BR49" t="s">
        <v>104</v>
      </c>
      <c r="BS49" t="s">
        <v>1158</v>
      </c>
      <c r="BT49" t="str">
        <f>HYPERLINK("https%3A%2F%2Fwww.webofscience.com%2Fwos%2Fwoscc%2Ffull-record%2FWOS:000333815700021","View Full Record in Web of Science")</f>
        <v>View Full Record in Web of Science</v>
      </c>
    </row>
    <row r="50" spans="1:72" x14ac:dyDescent="0.15">
      <c r="A50" t="s">
        <v>72</v>
      </c>
      <c r="B50" t="s">
        <v>1159</v>
      </c>
      <c r="C50" t="s">
        <v>74</v>
      </c>
      <c r="D50" t="s">
        <v>74</v>
      </c>
      <c r="E50" t="s">
        <v>74</v>
      </c>
      <c r="F50" t="s">
        <v>1160</v>
      </c>
      <c r="G50" t="s">
        <v>74</v>
      </c>
      <c r="H50" t="s">
        <v>74</v>
      </c>
      <c r="I50" t="s">
        <v>1161</v>
      </c>
      <c r="J50" t="s">
        <v>1162</v>
      </c>
      <c r="K50" t="s">
        <v>74</v>
      </c>
      <c r="L50" t="s">
        <v>74</v>
      </c>
      <c r="M50" t="s">
        <v>78</v>
      </c>
      <c r="N50" t="s">
        <v>79</v>
      </c>
      <c r="O50" t="s">
        <v>74</v>
      </c>
      <c r="P50" t="s">
        <v>74</v>
      </c>
      <c r="Q50" t="s">
        <v>74</v>
      </c>
      <c r="R50" t="s">
        <v>74</v>
      </c>
      <c r="S50" t="s">
        <v>74</v>
      </c>
      <c r="T50" t="s">
        <v>1163</v>
      </c>
      <c r="U50" t="s">
        <v>1164</v>
      </c>
      <c r="V50" t="s">
        <v>1165</v>
      </c>
      <c r="W50" t="s">
        <v>1166</v>
      </c>
      <c r="X50" t="s">
        <v>1167</v>
      </c>
      <c r="Y50" t="s">
        <v>1168</v>
      </c>
      <c r="Z50" t="s">
        <v>1169</v>
      </c>
      <c r="AA50" t="s">
        <v>1170</v>
      </c>
      <c r="AB50" t="s">
        <v>1171</v>
      </c>
      <c r="AC50" t="s">
        <v>1172</v>
      </c>
      <c r="AD50" t="s">
        <v>1173</v>
      </c>
      <c r="AE50" t="s">
        <v>1174</v>
      </c>
      <c r="AF50" t="s">
        <v>74</v>
      </c>
      <c r="AG50">
        <v>51</v>
      </c>
      <c r="AH50">
        <v>72</v>
      </c>
      <c r="AI50">
        <v>80</v>
      </c>
      <c r="AJ50">
        <v>3</v>
      </c>
      <c r="AK50">
        <v>110</v>
      </c>
      <c r="AL50" t="s">
        <v>403</v>
      </c>
      <c r="AM50" t="s">
        <v>404</v>
      </c>
      <c r="AN50" t="s">
        <v>405</v>
      </c>
      <c r="AO50" t="s">
        <v>1175</v>
      </c>
      <c r="AP50" t="s">
        <v>1176</v>
      </c>
      <c r="AQ50" t="s">
        <v>74</v>
      </c>
      <c r="AR50" t="s">
        <v>1177</v>
      </c>
      <c r="AS50" t="s">
        <v>1178</v>
      </c>
      <c r="AT50" t="s">
        <v>98</v>
      </c>
      <c r="AU50">
        <v>2014</v>
      </c>
      <c r="AV50">
        <v>202</v>
      </c>
      <c r="AW50">
        <v>1</v>
      </c>
      <c r="AX50" t="s">
        <v>74</v>
      </c>
      <c r="AY50" t="s">
        <v>74</v>
      </c>
      <c r="AZ50" t="s">
        <v>74</v>
      </c>
      <c r="BA50" t="s">
        <v>74</v>
      </c>
      <c r="BB50">
        <v>95</v>
      </c>
      <c r="BC50">
        <v>105</v>
      </c>
      <c r="BD50" t="s">
        <v>74</v>
      </c>
      <c r="BE50" t="s">
        <v>1179</v>
      </c>
      <c r="BF50" t="str">
        <f>HYPERLINK("http://dx.doi.org/10.1111/nph.12641","http://dx.doi.org/10.1111/nph.12641")</f>
        <v>http://dx.doi.org/10.1111/nph.12641</v>
      </c>
      <c r="BG50" t="s">
        <v>74</v>
      </c>
      <c r="BH50" t="s">
        <v>74</v>
      </c>
      <c r="BI50">
        <v>11</v>
      </c>
      <c r="BJ50" t="s">
        <v>181</v>
      </c>
      <c r="BK50" t="s">
        <v>101</v>
      </c>
      <c r="BL50" t="s">
        <v>181</v>
      </c>
      <c r="BM50" t="s">
        <v>1180</v>
      </c>
      <c r="BN50">
        <v>24329871</v>
      </c>
      <c r="BO50" t="s">
        <v>74</v>
      </c>
      <c r="BP50" t="s">
        <v>74</v>
      </c>
      <c r="BQ50" t="s">
        <v>74</v>
      </c>
      <c r="BR50" t="s">
        <v>104</v>
      </c>
      <c r="BS50" t="s">
        <v>1181</v>
      </c>
      <c r="BT50" t="str">
        <f>HYPERLINK("https%3A%2F%2Fwww.webofscience.com%2Fwos%2Fwoscc%2Ffull-record%2FWOS:000331737900020","View Full Record in Web of Science")</f>
        <v>View Full Record in Web of Science</v>
      </c>
    </row>
    <row r="51" spans="1:72" x14ac:dyDescent="0.15">
      <c r="A51" t="s">
        <v>72</v>
      </c>
      <c r="B51" t="s">
        <v>1182</v>
      </c>
      <c r="C51" t="s">
        <v>74</v>
      </c>
      <c r="D51" t="s">
        <v>74</v>
      </c>
      <c r="E51" t="s">
        <v>74</v>
      </c>
      <c r="F51" t="s">
        <v>1183</v>
      </c>
      <c r="G51" t="s">
        <v>74</v>
      </c>
      <c r="H51" t="s">
        <v>74</v>
      </c>
      <c r="I51" t="s">
        <v>1184</v>
      </c>
      <c r="J51" t="s">
        <v>1185</v>
      </c>
      <c r="K51" t="s">
        <v>74</v>
      </c>
      <c r="L51" t="s">
        <v>74</v>
      </c>
      <c r="M51" t="s">
        <v>78</v>
      </c>
      <c r="N51" t="s">
        <v>79</v>
      </c>
      <c r="O51" t="s">
        <v>74</v>
      </c>
      <c r="P51" t="s">
        <v>74</v>
      </c>
      <c r="Q51" t="s">
        <v>74</v>
      </c>
      <c r="R51" t="s">
        <v>74</v>
      </c>
      <c r="S51" t="s">
        <v>74</v>
      </c>
      <c r="T51" t="s">
        <v>1186</v>
      </c>
      <c r="U51" t="s">
        <v>1187</v>
      </c>
      <c r="V51" t="s">
        <v>1188</v>
      </c>
      <c r="W51" t="s">
        <v>1189</v>
      </c>
      <c r="X51" t="s">
        <v>1190</v>
      </c>
      <c r="Y51" t="s">
        <v>1191</v>
      </c>
      <c r="Z51" t="s">
        <v>1192</v>
      </c>
      <c r="AA51" t="s">
        <v>1193</v>
      </c>
      <c r="AB51" t="s">
        <v>1194</v>
      </c>
      <c r="AC51" t="s">
        <v>1195</v>
      </c>
      <c r="AD51" t="s">
        <v>1195</v>
      </c>
      <c r="AE51" t="s">
        <v>1196</v>
      </c>
      <c r="AF51" t="s">
        <v>74</v>
      </c>
      <c r="AG51">
        <v>83</v>
      </c>
      <c r="AH51">
        <v>41</v>
      </c>
      <c r="AI51">
        <v>42</v>
      </c>
      <c r="AJ51">
        <v>1</v>
      </c>
      <c r="AK51">
        <v>36</v>
      </c>
      <c r="AL51" t="s">
        <v>902</v>
      </c>
      <c r="AM51" t="s">
        <v>653</v>
      </c>
      <c r="AN51" t="s">
        <v>903</v>
      </c>
      <c r="AO51" t="s">
        <v>1197</v>
      </c>
      <c r="AP51" t="s">
        <v>1198</v>
      </c>
      <c r="AQ51" t="s">
        <v>74</v>
      </c>
      <c r="AR51" t="s">
        <v>1199</v>
      </c>
      <c r="AS51" t="s">
        <v>1200</v>
      </c>
      <c r="AT51" t="s">
        <v>330</v>
      </c>
      <c r="AU51">
        <v>2014</v>
      </c>
      <c r="AV51">
        <v>399</v>
      </c>
      <c r="AW51" t="s">
        <v>74</v>
      </c>
      <c r="AX51" t="s">
        <v>74</v>
      </c>
      <c r="AY51" t="s">
        <v>74</v>
      </c>
      <c r="AZ51" t="s">
        <v>74</v>
      </c>
      <c r="BA51" t="s">
        <v>74</v>
      </c>
      <c r="BB51">
        <v>140</v>
      </c>
      <c r="BC51">
        <v>159</v>
      </c>
      <c r="BD51" t="s">
        <v>74</v>
      </c>
      <c r="BE51" t="s">
        <v>1201</v>
      </c>
      <c r="BF51" t="str">
        <f>HYPERLINK("http://dx.doi.org/10.1016/j.palaeo.2014.02.017","http://dx.doi.org/10.1016/j.palaeo.2014.02.017")</f>
        <v>http://dx.doi.org/10.1016/j.palaeo.2014.02.017</v>
      </c>
      <c r="BG51" t="s">
        <v>74</v>
      </c>
      <c r="BH51" t="s">
        <v>74</v>
      </c>
      <c r="BI51">
        <v>20</v>
      </c>
      <c r="BJ51" t="s">
        <v>1202</v>
      </c>
      <c r="BK51" t="s">
        <v>101</v>
      </c>
      <c r="BL51" t="s">
        <v>1203</v>
      </c>
      <c r="BM51" t="s">
        <v>1204</v>
      </c>
      <c r="BN51" t="s">
        <v>74</v>
      </c>
      <c r="BO51" t="s">
        <v>74</v>
      </c>
      <c r="BP51" t="s">
        <v>74</v>
      </c>
      <c r="BQ51" t="s">
        <v>74</v>
      </c>
      <c r="BR51" t="s">
        <v>104</v>
      </c>
      <c r="BS51" t="s">
        <v>1205</v>
      </c>
      <c r="BT51" t="str">
        <f>HYPERLINK("https%3A%2F%2Fwww.webofscience.com%2Fwos%2Fwoscc%2Ffull-record%2FWOS:000334978400012","View Full Record in Web of Science")</f>
        <v>View Full Record in Web of Science</v>
      </c>
    </row>
    <row r="52" spans="1:72" x14ac:dyDescent="0.15">
      <c r="A52" t="s">
        <v>72</v>
      </c>
      <c r="B52" t="s">
        <v>1206</v>
      </c>
      <c r="C52" t="s">
        <v>74</v>
      </c>
      <c r="D52" t="s">
        <v>74</v>
      </c>
      <c r="E52" t="s">
        <v>74</v>
      </c>
      <c r="F52" t="s">
        <v>1207</v>
      </c>
      <c r="G52" t="s">
        <v>74</v>
      </c>
      <c r="H52" t="s">
        <v>74</v>
      </c>
      <c r="I52" t="s">
        <v>1208</v>
      </c>
      <c r="J52" t="s">
        <v>1185</v>
      </c>
      <c r="K52" t="s">
        <v>74</v>
      </c>
      <c r="L52" t="s">
        <v>74</v>
      </c>
      <c r="M52" t="s">
        <v>78</v>
      </c>
      <c r="N52" t="s">
        <v>79</v>
      </c>
      <c r="O52" t="s">
        <v>74</v>
      </c>
      <c r="P52" t="s">
        <v>74</v>
      </c>
      <c r="Q52" t="s">
        <v>74</v>
      </c>
      <c r="R52" t="s">
        <v>74</v>
      </c>
      <c r="S52" t="s">
        <v>74</v>
      </c>
      <c r="T52" t="s">
        <v>1209</v>
      </c>
      <c r="U52" t="s">
        <v>1210</v>
      </c>
      <c r="V52" t="s">
        <v>1211</v>
      </c>
      <c r="W52" t="s">
        <v>1212</v>
      </c>
      <c r="X52" t="s">
        <v>1213</v>
      </c>
      <c r="Y52" t="s">
        <v>1214</v>
      </c>
      <c r="Z52" t="s">
        <v>1215</v>
      </c>
      <c r="AA52" t="s">
        <v>1216</v>
      </c>
      <c r="AB52" t="s">
        <v>1217</v>
      </c>
      <c r="AC52" t="s">
        <v>1218</v>
      </c>
      <c r="AD52" t="s">
        <v>1218</v>
      </c>
      <c r="AE52" t="s">
        <v>1219</v>
      </c>
      <c r="AF52" t="s">
        <v>74</v>
      </c>
      <c r="AG52">
        <v>77</v>
      </c>
      <c r="AH52">
        <v>31</v>
      </c>
      <c r="AI52">
        <v>33</v>
      </c>
      <c r="AJ52">
        <v>0</v>
      </c>
      <c r="AK52">
        <v>43</v>
      </c>
      <c r="AL52" t="s">
        <v>652</v>
      </c>
      <c r="AM52" t="s">
        <v>653</v>
      </c>
      <c r="AN52" t="s">
        <v>654</v>
      </c>
      <c r="AO52" t="s">
        <v>1197</v>
      </c>
      <c r="AP52" t="s">
        <v>1198</v>
      </c>
      <c r="AQ52" t="s">
        <v>74</v>
      </c>
      <c r="AR52" t="s">
        <v>1199</v>
      </c>
      <c r="AS52" t="s">
        <v>1200</v>
      </c>
      <c r="AT52" t="s">
        <v>330</v>
      </c>
      <c r="AU52">
        <v>2014</v>
      </c>
      <c r="AV52">
        <v>399</v>
      </c>
      <c r="AW52" t="s">
        <v>74</v>
      </c>
      <c r="AX52" t="s">
        <v>74</v>
      </c>
      <c r="AY52" t="s">
        <v>74</v>
      </c>
      <c r="AZ52" t="s">
        <v>74</v>
      </c>
      <c r="BA52" t="s">
        <v>74</v>
      </c>
      <c r="BB52">
        <v>214</v>
      </c>
      <c r="BC52">
        <v>224</v>
      </c>
      <c r="BD52" t="s">
        <v>74</v>
      </c>
      <c r="BE52" t="s">
        <v>1220</v>
      </c>
      <c r="BF52" t="str">
        <f>HYPERLINK("http://dx.doi.org/10.1016/j.palaeo.2014.01.013","http://dx.doi.org/10.1016/j.palaeo.2014.01.013")</f>
        <v>http://dx.doi.org/10.1016/j.palaeo.2014.01.013</v>
      </c>
      <c r="BG52" t="s">
        <v>74</v>
      </c>
      <c r="BH52" t="s">
        <v>74</v>
      </c>
      <c r="BI52">
        <v>11</v>
      </c>
      <c r="BJ52" t="s">
        <v>1202</v>
      </c>
      <c r="BK52" t="s">
        <v>101</v>
      </c>
      <c r="BL52" t="s">
        <v>1203</v>
      </c>
      <c r="BM52" t="s">
        <v>1204</v>
      </c>
      <c r="BN52" t="s">
        <v>74</v>
      </c>
      <c r="BO52" t="s">
        <v>234</v>
      </c>
      <c r="BP52" t="s">
        <v>74</v>
      </c>
      <c r="BQ52" t="s">
        <v>74</v>
      </c>
      <c r="BR52" t="s">
        <v>104</v>
      </c>
      <c r="BS52" t="s">
        <v>1221</v>
      </c>
      <c r="BT52" t="str">
        <f>HYPERLINK("https%3A%2F%2Fwww.webofscience.com%2Fwos%2Fwoscc%2Ffull-record%2FWOS:000334978400017","View Full Record in Web of Science")</f>
        <v>View Full Record in Web of Science</v>
      </c>
    </row>
    <row r="53" spans="1:72" x14ac:dyDescent="0.15">
      <c r="A53" t="s">
        <v>72</v>
      </c>
      <c r="B53" t="s">
        <v>1222</v>
      </c>
      <c r="C53" t="s">
        <v>74</v>
      </c>
      <c r="D53" t="s">
        <v>74</v>
      </c>
      <c r="E53" t="s">
        <v>74</v>
      </c>
      <c r="F53" t="s">
        <v>1223</v>
      </c>
      <c r="G53" t="s">
        <v>74</v>
      </c>
      <c r="H53" t="s">
        <v>74</v>
      </c>
      <c r="I53" t="s">
        <v>1224</v>
      </c>
      <c r="J53" t="s">
        <v>1225</v>
      </c>
      <c r="K53" t="s">
        <v>74</v>
      </c>
      <c r="L53" t="s">
        <v>74</v>
      </c>
      <c r="M53" t="s">
        <v>78</v>
      </c>
      <c r="N53" t="s">
        <v>933</v>
      </c>
      <c r="O53" t="s">
        <v>74</v>
      </c>
      <c r="P53" t="s">
        <v>74</v>
      </c>
      <c r="Q53" t="s">
        <v>74</v>
      </c>
      <c r="R53" t="s">
        <v>74</v>
      </c>
      <c r="S53" t="s">
        <v>74</v>
      </c>
      <c r="T53" t="s">
        <v>1226</v>
      </c>
      <c r="U53" t="s">
        <v>1227</v>
      </c>
      <c r="V53" t="s">
        <v>1228</v>
      </c>
      <c r="W53" t="s">
        <v>1229</v>
      </c>
      <c r="X53" t="s">
        <v>1230</v>
      </c>
      <c r="Y53" t="s">
        <v>1231</v>
      </c>
      <c r="Z53" t="s">
        <v>1232</v>
      </c>
      <c r="AA53" t="s">
        <v>1233</v>
      </c>
      <c r="AB53" t="s">
        <v>74</v>
      </c>
      <c r="AC53" t="s">
        <v>1234</v>
      </c>
      <c r="AD53" t="s">
        <v>1235</v>
      </c>
      <c r="AE53" t="s">
        <v>1236</v>
      </c>
      <c r="AF53" t="s">
        <v>74</v>
      </c>
      <c r="AG53">
        <v>104</v>
      </c>
      <c r="AH53">
        <v>56</v>
      </c>
      <c r="AI53">
        <v>61</v>
      </c>
      <c r="AJ53">
        <v>2</v>
      </c>
      <c r="AK53">
        <v>53</v>
      </c>
      <c r="AL53" t="s">
        <v>568</v>
      </c>
      <c r="AM53" t="s">
        <v>447</v>
      </c>
      <c r="AN53" t="s">
        <v>569</v>
      </c>
      <c r="AO53" t="s">
        <v>1237</v>
      </c>
      <c r="AP53" t="s">
        <v>1238</v>
      </c>
      <c r="AQ53" t="s">
        <v>74</v>
      </c>
      <c r="AR53" t="s">
        <v>1225</v>
      </c>
      <c r="AS53" t="s">
        <v>1239</v>
      </c>
      <c r="AT53" t="s">
        <v>98</v>
      </c>
      <c r="AU53">
        <v>2014</v>
      </c>
      <c r="AV53">
        <v>29</v>
      </c>
      <c r="AW53">
        <v>4</v>
      </c>
      <c r="AX53" t="s">
        <v>74</v>
      </c>
      <c r="AY53" t="s">
        <v>74</v>
      </c>
      <c r="AZ53" t="s">
        <v>74</v>
      </c>
      <c r="BA53" t="s">
        <v>74</v>
      </c>
      <c r="BB53">
        <v>308</v>
      </c>
      <c r="BC53">
        <v>327</v>
      </c>
      <c r="BD53" t="s">
        <v>74</v>
      </c>
      <c r="BE53" t="s">
        <v>1240</v>
      </c>
      <c r="BF53" t="str">
        <f>HYPERLINK("http://dx.doi.org/10.1002/2012PA002444","http://dx.doi.org/10.1002/2012PA002444")</f>
        <v>http://dx.doi.org/10.1002/2012PA002444</v>
      </c>
      <c r="BG53" t="s">
        <v>74</v>
      </c>
      <c r="BH53" t="s">
        <v>74</v>
      </c>
      <c r="BI53">
        <v>20</v>
      </c>
      <c r="BJ53" t="s">
        <v>1241</v>
      </c>
      <c r="BK53" t="s">
        <v>101</v>
      </c>
      <c r="BL53" t="s">
        <v>1242</v>
      </c>
      <c r="BM53" t="s">
        <v>1243</v>
      </c>
      <c r="BN53" t="s">
        <v>74</v>
      </c>
      <c r="BO53" t="s">
        <v>1244</v>
      </c>
      <c r="BP53" t="s">
        <v>74</v>
      </c>
      <c r="BQ53" t="s">
        <v>74</v>
      </c>
      <c r="BR53" t="s">
        <v>104</v>
      </c>
      <c r="BS53" t="s">
        <v>1245</v>
      </c>
      <c r="BT53" t="str">
        <f>HYPERLINK("https%3A%2F%2Fwww.webofscience.com%2Fwos%2Fwoscc%2Ffull-record%2FWOS:000336026300003","View Full Record in Web of Science")</f>
        <v>View Full Record in Web of Science</v>
      </c>
    </row>
    <row r="54" spans="1:72" x14ac:dyDescent="0.15">
      <c r="A54" t="s">
        <v>72</v>
      </c>
      <c r="B54" t="s">
        <v>1246</v>
      </c>
      <c r="C54" t="s">
        <v>74</v>
      </c>
      <c r="D54" t="s">
        <v>74</v>
      </c>
      <c r="E54" t="s">
        <v>74</v>
      </c>
      <c r="F54" t="s">
        <v>1247</v>
      </c>
      <c r="G54" t="s">
        <v>74</v>
      </c>
      <c r="H54" t="s">
        <v>74</v>
      </c>
      <c r="I54" t="s">
        <v>1248</v>
      </c>
      <c r="J54" t="s">
        <v>1249</v>
      </c>
      <c r="K54" t="s">
        <v>74</v>
      </c>
      <c r="L54" t="s">
        <v>74</v>
      </c>
      <c r="M54" t="s">
        <v>78</v>
      </c>
      <c r="N54" t="s">
        <v>79</v>
      </c>
      <c r="O54" t="s">
        <v>74</v>
      </c>
      <c r="P54" t="s">
        <v>74</v>
      </c>
      <c r="Q54" t="s">
        <v>74</v>
      </c>
      <c r="R54" t="s">
        <v>74</v>
      </c>
      <c r="S54" t="s">
        <v>74</v>
      </c>
      <c r="T54" t="s">
        <v>74</v>
      </c>
      <c r="U54" t="s">
        <v>1250</v>
      </c>
      <c r="V54" t="s">
        <v>1251</v>
      </c>
      <c r="W54" t="s">
        <v>1252</v>
      </c>
      <c r="X54" t="s">
        <v>1253</v>
      </c>
      <c r="Y54" t="s">
        <v>1254</v>
      </c>
      <c r="Z54" t="s">
        <v>1255</v>
      </c>
      <c r="AA54" t="s">
        <v>1256</v>
      </c>
      <c r="AB54" t="s">
        <v>1257</v>
      </c>
      <c r="AC54" t="s">
        <v>1258</v>
      </c>
      <c r="AD54" t="s">
        <v>1259</v>
      </c>
      <c r="AE54" t="s">
        <v>1260</v>
      </c>
      <c r="AF54" t="s">
        <v>74</v>
      </c>
      <c r="AG54">
        <v>71</v>
      </c>
      <c r="AH54">
        <v>44</v>
      </c>
      <c r="AI54">
        <v>50</v>
      </c>
      <c r="AJ54">
        <v>3</v>
      </c>
      <c r="AK54">
        <v>34</v>
      </c>
      <c r="AL54" t="s">
        <v>1261</v>
      </c>
      <c r="AM54" t="s">
        <v>1262</v>
      </c>
      <c r="AN54" t="s">
        <v>1263</v>
      </c>
      <c r="AO54" t="s">
        <v>1264</v>
      </c>
      <c r="AP54" t="s">
        <v>74</v>
      </c>
      <c r="AQ54" t="s">
        <v>74</v>
      </c>
      <c r="AR54" t="s">
        <v>1265</v>
      </c>
      <c r="AS54" t="s">
        <v>1266</v>
      </c>
      <c r="AT54" t="s">
        <v>98</v>
      </c>
      <c r="AU54">
        <v>2014</v>
      </c>
      <c r="AV54">
        <v>8</v>
      </c>
      <c r="AW54">
        <v>4</v>
      </c>
      <c r="AX54" t="s">
        <v>74</v>
      </c>
      <c r="AY54" t="s">
        <v>74</v>
      </c>
      <c r="AZ54" t="s">
        <v>74</v>
      </c>
      <c r="BA54" t="s">
        <v>74</v>
      </c>
      <c r="BB54" t="s">
        <v>74</v>
      </c>
      <c r="BC54" t="s">
        <v>74</v>
      </c>
      <c r="BD54" t="s">
        <v>74</v>
      </c>
      <c r="BE54" t="s">
        <v>1267</v>
      </c>
      <c r="BF54" t="str">
        <f>HYPERLINK("http://dx.doi.org/10.1371/journal.pntd.0002517","http://dx.doi.org/10.1371/journal.pntd.0002517")</f>
        <v>http://dx.doi.org/10.1371/journal.pntd.0002517</v>
      </c>
      <c r="BG54" t="s">
        <v>74</v>
      </c>
      <c r="BH54" t="s">
        <v>74</v>
      </c>
      <c r="BI54">
        <v>12</v>
      </c>
      <c r="BJ54" t="s">
        <v>1268</v>
      </c>
      <c r="BK54" t="s">
        <v>101</v>
      </c>
      <c r="BL54" t="s">
        <v>1268</v>
      </c>
      <c r="BM54" t="s">
        <v>1269</v>
      </c>
      <c r="BN54">
        <v>24762803</v>
      </c>
      <c r="BO54" t="s">
        <v>1270</v>
      </c>
      <c r="BP54" t="s">
        <v>74</v>
      </c>
      <c r="BQ54" t="s">
        <v>74</v>
      </c>
      <c r="BR54" t="s">
        <v>104</v>
      </c>
      <c r="BS54" t="s">
        <v>1271</v>
      </c>
      <c r="BT54" t="str">
        <f>HYPERLINK("https%3A%2F%2Fwww.webofscience.com%2Fwos%2Fwoscc%2Ffull-record%2FWOS:000335342400006","View Full Record in Web of Science")</f>
        <v>View Full Record in Web of Science</v>
      </c>
    </row>
    <row r="55" spans="1:72" x14ac:dyDescent="0.15">
      <c r="A55" t="s">
        <v>72</v>
      </c>
      <c r="B55" t="s">
        <v>1272</v>
      </c>
      <c r="C55" t="s">
        <v>74</v>
      </c>
      <c r="D55" t="s">
        <v>74</v>
      </c>
      <c r="E55" t="s">
        <v>74</v>
      </c>
      <c r="F55" t="s">
        <v>1273</v>
      </c>
      <c r="G55" t="s">
        <v>74</v>
      </c>
      <c r="H55" t="s">
        <v>74</v>
      </c>
      <c r="I55" t="s">
        <v>1274</v>
      </c>
      <c r="J55" t="s">
        <v>1275</v>
      </c>
      <c r="K55" t="s">
        <v>74</v>
      </c>
      <c r="L55" t="s">
        <v>74</v>
      </c>
      <c r="M55" t="s">
        <v>78</v>
      </c>
      <c r="N55" t="s">
        <v>79</v>
      </c>
      <c r="O55" t="s">
        <v>74</v>
      </c>
      <c r="P55" t="s">
        <v>74</v>
      </c>
      <c r="Q55" t="s">
        <v>74</v>
      </c>
      <c r="R55" t="s">
        <v>74</v>
      </c>
      <c r="S55" t="s">
        <v>74</v>
      </c>
      <c r="T55" t="s">
        <v>74</v>
      </c>
      <c r="U55" t="s">
        <v>1276</v>
      </c>
      <c r="V55" t="s">
        <v>1277</v>
      </c>
      <c r="W55" t="s">
        <v>1278</v>
      </c>
      <c r="X55" t="s">
        <v>1279</v>
      </c>
      <c r="Y55" t="s">
        <v>1280</v>
      </c>
      <c r="Z55" t="s">
        <v>1281</v>
      </c>
      <c r="AA55" t="s">
        <v>1282</v>
      </c>
      <c r="AB55" t="s">
        <v>1283</v>
      </c>
      <c r="AC55" t="s">
        <v>1284</v>
      </c>
      <c r="AD55" t="s">
        <v>1285</v>
      </c>
      <c r="AE55" t="s">
        <v>1286</v>
      </c>
      <c r="AF55" t="s">
        <v>74</v>
      </c>
      <c r="AG55">
        <v>49</v>
      </c>
      <c r="AH55">
        <v>16</v>
      </c>
      <c r="AI55">
        <v>18</v>
      </c>
      <c r="AJ55">
        <v>1</v>
      </c>
      <c r="AK55">
        <v>25</v>
      </c>
      <c r="AL55" t="s">
        <v>1261</v>
      </c>
      <c r="AM55" t="s">
        <v>1262</v>
      </c>
      <c r="AN55" t="s">
        <v>1263</v>
      </c>
      <c r="AO55" t="s">
        <v>1287</v>
      </c>
      <c r="AP55" t="s">
        <v>74</v>
      </c>
      <c r="AQ55" t="s">
        <v>74</v>
      </c>
      <c r="AR55" t="s">
        <v>1275</v>
      </c>
      <c r="AS55" t="s">
        <v>1288</v>
      </c>
      <c r="AT55" t="s">
        <v>330</v>
      </c>
      <c r="AU55">
        <v>2014</v>
      </c>
      <c r="AV55">
        <v>9</v>
      </c>
      <c r="AW55">
        <v>4</v>
      </c>
      <c r="AX55" t="s">
        <v>74</v>
      </c>
      <c r="AY55" t="s">
        <v>74</v>
      </c>
      <c r="AZ55" t="s">
        <v>74</v>
      </c>
      <c r="BA55" t="s">
        <v>74</v>
      </c>
      <c r="BB55" t="s">
        <v>74</v>
      </c>
      <c r="BC55" t="s">
        <v>74</v>
      </c>
      <c r="BD55" t="s">
        <v>1289</v>
      </c>
      <c r="BE55" t="s">
        <v>1290</v>
      </c>
      <c r="BF55" t="str">
        <f>HYPERLINK("http://dx.doi.org/10.1371/journal.pone.0093789","http://dx.doi.org/10.1371/journal.pone.0093789")</f>
        <v>http://dx.doi.org/10.1371/journal.pone.0093789</v>
      </c>
      <c r="BG55" t="s">
        <v>74</v>
      </c>
      <c r="BH55" t="s">
        <v>74</v>
      </c>
      <c r="BI55">
        <v>13</v>
      </c>
      <c r="BJ55" t="s">
        <v>1100</v>
      </c>
      <c r="BK55" t="s">
        <v>101</v>
      </c>
      <c r="BL55" t="s">
        <v>1101</v>
      </c>
      <c r="BM55" t="s">
        <v>1291</v>
      </c>
      <c r="BN55">
        <v>24690918</v>
      </c>
      <c r="BO55" t="s">
        <v>1292</v>
      </c>
      <c r="BP55" t="s">
        <v>74</v>
      </c>
      <c r="BQ55" t="s">
        <v>74</v>
      </c>
      <c r="BR55" t="s">
        <v>104</v>
      </c>
      <c r="BS55" t="s">
        <v>1293</v>
      </c>
      <c r="BT55" t="str">
        <f>HYPERLINK("https%3A%2F%2Fwww.webofscience.com%2Fwos%2Fwoscc%2Ffull-record%2FWOS:000334101100134","View Full Record in Web of Science")</f>
        <v>View Full Record in Web of Science</v>
      </c>
    </row>
    <row r="56" spans="1:72" x14ac:dyDescent="0.15">
      <c r="A56" t="s">
        <v>72</v>
      </c>
      <c r="B56" t="s">
        <v>1294</v>
      </c>
      <c r="C56" t="s">
        <v>74</v>
      </c>
      <c r="D56" t="s">
        <v>74</v>
      </c>
      <c r="E56" t="s">
        <v>74</v>
      </c>
      <c r="F56" t="s">
        <v>1295</v>
      </c>
      <c r="G56" t="s">
        <v>74</v>
      </c>
      <c r="H56" t="s">
        <v>74</v>
      </c>
      <c r="I56" t="s">
        <v>1296</v>
      </c>
      <c r="J56" t="s">
        <v>1297</v>
      </c>
      <c r="K56" t="s">
        <v>74</v>
      </c>
      <c r="L56" t="s">
        <v>74</v>
      </c>
      <c r="M56" t="s">
        <v>78</v>
      </c>
      <c r="N56" t="s">
        <v>79</v>
      </c>
      <c r="O56" t="s">
        <v>74</v>
      </c>
      <c r="P56" t="s">
        <v>74</v>
      </c>
      <c r="Q56" t="s">
        <v>74</v>
      </c>
      <c r="R56" t="s">
        <v>74</v>
      </c>
      <c r="S56" t="s">
        <v>74</v>
      </c>
      <c r="T56" t="s">
        <v>1298</v>
      </c>
      <c r="U56" t="s">
        <v>1299</v>
      </c>
      <c r="V56" t="s">
        <v>1300</v>
      </c>
      <c r="W56" t="s">
        <v>1301</v>
      </c>
      <c r="X56" t="s">
        <v>1302</v>
      </c>
      <c r="Y56" t="s">
        <v>1303</v>
      </c>
      <c r="Z56" t="s">
        <v>1304</v>
      </c>
      <c r="AA56" t="s">
        <v>1305</v>
      </c>
      <c r="AB56" t="s">
        <v>1306</v>
      </c>
      <c r="AC56" t="s">
        <v>1307</v>
      </c>
      <c r="AD56" t="s">
        <v>1308</v>
      </c>
      <c r="AE56" t="s">
        <v>1309</v>
      </c>
      <c r="AF56" t="s">
        <v>74</v>
      </c>
      <c r="AG56">
        <v>28</v>
      </c>
      <c r="AH56">
        <v>6</v>
      </c>
      <c r="AI56">
        <v>8</v>
      </c>
      <c r="AJ56">
        <v>0</v>
      </c>
      <c r="AK56">
        <v>36</v>
      </c>
      <c r="AL56" t="s">
        <v>145</v>
      </c>
      <c r="AM56" t="s">
        <v>92</v>
      </c>
      <c r="AN56" t="s">
        <v>472</v>
      </c>
      <c r="AO56" t="s">
        <v>1310</v>
      </c>
      <c r="AP56" t="s">
        <v>1311</v>
      </c>
      <c r="AQ56" t="s">
        <v>74</v>
      </c>
      <c r="AR56" t="s">
        <v>1312</v>
      </c>
      <c r="AS56" t="s">
        <v>1313</v>
      </c>
      <c r="AT56" t="s">
        <v>98</v>
      </c>
      <c r="AU56">
        <v>2014</v>
      </c>
      <c r="AV56">
        <v>37</v>
      </c>
      <c r="AW56">
        <v>4</v>
      </c>
      <c r="AX56" t="s">
        <v>74</v>
      </c>
      <c r="AY56" t="s">
        <v>74</v>
      </c>
      <c r="AZ56" t="s">
        <v>74</v>
      </c>
      <c r="BA56" t="s">
        <v>74</v>
      </c>
      <c r="BB56">
        <v>587</v>
      </c>
      <c r="BC56">
        <v>593</v>
      </c>
      <c r="BD56" t="s">
        <v>74</v>
      </c>
      <c r="BE56" t="s">
        <v>1314</v>
      </c>
      <c r="BF56" t="str">
        <f>HYPERLINK("http://dx.doi.org/10.1007/s00300-014-1467-0","http://dx.doi.org/10.1007/s00300-014-1467-0")</f>
        <v>http://dx.doi.org/10.1007/s00300-014-1467-0</v>
      </c>
      <c r="BG56" t="s">
        <v>74</v>
      </c>
      <c r="BH56" t="s">
        <v>74</v>
      </c>
      <c r="BI56">
        <v>7</v>
      </c>
      <c r="BJ56" t="s">
        <v>1315</v>
      </c>
      <c r="BK56" t="s">
        <v>101</v>
      </c>
      <c r="BL56" t="s">
        <v>412</v>
      </c>
      <c r="BM56" t="s">
        <v>1316</v>
      </c>
      <c r="BN56" t="s">
        <v>74</v>
      </c>
      <c r="BO56" t="s">
        <v>74</v>
      </c>
      <c r="BP56" t="s">
        <v>74</v>
      </c>
      <c r="BQ56" t="s">
        <v>74</v>
      </c>
      <c r="BR56" t="s">
        <v>104</v>
      </c>
      <c r="BS56" t="s">
        <v>1317</v>
      </c>
      <c r="BT56" t="str">
        <f>HYPERLINK("https%3A%2F%2Fwww.webofscience.com%2Fwos%2Fwoscc%2Ffull-record%2FWOS:000332770800013","View Full Record in Web of Science")</f>
        <v>View Full Record in Web of Science</v>
      </c>
    </row>
    <row r="57" spans="1:72" x14ac:dyDescent="0.15">
      <c r="A57" t="s">
        <v>72</v>
      </c>
      <c r="B57" t="s">
        <v>1318</v>
      </c>
      <c r="C57" t="s">
        <v>74</v>
      </c>
      <c r="D57" t="s">
        <v>74</v>
      </c>
      <c r="E57" t="s">
        <v>74</v>
      </c>
      <c r="F57" t="s">
        <v>1319</v>
      </c>
      <c r="G57" t="s">
        <v>74</v>
      </c>
      <c r="H57" t="s">
        <v>74</v>
      </c>
      <c r="I57" t="s">
        <v>1320</v>
      </c>
      <c r="J57" t="s">
        <v>77</v>
      </c>
      <c r="K57" t="s">
        <v>74</v>
      </c>
      <c r="L57" t="s">
        <v>74</v>
      </c>
      <c r="M57" t="s">
        <v>78</v>
      </c>
      <c r="N57" t="s">
        <v>79</v>
      </c>
      <c r="O57" t="s">
        <v>74</v>
      </c>
      <c r="P57" t="s">
        <v>74</v>
      </c>
      <c r="Q57" t="s">
        <v>74</v>
      </c>
      <c r="R57" t="s">
        <v>74</v>
      </c>
      <c r="S57" t="s">
        <v>74</v>
      </c>
      <c r="T57" t="s">
        <v>74</v>
      </c>
      <c r="U57" t="s">
        <v>74</v>
      </c>
      <c r="V57" t="s">
        <v>1321</v>
      </c>
      <c r="W57" t="s">
        <v>123</v>
      </c>
      <c r="X57" t="s">
        <v>124</v>
      </c>
      <c r="Y57" t="s">
        <v>1322</v>
      </c>
      <c r="Z57" t="s">
        <v>1323</v>
      </c>
      <c r="AA57" t="s">
        <v>74</v>
      </c>
      <c r="AB57" t="s">
        <v>74</v>
      </c>
      <c r="AC57" t="s">
        <v>74</v>
      </c>
      <c r="AD57" t="s">
        <v>74</v>
      </c>
      <c r="AE57" t="s">
        <v>74</v>
      </c>
      <c r="AF57" t="s">
        <v>74</v>
      </c>
      <c r="AG57">
        <v>38</v>
      </c>
      <c r="AH57">
        <v>2</v>
      </c>
      <c r="AI57">
        <v>2</v>
      </c>
      <c r="AJ57">
        <v>0</v>
      </c>
      <c r="AK57">
        <v>3</v>
      </c>
      <c r="AL57" t="s">
        <v>91</v>
      </c>
      <c r="AM57" t="s">
        <v>92</v>
      </c>
      <c r="AN57" t="s">
        <v>93</v>
      </c>
      <c r="AO57" t="s">
        <v>94</v>
      </c>
      <c r="AP57" t="s">
        <v>95</v>
      </c>
      <c r="AQ57" t="s">
        <v>74</v>
      </c>
      <c r="AR57" t="s">
        <v>96</v>
      </c>
      <c r="AS57" t="s">
        <v>97</v>
      </c>
      <c r="AT57" t="s">
        <v>98</v>
      </c>
      <c r="AU57">
        <v>2014</v>
      </c>
      <c r="AV57">
        <v>50</v>
      </c>
      <c r="AW57">
        <v>2</v>
      </c>
      <c r="AX57" t="s">
        <v>74</v>
      </c>
      <c r="AY57" t="s">
        <v>74</v>
      </c>
      <c r="AZ57" t="s">
        <v>74</v>
      </c>
      <c r="BA57" t="s">
        <v>74</v>
      </c>
      <c r="BB57">
        <v>128</v>
      </c>
      <c r="BC57">
        <v>137</v>
      </c>
      <c r="BD57" t="s">
        <v>74</v>
      </c>
      <c r="BE57" t="s">
        <v>1324</v>
      </c>
      <c r="BF57" t="str">
        <f>HYPERLINK("http://dx.doi.org/10.1017/S0032247412000800","http://dx.doi.org/10.1017/S0032247412000800")</f>
        <v>http://dx.doi.org/10.1017/S0032247412000800</v>
      </c>
      <c r="BG57" t="s">
        <v>74</v>
      </c>
      <c r="BH57" t="s">
        <v>74</v>
      </c>
      <c r="BI57">
        <v>10</v>
      </c>
      <c r="BJ57" t="s">
        <v>100</v>
      </c>
      <c r="BK57" t="s">
        <v>101</v>
      </c>
      <c r="BL57" t="s">
        <v>102</v>
      </c>
      <c r="BM57" t="s">
        <v>103</v>
      </c>
      <c r="BN57" t="s">
        <v>74</v>
      </c>
      <c r="BO57" t="s">
        <v>74</v>
      </c>
      <c r="BP57" t="s">
        <v>74</v>
      </c>
      <c r="BQ57" t="s">
        <v>74</v>
      </c>
      <c r="BR57" t="s">
        <v>104</v>
      </c>
      <c r="BS57" t="s">
        <v>1325</v>
      </c>
      <c r="BT57" t="str">
        <f>HYPERLINK("https%3A%2F%2Fwww.webofscience.com%2Fwos%2Fwoscc%2Ffull-record%2FWOS:000332698600003","View Full Record in Web of Science")</f>
        <v>View Full Record in Web of Science</v>
      </c>
    </row>
    <row r="58" spans="1:72" x14ac:dyDescent="0.15">
      <c r="A58" t="s">
        <v>72</v>
      </c>
      <c r="B58" t="s">
        <v>1326</v>
      </c>
      <c r="C58" t="s">
        <v>74</v>
      </c>
      <c r="D58" t="s">
        <v>74</v>
      </c>
      <c r="E58" t="s">
        <v>74</v>
      </c>
      <c r="F58" t="s">
        <v>1327</v>
      </c>
      <c r="G58" t="s">
        <v>74</v>
      </c>
      <c r="H58" t="s">
        <v>74</v>
      </c>
      <c r="I58" t="s">
        <v>1328</v>
      </c>
      <c r="J58" t="s">
        <v>77</v>
      </c>
      <c r="K58" t="s">
        <v>74</v>
      </c>
      <c r="L58" t="s">
        <v>74</v>
      </c>
      <c r="M58" t="s">
        <v>78</v>
      </c>
      <c r="N58" t="s">
        <v>189</v>
      </c>
      <c r="O58" t="s">
        <v>74</v>
      </c>
      <c r="P58" t="s">
        <v>74</v>
      </c>
      <c r="Q58" t="s">
        <v>74</v>
      </c>
      <c r="R58" t="s">
        <v>74</v>
      </c>
      <c r="S58" t="s">
        <v>74</v>
      </c>
      <c r="T58" t="s">
        <v>74</v>
      </c>
      <c r="U58" t="s">
        <v>74</v>
      </c>
      <c r="V58" t="s">
        <v>1329</v>
      </c>
      <c r="W58" t="s">
        <v>74</v>
      </c>
      <c r="X58" t="s">
        <v>74</v>
      </c>
      <c r="Y58" t="s">
        <v>1330</v>
      </c>
      <c r="Z58" t="s">
        <v>1331</v>
      </c>
      <c r="AA58" t="s">
        <v>74</v>
      </c>
      <c r="AB58" t="s">
        <v>74</v>
      </c>
      <c r="AC58" t="s">
        <v>74</v>
      </c>
      <c r="AD58" t="s">
        <v>74</v>
      </c>
      <c r="AE58" t="s">
        <v>74</v>
      </c>
      <c r="AF58" t="s">
        <v>74</v>
      </c>
      <c r="AG58">
        <v>19</v>
      </c>
      <c r="AH58">
        <v>0</v>
      </c>
      <c r="AI58">
        <v>0</v>
      </c>
      <c r="AJ58">
        <v>0</v>
      </c>
      <c r="AK58">
        <v>2</v>
      </c>
      <c r="AL58" t="s">
        <v>91</v>
      </c>
      <c r="AM58" t="s">
        <v>92</v>
      </c>
      <c r="AN58" t="s">
        <v>93</v>
      </c>
      <c r="AO58" t="s">
        <v>94</v>
      </c>
      <c r="AP58" t="s">
        <v>95</v>
      </c>
      <c r="AQ58" t="s">
        <v>74</v>
      </c>
      <c r="AR58" t="s">
        <v>96</v>
      </c>
      <c r="AS58" t="s">
        <v>97</v>
      </c>
      <c r="AT58" t="s">
        <v>98</v>
      </c>
      <c r="AU58">
        <v>2014</v>
      </c>
      <c r="AV58">
        <v>50</v>
      </c>
      <c r="AW58">
        <v>2</v>
      </c>
      <c r="AX58" t="s">
        <v>74</v>
      </c>
      <c r="AY58" t="s">
        <v>74</v>
      </c>
      <c r="AZ58" t="s">
        <v>74</v>
      </c>
      <c r="BA58" t="s">
        <v>74</v>
      </c>
      <c r="BB58">
        <v>213</v>
      </c>
      <c r="BC58">
        <v>216</v>
      </c>
      <c r="BD58" t="s">
        <v>74</v>
      </c>
      <c r="BE58" t="s">
        <v>1332</v>
      </c>
      <c r="BF58" t="str">
        <f>HYPERLINK("http://dx.doi.org/10.1017/S0032247413000387","http://dx.doi.org/10.1017/S0032247413000387")</f>
        <v>http://dx.doi.org/10.1017/S0032247413000387</v>
      </c>
      <c r="BG58" t="s">
        <v>74</v>
      </c>
      <c r="BH58" t="s">
        <v>74</v>
      </c>
      <c r="BI58">
        <v>4</v>
      </c>
      <c r="BJ58" t="s">
        <v>100</v>
      </c>
      <c r="BK58" t="s">
        <v>101</v>
      </c>
      <c r="BL58" t="s">
        <v>102</v>
      </c>
      <c r="BM58" t="s">
        <v>103</v>
      </c>
      <c r="BN58" t="s">
        <v>74</v>
      </c>
      <c r="BO58" t="s">
        <v>74</v>
      </c>
      <c r="BP58" t="s">
        <v>74</v>
      </c>
      <c r="BQ58" t="s">
        <v>74</v>
      </c>
      <c r="BR58" t="s">
        <v>104</v>
      </c>
      <c r="BS58" t="s">
        <v>1333</v>
      </c>
      <c r="BT58" t="str">
        <f>HYPERLINK("https%3A%2F%2Fwww.webofscience.com%2Fwos%2Fwoscc%2Ffull-record%2FWOS:000332698600014","View Full Record in Web of Science")</f>
        <v>View Full Record in Web of Science</v>
      </c>
    </row>
    <row r="59" spans="1:72" x14ac:dyDescent="0.15">
      <c r="A59" t="s">
        <v>72</v>
      </c>
      <c r="B59" t="s">
        <v>1334</v>
      </c>
      <c r="C59" t="s">
        <v>74</v>
      </c>
      <c r="D59" t="s">
        <v>74</v>
      </c>
      <c r="E59" t="s">
        <v>74</v>
      </c>
      <c r="F59" t="s">
        <v>1335</v>
      </c>
      <c r="G59" t="s">
        <v>74</v>
      </c>
      <c r="H59" t="s">
        <v>74</v>
      </c>
      <c r="I59" t="s">
        <v>1336</v>
      </c>
      <c r="J59" t="s">
        <v>77</v>
      </c>
      <c r="K59" t="s">
        <v>74</v>
      </c>
      <c r="L59" t="s">
        <v>74</v>
      </c>
      <c r="M59" t="s">
        <v>78</v>
      </c>
      <c r="N59" t="s">
        <v>189</v>
      </c>
      <c r="O59" t="s">
        <v>74</v>
      </c>
      <c r="P59" t="s">
        <v>74</v>
      </c>
      <c r="Q59" t="s">
        <v>74</v>
      </c>
      <c r="R59" t="s">
        <v>74</v>
      </c>
      <c r="S59" t="s">
        <v>74</v>
      </c>
      <c r="T59" t="s">
        <v>74</v>
      </c>
      <c r="U59" t="s">
        <v>74</v>
      </c>
      <c r="V59" t="s">
        <v>1337</v>
      </c>
      <c r="W59" t="s">
        <v>1338</v>
      </c>
      <c r="X59" t="s">
        <v>74</v>
      </c>
      <c r="Y59" t="s">
        <v>1339</v>
      </c>
      <c r="Z59" t="s">
        <v>1340</v>
      </c>
      <c r="AA59" t="s">
        <v>74</v>
      </c>
      <c r="AB59" t="s">
        <v>74</v>
      </c>
      <c r="AC59" t="s">
        <v>74</v>
      </c>
      <c r="AD59" t="s">
        <v>74</v>
      </c>
      <c r="AE59" t="s">
        <v>74</v>
      </c>
      <c r="AF59" t="s">
        <v>74</v>
      </c>
      <c r="AG59">
        <v>0</v>
      </c>
      <c r="AH59">
        <v>0</v>
      </c>
      <c r="AI59">
        <v>0</v>
      </c>
      <c r="AJ59">
        <v>0</v>
      </c>
      <c r="AK59">
        <v>2</v>
      </c>
      <c r="AL59" t="s">
        <v>91</v>
      </c>
      <c r="AM59" t="s">
        <v>92</v>
      </c>
      <c r="AN59" t="s">
        <v>93</v>
      </c>
      <c r="AO59" t="s">
        <v>94</v>
      </c>
      <c r="AP59" t="s">
        <v>95</v>
      </c>
      <c r="AQ59" t="s">
        <v>74</v>
      </c>
      <c r="AR59" t="s">
        <v>96</v>
      </c>
      <c r="AS59" t="s">
        <v>97</v>
      </c>
      <c r="AT59" t="s">
        <v>98</v>
      </c>
      <c r="AU59">
        <v>2014</v>
      </c>
      <c r="AV59">
        <v>50</v>
      </c>
      <c r="AW59">
        <v>2</v>
      </c>
      <c r="AX59" t="s">
        <v>74</v>
      </c>
      <c r="AY59" t="s">
        <v>74</v>
      </c>
      <c r="AZ59" t="s">
        <v>74</v>
      </c>
      <c r="BA59" t="s">
        <v>74</v>
      </c>
      <c r="BB59">
        <v>219</v>
      </c>
      <c r="BC59">
        <v>220</v>
      </c>
      <c r="BD59" t="s">
        <v>74</v>
      </c>
      <c r="BE59" t="s">
        <v>1341</v>
      </c>
      <c r="BF59" t="str">
        <f>HYPERLINK("http://dx.doi.org/10.1017/S0032247411000726","http://dx.doi.org/10.1017/S0032247411000726")</f>
        <v>http://dx.doi.org/10.1017/S0032247411000726</v>
      </c>
      <c r="BG59" t="s">
        <v>74</v>
      </c>
      <c r="BH59" t="s">
        <v>74</v>
      </c>
      <c r="BI59">
        <v>2</v>
      </c>
      <c r="BJ59" t="s">
        <v>100</v>
      </c>
      <c r="BK59" t="s">
        <v>101</v>
      </c>
      <c r="BL59" t="s">
        <v>102</v>
      </c>
      <c r="BM59" t="s">
        <v>103</v>
      </c>
      <c r="BN59" t="s">
        <v>74</v>
      </c>
      <c r="BO59" t="s">
        <v>74</v>
      </c>
      <c r="BP59" t="s">
        <v>74</v>
      </c>
      <c r="BQ59" t="s">
        <v>74</v>
      </c>
      <c r="BR59" t="s">
        <v>104</v>
      </c>
      <c r="BS59" t="s">
        <v>1342</v>
      </c>
      <c r="BT59" t="str">
        <f>HYPERLINK("https%3A%2F%2Fwww.webofscience.com%2Fwos%2Fwoscc%2Ffull-record%2FWOS:000332698600017","View Full Record in Web of Science")</f>
        <v>View Full Record in Web of Science</v>
      </c>
    </row>
    <row r="60" spans="1:72" x14ac:dyDescent="0.15">
      <c r="A60" t="s">
        <v>72</v>
      </c>
      <c r="B60" t="s">
        <v>1343</v>
      </c>
      <c r="C60" t="s">
        <v>74</v>
      </c>
      <c r="D60" t="s">
        <v>74</v>
      </c>
      <c r="E60" t="s">
        <v>74</v>
      </c>
      <c r="F60" t="s">
        <v>1344</v>
      </c>
      <c r="G60" t="s">
        <v>74</v>
      </c>
      <c r="H60" t="s">
        <v>74</v>
      </c>
      <c r="I60" t="s">
        <v>1336</v>
      </c>
      <c r="J60" t="s">
        <v>77</v>
      </c>
      <c r="K60" t="s">
        <v>74</v>
      </c>
      <c r="L60" t="s">
        <v>74</v>
      </c>
      <c r="M60" t="s">
        <v>78</v>
      </c>
      <c r="N60" t="s">
        <v>189</v>
      </c>
      <c r="O60" t="s">
        <v>74</v>
      </c>
      <c r="P60" t="s">
        <v>74</v>
      </c>
      <c r="Q60" t="s">
        <v>74</v>
      </c>
      <c r="R60" t="s">
        <v>74</v>
      </c>
      <c r="S60" t="s">
        <v>74</v>
      </c>
      <c r="T60" t="s">
        <v>74</v>
      </c>
      <c r="U60" t="s">
        <v>74</v>
      </c>
      <c r="V60" t="s">
        <v>1345</v>
      </c>
      <c r="W60" t="s">
        <v>74</v>
      </c>
      <c r="X60" t="s">
        <v>74</v>
      </c>
      <c r="Y60" t="s">
        <v>1346</v>
      </c>
      <c r="Z60" t="s">
        <v>1347</v>
      </c>
      <c r="AA60" t="s">
        <v>74</v>
      </c>
      <c r="AB60" t="s">
        <v>74</v>
      </c>
      <c r="AC60" t="s">
        <v>74</v>
      </c>
      <c r="AD60" t="s">
        <v>74</v>
      </c>
      <c r="AE60" t="s">
        <v>74</v>
      </c>
      <c r="AF60" t="s">
        <v>74</v>
      </c>
      <c r="AG60">
        <v>6</v>
      </c>
      <c r="AH60">
        <v>0</v>
      </c>
      <c r="AI60">
        <v>0</v>
      </c>
      <c r="AJ60">
        <v>0</v>
      </c>
      <c r="AK60">
        <v>0</v>
      </c>
      <c r="AL60" t="s">
        <v>91</v>
      </c>
      <c r="AM60" t="s">
        <v>92</v>
      </c>
      <c r="AN60" t="s">
        <v>93</v>
      </c>
      <c r="AO60" t="s">
        <v>94</v>
      </c>
      <c r="AP60" t="s">
        <v>95</v>
      </c>
      <c r="AQ60" t="s">
        <v>74</v>
      </c>
      <c r="AR60" t="s">
        <v>96</v>
      </c>
      <c r="AS60" t="s">
        <v>97</v>
      </c>
      <c r="AT60" t="s">
        <v>98</v>
      </c>
      <c r="AU60">
        <v>2014</v>
      </c>
      <c r="AV60">
        <v>50</v>
      </c>
      <c r="AW60">
        <v>2</v>
      </c>
      <c r="AX60" t="s">
        <v>74</v>
      </c>
      <c r="AY60" t="s">
        <v>74</v>
      </c>
      <c r="AZ60" t="s">
        <v>74</v>
      </c>
      <c r="BA60" t="s">
        <v>74</v>
      </c>
      <c r="BB60">
        <v>219</v>
      </c>
      <c r="BC60">
        <v>220</v>
      </c>
      <c r="BD60" t="s">
        <v>74</v>
      </c>
      <c r="BE60" t="s">
        <v>1348</v>
      </c>
      <c r="BF60" t="str">
        <f>HYPERLINK("http://dx.doi.org/10.1017/S0032247411000192","http://dx.doi.org/10.1017/S0032247411000192")</f>
        <v>http://dx.doi.org/10.1017/S0032247411000192</v>
      </c>
      <c r="BG60" t="s">
        <v>74</v>
      </c>
      <c r="BH60" t="s">
        <v>74</v>
      </c>
      <c r="BI60">
        <v>2</v>
      </c>
      <c r="BJ60" t="s">
        <v>100</v>
      </c>
      <c r="BK60" t="s">
        <v>101</v>
      </c>
      <c r="BL60" t="s">
        <v>102</v>
      </c>
      <c r="BM60" t="s">
        <v>103</v>
      </c>
      <c r="BN60" t="s">
        <v>74</v>
      </c>
      <c r="BO60" t="s">
        <v>74</v>
      </c>
      <c r="BP60" t="s">
        <v>74</v>
      </c>
      <c r="BQ60" t="s">
        <v>74</v>
      </c>
      <c r="BR60" t="s">
        <v>104</v>
      </c>
      <c r="BS60" t="s">
        <v>1349</v>
      </c>
      <c r="BT60" t="str">
        <f>HYPERLINK("https%3A%2F%2Fwww.webofscience.com%2Fwos%2Fwoscc%2Ffull-record%2FWOS:000332698600016","View Full Record in Web of Science")</f>
        <v>View Full Record in Web of Science</v>
      </c>
    </row>
    <row r="61" spans="1:72" x14ac:dyDescent="0.15">
      <c r="A61" t="s">
        <v>72</v>
      </c>
      <c r="B61" t="s">
        <v>1350</v>
      </c>
      <c r="C61" t="s">
        <v>74</v>
      </c>
      <c r="D61" t="s">
        <v>74</v>
      </c>
      <c r="E61" t="s">
        <v>74</v>
      </c>
      <c r="F61" t="s">
        <v>1351</v>
      </c>
      <c r="G61" t="s">
        <v>74</v>
      </c>
      <c r="H61" t="s">
        <v>74</v>
      </c>
      <c r="I61" t="s">
        <v>1352</v>
      </c>
      <c r="J61" t="s">
        <v>1353</v>
      </c>
      <c r="K61" t="s">
        <v>74</v>
      </c>
      <c r="L61" t="s">
        <v>74</v>
      </c>
      <c r="M61" t="s">
        <v>78</v>
      </c>
      <c r="N61" t="s">
        <v>933</v>
      </c>
      <c r="O61" t="s">
        <v>74</v>
      </c>
      <c r="P61" t="s">
        <v>74</v>
      </c>
      <c r="Q61" t="s">
        <v>74</v>
      </c>
      <c r="R61" t="s">
        <v>74</v>
      </c>
      <c r="S61" t="s">
        <v>74</v>
      </c>
      <c r="T61" t="s">
        <v>74</v>
      </c>
      <c r="U61" t="s">
        <v>1354</v>
      </c>
      <c r="V61" t="s">
        <v>1355</v>
      </c>
      <c r="W61" t="s">
        <v>1356</v>
      </c>
      <c r="X61" t="s">
        <v>1357</v>
      </c>
      <c r="Y61" t="s">
        <v>1358</v>
      </c>
      <c r="Z61" t="s">
        <v>1359</v>
      </c>
      <c r="AA61" t="s">
        <v>1360</v>
      </c>
      <c r="AB61" t="s">
        <v>1361</v>
      </c>
      <c r="AC61" t="s">
        <v>1362</v>
      </c>
      <c r="AD61" t="s">
        <v>1363</v>
      </c>
      <c r="AE61" t="s">
        <v>1364</v>
      </c>
      <c r="AF61" t="s">
        <v>74</v>
      </c>
      <c r="AG61">
        <v>88</v>
      </c>
      <c r="AH61">
        <v>22</v>
      </c>
      <c r="AI61">
        <v>22</v>
      </c>
      <c r="AJ61">
        <v>0</v>
      </c>
      <c r="AK61">
        <v>18</v>
      </c>
      <c r="AL61" t="s">
        <v>946</v>
      </c>
      <c r="AM61" t="s">
        <v>522</v>
      </c>
      <c r="AN61" t="s">
        <v>947</v>
      </c>
      <c r="AO61" t="s">
        <v>1365</v>
      </c>
      <c r="AP61" t="s">
        <v>1366</v>
      </c>
      <c r="AQ61" t="s">
        <v>74</v>
      </c>
      <c r="AR61" t="s">
        <v>1367</v>
      </c>
      <c r="AS61" t="s">
        <v>1368</v>
      </c>
      <c r="AT61" t="s">
        <v>98</v>
      </c>
      <c r="AU61">
        <v>2014</v>
      </c>
      <c r="AV61">
        <v>123</v>
      </c>
      <c r="AW61" t="s">
        <v>74</v>
      </c>
      <c r="AX61" t="s">
        <v>74</v>
      </c>
      <c r="AY61" t="s">
        <v>74</v>
      </c>
      <c r="AZ61" t="s">
        <v>74</v>
      </c>
      <c r="BA61" t="s">
        <v>74</v>
      </c>
      <c r="BB61">
        <v>1</v>
      </c>
      <c r="BC61">
        <v>23</v>
      </c>
      <c r="BD61" t="s">
        <v>74</v>
      </c>
      <c r="BE61" t="s">
        <v>1369</v>
      </c>
      <c r="BF61" t="str">
        <f>HYPERLINK("http://dx.doi.org/10.1016/j.pocean.2013.12.007","http://dx.doi.org/10.1016/j.pocean.2013.12.007")</f>
        <v>http://dx.doi.org/10.1016/j.pocean.2013.12.007</v>
      </c>
      <c r="BG61" t="s">
        <v>74</v>
      </c>
      <c r="BH61" t="s">
        <v>74</v>
      </c>
      <c r="BI61">
        <v>23</v>
      </c>
      <c r="BJ61" t="s">
        <v>785</v>
      </c>
      <c r="BK61" t="s">
        <v>101</v>
      </c>
      <c r="BL61" t="s">
        <v>785</v>
      </c>
      <c r="BM61" t="s">
        <v>1370</v>
      </c>
      <c r="BN61" t="s">
        <v>74</v>
      </c>
      <c r="BO61" t="s">
        <v>1371</v>
      </c>
      <c r="BP61" t="s">
        <v>74</v>
      </c>
      <c r="BQ61" t="s">
        <v>74</v>
      </c>
      <c r="BR61" t="s">
        <v>104</v>
      </c>
      <c r="BS61" t="s">
        <v>1372</v>
      </c>
      <c r="BT61" t="str">
        <f>HYPERLINK("https%3A%2F%2Fwww.webofscience.com%2Fwos%2Fwoscc%2Ffull-record%2FWOS:000336006100001","View Full Record in Web of Science")</f>
        <v>View Full Record in Web of Science</v>
      </c>
    </row>
    <row r="62" spans="1:72" x14ac:dyDescent="0.15">
      <c r="A62" t="s">
        <v>72</v>
      </c>
      <c r="B62" t="s">
        <v>1373</v>
      </c>
      <c r="C62" t="s">
        <v>74</v>
      </c>
      <c r="D62" t="s">
        <v>74</v>
      </c>
      <c r="E62" t="s">
        <v>74</v>
      </c>
      <c r="F62" t="s">
        <v>1374</v>
      </c>
      <c r="G62" t="s">
        <v>74</v>
      </c>
      <c r="H62" t="s">
        <v>74</v>
      </c>
      <c r="I62" t="s">
        <v>1375</v>
      </c>
      <c r="J62" t="s">
        <v>1376</v>
      </c>
      <c r="K62" t="s">
        <v>74</v>
      </c>
      <c r="L62" t="s">
        <v>74</v>
      </c>
      <c r="M62" t="s">
        <v>78</v>
      </c>
      <c r="N62" t="s">
        <v>79</v>
      </c>
      <c r="O62" t="s">
        <v>74</v>
      </c>
      <c r="P62" t="s">
        <v>74</v>
      </c>
      <c r="Q62" t="s">
        <v>74</v>
      </c>
      <c r="R62" t="s">
        <v>74</v>
      </c>
      <c r="S62" t="s">
        <v>74</v>
      </c>
      <c r="T62" t="s">
        <v>1377</v>
      </c>
      <c r="U62" t="s">
        <v>1378</v>
      </c>
      <c r="V62" t="s">
        <v>1379</v>
      </c>
      <c r="W62" t="s">
        <v>1380</v>
      </c>
      <c r="X62" t="s">
        <v>1381</v>
      </c>
      <c r="Y62" t="s">
        <v>1382</v>
      </c>
      <c r="Z62" t="s">
        <v>1383</v>
      </c>
      <c r="AA62" t="s">
        <v>1384</v>
      </c>
      <c r="AB62" t="s">
        <v>1385</v>
      </c>
      <c r="AC62" t="s">
        <v>1134</v>
      </c>
      <c r="AD62" t="s">
        <v>350</v>
      </c>
      <c r="AE62" t="s">
        <v>74</v>
      </c>
      <c r="AF62" t="s">
        <v>74</v>
      </c>
      <c r="AG62">
        <v>42</v>
      </c>
      <c r="AH62">
        <v>71</v>
      </c>
      <c r="AI62">
        <v>75</v>
      </c>
      <c r="AJ62">
        <v>7</v>
      </c>
      <c r="AK62">
        <v>52</v>
      </c>
      <c r="AL62" t="s">
        <v>403</v>
      </c>
      <c r="AM62" t="s">
        <v>404</v>
      </c>
      <c r="AN62" t="s">
        <v>405</v>
      </c>
      <c r="AO62" t="s">
        <v>1386</v>
      </c>
      <c r="AP62" t="s">
        <v>1387</v>
      </c>
      <c r="AQ62" t="s">
        <v>74</v>
      </c>
      <c r="AR62" t="s">
        <v>1388</v>
      </c>
      <c r="AS62" t="s">
        <v>1389</v>
      </c>
      <c r="AT62" t="s">
        <v>98</v>
      </c>
      <c r="AU62">
        <v>2014</v>
      </c>
      <c r="AV62">
        <v>140</v>
      </c>
      <c r="AW62">
        <v>680</v>
      </c>
      <c r="AX62" t="s">
        <v>74</v>
      </c>
      <c r="AY62" t="s">
        <v>74</v>
      </c>
      <c r="AZ62" t="s">
        <v>74</v>
      </c>
      <c r="BA62" t="s">
        <v>74</v>
      </c>
      <c r="BB62">
        <v>783</v>
      </c>
      <c r="BC62">
        <v>791</v>
      </c>
      <c r="BD62" t="s">
        <v>74</v>
      </c>
      <c r="BE62" t="s">
        <v>1390</v>
      </c>
      <c r="BF62" t="str">
        <f>HYPERLINK("http://dx.doi.org/10.1002/qj.2197","http://dx.doi.org/10.1002/qj.2197")</f>
        <v>http://dx.doi.org/10.1002/qj.2197</v>
      </c>
      <c r="BG62" t="s">
        <v>74</v>
      </c>
      <c r="BH62" t="s">
        <v>74</v>
      </c>
      <c r="BI62">
        <v>9</v>
      </c>
      <c r="BJ62" t="s">
        <v>1391</v>
      </c>
      <c r="BK62" t="s">
        <v>101</v>
      </c>
      <c r="BL62" t="s">
        <v>1391</v>
      </c>
      <c r="BM62" t="s">
        <v>1392</v>
      </c>
      <c r="BN62" t="s">
        <v>74</v>
      </c>
      <c r="BO62" t="s">
        <v>252</v>
      </c>
      <c r="BP62" t="s">
        <v>74</v>
      </c>
      <c r="BQ62" t="s">
        <v>74</v>
      </c>
      <c r="BR62" t="s">
        <v>104</v>
      </c>
      <c r="BS62" t="s">
        <v>1393</v>
      </c>
      <c r="BT62" t="str">
        <f>HYPERLINK("https%3A%2F%2Fwww.webofscience.com%2Fwos%2Fwoscc%2Ffull-record%2FWOS:000334926800005","View Full Record in Web of Science")</f>
        <v>View Full Record in Web of Science</v>
      </c>
    </row>
    <row r="63" spans="1:72" x14ac:dyDescent="0.15">
      <c r="A63" t="s">
        <v>72</v>
      </c>
      <c r="B63" t="s">
        <v>1394</v>
      </c>
      <c r="C63" t="s">
        <v>74</v>
      </c>
      <c r="D63" t="s">
        <v>74</v>
      </c>
      <c r="E63" t="s">
        <v>74</v>
      </c>
      <c r="F63" t="s">
        <v>1395</v>
      </c>
      <c r="G63" t="s">
        <v>74</v>
      </c>
      <c r="H63" t="s">
        <v>74</v>
      </c>
      <c r="I63" t="s">
        <v>1396</v>
      </c>
      <c r="J63" t="s">
        <v>1397</v>
      </c>
      <c r="K63" t="s">
        <v>74</v>
      </c>
      <c r="L63" t="s">
        <v>74</v>
      </c>
      <c r="M63" t="s">
        <v>78</v>
      </c>
      <c r="N63" t="s">
        <v>79</v>
      </c>
      <c r="O63" t="s">
        <v>74</v>
      </c>
      <c r="P63" t="s">
        <v>74</v>
      </c>
      <c r="Q63" t="s">
        <v>74</v>
      </c>
      <c r="R63" t="s">
        <v>74</v>
      </c>
      <c r="S63" t="s">
        <v>74</v>
      </c>
      <c r="T63" t="s">
        <v>1398</v>
      </c>
      <c r="U63" t="s">
        <v>1399</v>
      </c>
      <c r="V63" t="s">
        <v>1400</v>
      </c>
      <c r="W63" t="s">
        <v>1401</v>
      </c>
      <c r="X63" t="s">
        <v>1402</v>
      </c>
      <c r="Y63" t="s">
        <v>1403</v>
      </c>
      <c r="Z63" t="s">
        <v>1404</v>
      </c>
      <c r="AA63" t="s">
        <v>1405</v>
      </c>
      <c r="AB63" t="s">
        <v>1406</v>
      </c>
      <c r="AC63" t="s">
        <v>1407</v>
      </c>
      <c r="AD63" t="s">
        <v>1408</v>
      </c>
      <c r="AE63" t="s">
        <v>1409</v>
      </c>
      <c r="AF63" t="s">
        <v>74</v>
      </c>
      <c r="AG63">
        <v>50</v>
      </c>
      <c r="AH63">
        <v>39</v>
      </c>
      <c r="AI63">
        <v>39</v>
      </c>
      <c r="AJ63">
        <v>0</v>
      </c>
      <c r="AK63">
        <v>21</v>
      </c>
      <c r="AL63" t="s">
        <v>946</v>
      </c>
      <c r="AM63" t="s">
        <v>522</v>
      </c>
      <c r="AN63" t="s">
        <v>947</v>
      </c>
      <c r="AO63" t="s">
        <v>1410</v>
      </c>
      <c r="AP63" t="s">
        <v>1411</v>
      </c>
      <c r="AQ63" t="s">
        <v>74</v>
      </c>
      <c r="AR63" t="s">
        <v>1412</v>
      </c>
      <c r="AS63" t="s">
        <v>1413</v>
      </c>
      <c r="AT63" t="s">
        <v>330</v>
      </c>
      <c r="AU63">
        <v>2014</v>
      </c>
      <c r="AV63">
        <v>89</v>
      </c>
      <c r="AW63" t="s">
        <v>74</v>
      </c>
      <c r="AX63" t="s">
        <v>74</v>
      </c>
      <c r="AY63" t="s">
        <v>74</v>
      </c>
      <c r="AZ63" t="s">
        <v>74</v>
      </c>
      <c r="BA63" t="s">
        <v>74</v>
      </c>
      <c r="BB63">
        <v>129</v>
      </c>
      <c r="BC63">
        <v>147</v>
      </c>
      <c r="BD63" t="s">
        <v>74</v>
      </c>
      <c r="BE63" t="s">
        <v>1414</v>
      </c>
      <c r="BF63" t="str">
        <f>HYPERLINK("http://dx.doi.org/10.1016/j.quascirev.2013.12.005","http://dx.doi.org/10.1016/j.quascirev.2013.12.005")</f>
        <v>http://dx.doi.org/10.1016/j.quascirev.2013.12.005</v>
      </c>
      <c r="BG63" t="s">
        <v>74</v>
      </c>
      <c r="BH63" t="s">
        <v>74</v>
      </c>
      <c r="BI63">
        <v>19</v>
      </c>
      <c r="BJ63" t="s">
        <v>1415</v>
      </c>
      <c r="BK63" t="s">
        <v>101</v>
      </c>
      <c r="BL63" t="s">
        <v>1416</v>
      </c>
      <c r="BM63" t="s">
        <v>1417</v>
      </c>
      <c r="BN63" t="s">
        <v>74</v>
      </c>
      <c r="BO63" t="s">
        <v>1418</v>
      </c>
      <c r="BP63" t="s">
        <v>74</v>
      </c>
      <c r="BQ63" t="s">
        <v>74</v>
      </c>
      <c r="BR63" t="s">
        <v>104</v>
      </c>
      <c r="BS63" t="s">
        <v>1419</v>
      </c>
      <c r="BT63" t="str">
        <f>HYPERLINK("https%3A%2F%2Fwww.webofscience.com%2Fwos%2Fwoscc%2Ffull-record%2FWOS:000335706600012","View Full Record in Web of Science")</f>
        <v>View Full Record in Web of Science</v>
      </c>
    </row>
    <row r="64" spans="1:72" x14ac:dyDescent="0.15">
      <c r="A64" t="s">
        <v>72</v>
      </c>
      <c r="B64" t="s">
        <v>1420</v>
      </c>
      <c r="C64" t="s">
        <v>74</v>
      </c>
      <c r="D64" t="s">
        <v>74</v>
      </c>
      <c r="E64" t="s">
        <v>74</v>
      </c>
      <c r="F64" t="s">
        <v>1421</v>
      </c>
      <c r="G64" t="s">
        <v>74</v>
      </c>
      <c r="H64" t="s">
        <v>74</v>
      </c>
      <c r="I64" t="s">
        <v>1422</v>
      </c>
      <c r="J64" t="s">
        <v>1423</v>
      </c>
      <c r="K64" t="s">
        <v>74</v>
      </c>
      <c r="L64" t="s">
        <v>74</v>
      </c>
      <c r="M64" t="s">
        <v>1424</v>
      </c>
      <c r="N64" t="s">
        <v>79</v>
      </c>
      <c r="O64" t="s">
        <v>74</v>
      </c>
      <c r="P64" t="s">
        <v>74</v>
      </c>
      <c r="Q64" t="s">
        <v>74</v>
      </c>
      <c r="R64" t="s">
        <v>74</v>
      </c>
      <c r="S64" t="s">
        <v>74</v>
      </c>
      <c r="T64" t="s">
        <v>1425</v>
      </c>
      <c r="U64" t="s">
        <v>74</v>
      </c>
      <c r="V64" t="s">
        <v>1426</v>
      </c>
      <c r="W64" t="s">
        <v>1427</v>
      </c>
      <c r="X64" t="s">
        <v>1428</v>
      </c>
      <c r="Y64" t="s">
        <v>1429</v>
      </c>
      <c r="Z64" t="s">
        <v>1430</v>
      </c>
      <c r="AA64" t="s">
        <v>74</v>
      </c>
      <c r="AB64" t="s">
        <v>74</v>
      </c>
      <c r="AC64" t="s">
        <v>74</v>
      </c>
      <c r="AD64" t="s">
        <v>74</v>
      </c>
      <c r="AE64" t="s">
        <v>74</v>
      </c>
      <c r="AF64" t="s">
        <v>74</v>
      </c>
      <c r="AG64">
        <v>11</v>
      </c>
      <c r="AH64">
        <v>0</v>
      </c>
      <c r="AI64">
        <v>0</v>
      </c>
      <c r="AJ64">
        <v>0</v>
      </c>
      <c r="AK64">
        <v>0</v>
      </c>
      <c r="AL64" t="s">
        <v>1431</v>
      </c>
      <c r="AM64" t="s">
        <v>1432</v>
      </c>
      <c r="AN64" t="s">
        <v>1433</v>
      </c>
      <c r="AO64" t="s">
        <v>1434</v>
      </c>
      <c r="AP64" t="s">
        <v>74</v>
      </c>
      <c r="AQ64" t="s">
        <v>74</v>
      </c>
      <c r="AR64" t="s">
        <v>1435</v>
      </c>
      <c r="AS64" t="s">
        <v>1436</v>
      </c>
      <c r="AT64" t="s">
        <v>179</v>
      </c>
      <c r="AU64">
        <v>2014</v>
      </c>
      <c r="AV64">
        <v>5</v>
      </c>
      <c r="AW64">
        <v>2</v>
      </c>
      <c r="AX64" t="s">
        <v>74</v>
      </c>
      <c r="AY64" t="s">
        <v>74</v>
      </c>
      <c r="AZ64" t="s">
        <v>74</v>
      </c>
      <c r="BA64" t="s">
        <v>74</v>
      </c>
      <c r="BB64">
        <v>1</v>
      </c>
      <c r="BC64">
        <v>10</v>
      </c>
      <c r="BD64" t="s">
        <v>74</v>
      </c>
      <c r="BE64" t="s">
        <v>74</v>
      </c>
      <c r="BF64" t="s">
        <v>74</v>
      </c>
      <c r="BG64" t="s">
        <v>74</v>
      </c>
      <c r="BH64" t="s">
        <v>74</v>
      </c>
      <c r="BI64">
        <v>10</v>
      </c>
      <c r="BJ64" t="s">
        <v>1437</v>
      </c>
      <c r="BK64" t="s">
        <v>975</v>
      </c>
      <c r="BL64" t="s">
        <v>1437</v>
      </c>
      <c r="BM64" t="s">
        <v>1438</v>
      </c>
      <c r="BN64" t="s">
        <v>74</v>
      </c>
      <c r="BO64" t="s">
        <v>74</v>
      </c>
      <c r="BP64" t="s">
        <v>74</v>
      </c>
      <c r="BQ64" t="s">
        <v>74</v>
      </c>
      <c r="BR64" t="s">
        <v>104</v>
      </c>
      <c r="BS64" t="s">
        <v>1439</v>
      </c>
      <c r="BT64" t="str">
        <f>HYPERLINK("https%3A%2F%2Fwww.webofscience.com%2Fwos%2Fwoscc%2Ffull-record%2FWOS:000215960300001","View Full Record in Web of Science")</f>
        <v>View Full Record in Web of Science</v>
      </c>
    </row>
    <row r="65" spans="1:72" x14ac:dyDescent="0.15">
      <c r="A65" t="s">
        <v>72</v>
      </c>
      <c r="B65" t="s">
        <v>1440</v>
      </c>
      <c r="C65" t="s">
        <v>74</v>
      </c>
      <c r="D65" t="s">
        <v>74</v>
      </c>
      <c r="E65" t="s">
        <v>74</v>
      </c>
      <c r="F65" t="s">
        <v>1441</v>
      </c>
      <c r="G65" t="s">
        <v>74</v>
      </c>
      <c r="H65" t="s">
        <v>74</v>
      </c>
      <c r="I65" t="s">
        <v>1442</v>
      </c>
      <c r="J65" t="s">
        <v>1423</v>
      </c>
      <c r="K65" t="s">
        <v>74</v>
      </c>
      <c r="L65" t="s">
        <v>74</v>
      </c>
      <c r="M65" t="s">
        <v>78</v>
      </c>
      <c r="N65" t="s">
        <v>79</v>
      </c>
      <c r="O65" t="s">
        <v>74</v>
      </c>
      <c r="P65" t="s">
        <v>74</v>
      </c>
      <c r="Q65" t="s">
        <v>74</v>
      </c>
      <c r="R65" t="s">
        <v>74</v>
      </c>
      <c r="S65" t="s">
        <v>74</v>
      </c>
      <c r="T65" t="s">
        <v>1443</v>
      </c>
      <c r="U65" t="s">
        <v>74</v>
      </c>
      <c r="V65" t="s">
        <v>1444</v>
      </c>
      <c r="W65" t="s">
        <v>1445</v>
      </c>
      <c r="X65" t="s">
        <v>1428</v>
      </c>
      <c r="Y65" t="s">
        <v>1446</v>
      </c>
      <c r="Z65" t="s">
        <v>1447</v>
      </c>
      <c r="AA65" t="s">
        <v>74</v>
      </c>
      <c r="AB65" t="s">
        <v>74</v>
      </c>
      <c r="AC65" t="s">
        <v>74</v>
      </c>
      <c r="AD65" t="s">
        <v>74</v>
      </c>
      <c r="AE65" t="s">
        <v>74</v>
      </c>
      <c r="AF65" t="s">
        <v>74</v>
      </c>
      <c r="AG65">
        <v>19</v>
      </c>
      <c r="AH65">
        <v>0</v>
      </c>
      <c r="AI65">
        <v>0</v>
      </c>
      <c r="AJ65">
        <v>0</v>
      </c>
      <c r="AK65">
        <v>0</v>
      </c>
      <c r="AL65" t="s">
        <v>1431</v>
      </c>
      <c r="AM65" t="s">
        <v>1432</v>
      </c>
      <c r="AN65" t="s">
        <v>1433</v>
      </c>
      <c r="AO65" t="s">
        <v>1434</v>
      </c>
      <c r="AP65" t="s">
        <v>74</v>
      </c>
      <c r="AQ65" t="s">
        <v>74</v>
      </c>
      <c r="AR65" t="s">
        <v>1435</v>
      </c>
      <c r="AS65" t="s">
        <v>1436</v>
      </c>
      <c r="AT65" t="s">
        <v>179</v>
      </c>
      <c r="AU65">
        <v>2014</v>
      </c>
      <c r="AV65">
        <v>5</v>
      </c>
      <c r="AW65">
        <v>2</v>
      </c>
      <c r="AX65" t="s">
        <v>74</v>
      </c>
      <c r="AY65" t="s">
        <v>74</v>
      </c>
      <c r="AZ65" t="s">
        <v>74</v>
      </c>
      <c r="BA65" t="s">
        <v>74</v>
      </c>
      <c r="BB65">
        <v>11</v>
      </c>
      <c r="BC65">
        <v>18</v>
      </c>
      <c r="BD65" t="s">
        <v>74</v>
      </c>
      <c r="BE65" t="s">
        <v>74</v>
      </c>
      <c r="BF65" t="s">
        <v>74</v>
      </c>
      <c r="BG65" t="s">
        <v>74</v>
      </c>
      <c r="BH65" t="s">
        <v>74</v>
      </c>
      <c r="BI65">
        <v>8</v>
      </c>
      <c r="BJ65" t="s">
        <v>1437</v>
      </c>
      <c r="BK65" t="s">
        <v>975</v>
      </c>
      <c r="BL65" t="s">
        <v>1437</v>
      </c>
      <c r="BM65" t="s">
        <v>1438</v>
      </c>
      <c r="BN65" t="s">
        <v>74</v>
      </c>
      <c r="BO65" t="s">
        <v>74</v>
      </c>
      <c r="BP65" t="s">
        <v>74</v>
      </c>
      <c r="BQ65" t="s">
        <v>74</v>
      </c>
      <c r="BR65" t="s">
        <v>104</v>
      </c>
      <c r="BS65" t="s">
        <v>1448</v>
      </c>
      <c r="BT65" t="str">
        <f>HYPERLINK("https%3A%2F%2Fwww.webofscience.com%2Fwos%2Fwoscc%2Ffull-record%2FWOS:000215960300002","View Full Record in Web of Science")</f>
        <v>View Full Record in Web of Science</v>
      </c>
    </row>
    <row r="66" spans="1:72" x14ac:dyDescent="0.15">
      <c r="A66" t="s">
        <v>72</v>
      </c>
      <c r="B66" t="s">
        <v>1449</v>
      </c>
      <c r="C66" t="s">
        <v>74</v>
      </c>
      <c r="D66" t="s">
        <v>74</v>
      </c>
      <c r="E66" t="s">
        <v>74</v>
      </c>
      <c r="F66" t="s">
        <v>1450</v>
      </c>
      <c r="G66" t="s">
        <v>74</v>
      </c>
      <c r="H66" t="s">
        <v>74</v>
      </c>
      <c r="I66" t="s">
        <v>1451</v>
      </c>
      <c r="J66" t="s">
        <v>1452</v>
      </c>
      <c r="K66" t="s">
        <v>74</v>
      </c>
      <c r="L66" t="s">
        <v>74</v>
      </c>
      <c r="M66" t="s">
        <v>78</v>
      </c>
      <c r="N66" t="s">
        <v>79</v>
      </c>
      <c r="O66" t="s">
        <v>74</v>
      </c>
      <c r="P66" t="s">
        <v>74</v>
      </c>
      <c r="Q66" t="s">
        <v>74</v>
      </c>
      <c r="R66" t="s">
        <v>74</v>
      </c>
      <c r="S66" t="s">
        <v>74</v>
      </c>
      <c r="T66" t="s">
        <v>74</v>
      </c>
      <c r="U66" t="s">
        <v>74</v>
      </c>
      <c r="V66" t="s">
        <v>1453</v>
      </c>
      <c r="W66" t="s">
        <v>1454</v>
      </c>
      <c r="X66" t="s">
        <v>1455</v>
      </c>
      <c r="Y66" t="s">
        <v>1456</v>
      </c>
      <c r="Z66" t="s">
        <v>1457</v>
      </c>
      <c r="AA66" t="s">
        <v>1458</v>
      </c>
      <c r="AB66" t="s">
        <v>1459</v>
      </c>
      <c r="AC66" t="s">
        <v>1460</v>
      </c>
      <c r="AD66" t="s">
        <v>1461</v>
      </c>
      <c r="AE66" t="s">
        <v>1462</v>
      </c>
      <c r="AF66" t="s">
        <v>74</v>
      </c>
      <c r="AG66">
        <v>9</v>
      </c>
      <c r="AH66">
        <v>1</v>
      </c>
      <c r="AI66">
        <v>1</v>
      </c>
      <c r="AJ66">
        <v>0</v>
      </c>
      <c r="AK66">
        <v>0</v>
      </c>
      <c r="AL66" t="s">
        <v>1463</v>
      </c>
      <c r="AM66" t="s">
        <v>1464</v>
      </c>
      <c r="AN66" t="s">
        <v>1465</v>
      </c>
      <c r="AO66" t="s">
        <v>1466</v>
      </c>
      <c r="AP66" t="s">
        <v>1467</v>
      </c>
      <c r="AQ66" t="s">
        <v>74</v>
      </c>
      <c r="AR66" t="s">
        <v>1468</v>
      </c>
      <c r="AS66" t="s">
        <v>1469</v>
      </c>
      <c r="AT66" t="s">
        <v>98</v>
      </c>
      <c r="AU66">
        <v>2014</v>
      </c>
      <c r="AV66">
        <v>17</v>
      </c>
      <c r="AW66" t="s">
        <v>74</v>
      </c>
      <c r="AX66" t="s">
        <v>74</v>
      </c>
      <c r="AY66" t="s">
        <v>74</v>
      </c>
      <c r="AZ66" t="s">
        <v>74</v>
      </c>
      <c r="BA66" t="s">
        <v>74</v>
      </c>
      <c r="BB66">
        <v>45</v>
      </c>
      <c r="BC66">
        <v>50</v>
      </c>
      <c r="BD66" t="s">
        <v>74</v>
      </c>
      <c r="BE66" t="s">
        <v>1470</v>
      </c>
      <c r="BF66" t="str">
        <f>HYPERLINK("http://dx.doi.org/10.5194/sd-17-45-2014","http://dx.doi.org/10.5194/sd-17-45-2014")</f>
        <v>http://dx.doi.org/10.5194/sd-17-45-2014</v>
      </c>
      <c r="BG66" t="s">
        <v>74</v>
      </c>
      <c r="BH66" t="s">
        <v>74</v>
      </c>
      <c r="BI66">
        <v>6</v>
      </c>
      <c r="BJ66" t="s">
        <v>952</v>
      </c>
      <c r="BK66" t="s">
        <v>975</v>
      </c>
      <c r="BL66" t="s">
        <v>597</v>
      </c>
      <c r="BM66" t="s">
        <v>1471</v>
      </c>
      <c r="BN66" t="s">
        <v>74</v>
      </c>
      <c r="BO66" t="s">
        <v>1472</v>
      </c>
      <c r="BP66" t="s">
        <v>74</v>
      </c>
      <c r="BQ66" t="s">
        <v>74</v>
      </c>
      <c r="BR66" t="s">
        <v>104</v>
      </c>
      <c r="BS66" t="s">
        <v>1473</v>
      </c>
      <c r="BT66" t="str">
        <f>HYPERLINK("https%3A%2F%2Fwww.webofscience.com%2Fwos%2Fwoscc%2Ffull-record%2FWOS:000210346000007","View Full Record in Web of Science")</f>
        <v>View Full Record in Web of Science</v>
      </c>
    </row>
    <row r="67" spans="1:72" x14ac:dyDescent="0.15">
      <c r="A67" t="s">
        <v>72</v>
      </c>
      <c r="B67" t="s">
        <v>1474</v>
      </c>
      <c r="C67" t="s">
        <v>74</v>
      </c>
      <c r="D67" t="s">
        <v>74</v>
      </c>
      <c r="E67" t="s">
        <v>74</v>
      </c>
      <c r="F67" t="s">
        <v>1475</v>
      </c>
      <c r="G67" t="s">
        <v>74</v>
      </c>
      <c r="H67" t="s">
        <v>74</v>
      </c>
      <c r="I67" t="s">
        <v>1476</v>
      </c>
      <c r="J67" t="s">
        <v>1477</v>
      </c>
      <c r="K67" t="s">
        <v>74</v>
      </c>
      <c r="L67" t="s">
        <v>74</v>
      </c>
      <c r="M67" t="s">
        <v>78</v>
      </c>
      <c r="N67" t="s">
        <v>79</v>
      </c>
      <c r="O67" t="s">
        <v>74</v>
      </c>
      <c r="P67" t="s">
        <v>74</v>
      </c>
      <c r="Q67" t="s">
        <v>74</v>
      </c>
      <c r="R67" t="s">
        <v>74</v>
      </c>
      <c r="S67" t="s">
        <v>74</v>
      </c>
      <c r="T67" t="s">
        <v>1478</v>
      </c>
      <c r="U67" t="s">
        <v>1479</v>
      </c>
      <c r="V67" t="s">
        <v>1480</v>
      </c>
      <c r="W67" t="s">
        <v>1481</v>
      </c>
      <c r="X67" t="s">
        <v>1482</v>
      </c>
      <c r="Y67" t="s">
        <v>1483</v>
      </c>
      <c r="Z67" t="s">
        <v>1484</v>
      </c>
      <c r="AA67" t="s">
        <v>74</v>
      </c>
      <c r="AB67" t="s">
        <v>1485</v>
      </c>
      <c r="AC67" t="s">
        <v>1486</v>
      </c>
      <c r="AD67" t="s">
        <v>1487</v>
      </c>
      <c r="AE67" t="s">
        <v>1488</v>
      </c>
      <c r="AF67" t="s">
        <v>74</v>
      </c>
      <c r="AG67">
        <v>33</v>
      </c>
      <c r="AH67">
        <v>19</v>
      </c>
      <c r="AI67">
        <v>22</v>
      </c>
      <c r="AJ67">
        <v>0</v>
      </c>
      <c r="AK67">
        <v>22</v>
      </c>
      <c r="AL67" t="s">
        <v>403</v>
      </c>
      <c r="AM67" t="s">
        <v>404</v>
      </c>
      <c r="AN67" t="s">
        <v>405</v>
      </c>
      <c r="AO67" t="s">
        <v>1489</v>
      </c>
      <c r="AP67" t="s">
        <v>1490</v>
      </c>
      <c r="AQ67" t="s">
        <v>74</v>
      </c>
      <c r="AR67" t="s">
        <v>1477</v>
      </c>
      <c r="AS67" t="s">
        <v>1491</v>
      </c>
      <c r="AT67" t="s">
        <v>98</v>
      </c>
      <c r="AU67">
        <v>2014</v>
      </c>
      <c r="AV67">
        <v>61</v>
      </c>
      <c r="AW67">
        <v>3</v>
      </c>
      <c r="AX67" t="s">
        <v>74</v>
      </c>
      <c r="AY67" t="s">
        <v>74</v>
      </c>
      <c r="AZ67" t="s">
        <v>74</v>
      </c>
      <c r="BA67" t="s">
        <v>74</v>
      </c>
      <c r="BB67">
        <v>691</v>
      </c>
      <c r="BC67">
        <v>711</v>
      </c>
      <c r="BD67" t="s">
        <v>74</v>
      </c>
      <c r="BE67" t="s">
        <v>1492</v>
      </c>
      <c r="BF67" t="str">
        <f>HYPERLINK("http://dx.doi.org/10.1111/sed.12072","http://dx.doi.org/10.1111/sed.12072")</f>
        <v>http://dx.doi.org/10.1111/sed.12072</v>
      </c>
      <c r="BG67" t="s">
        <v>74</v>
      </c>
      <c r="BH67" t="s">
        <v>74</v>
      </c>
      <c r="BI67">
        <v>21</v>
      </c>
      <c r="BJ67" t="s">
        <v>597</v>
      </c>
      <c r="BK67" t="s">
        <v>101</v>
      </c>
      <c r="BL67" t="s">
        <v>597</v>
      </c>
      <c r="BM67" t="s">
        <v>1493</v>
      </c>
      <c r="BN67" t="s">
        <v>74</v>
      </c>
      <c r="BO67" t="s">
        <v>252</v>
      </c>
      <c r="BP67" t="s">
        <v>74</v>
      </c>
      <c r="BQ67" t="s">
        <v>74</v>
      </c>
      <c r="BR67" t="s">
        <v>104</v>
      </c>
      <c r="BS67" t="s">
        <v>1494</v>
      </c>
      <c r="BT67" t="str">
        <f>HYPERLINK("https%3A%2F%2Fwww.webofscience.com%2Fwos%2Fwoscc%2Ffull-record%2FWOS:000332777300004","View Full Record in Web of Science")</f>
        <v>View Full Record in Web of Science</v>
      </c>
    </row>
    <row r="68" spans="1:72" x14ac:dyDescent="0.15">
      <c r="A68" t="s">
        <v>72</v>
      </c>
      <c r="B68" t="s">
        <v>1495</v>
      </c>
      <c r="C68" t="s">
        <v>74</v>
      </c>
      <c r="D68" t="s">
        <v>74</v>
      </c>
      <c r="E68" t="s">
        <v>74</v>
      </c>
      <c r="F68" t="s">
        <v>1496</v>
      </c>
      <c r="G68" t="s">
        <v>74</v>
      </c>
      <c r="H68" t="s">
        <v>74</v>
      </c>
      <c r="I68" t="s">
        <v>1497</v>
      </c>
      <c r="J68" t="s">
        <v>1498</v>
      </c>
      <c r="K68" t="s">
        <v>74</v>
      </c>
      <c r="L68" t="s">
        <v>74</v>
      </c>
      <c r="M68" t="s">
        <v>78</v>
      </c>
      <c r="N68" t="s">
        <v>79</v>
      </c>
      <c r="O68" t="s">
        <v>74</v>
      </c>
      <c r="P68" t="s">
        <v>74</v>
      </c>
      <c r="Q68" t="s">
        <v>74</v>
      </c>
      <c r="R68" t="s">
        <v>74</v>
      </c>
      <c r="S68" t="s">
        <v>74</v>
      </c>
      <c r="T68" t="s">
        <v>74</v>
      </c>
      <c r="U68" t="s">
        <v>74</v>
      </c>
      <c r="V68" t="s">
        <v>1499</v>
      </c>
      <c r="W68" t="s">
        <v>1500</v>
      </c>
      <c r="X68" t="s">
        <v>1501</v>
      </c>
      <c r="Y68" t="s">
        <v>1502</v>
      </c>
      <c r="Z68" t="s">
        <v>1503</v>
      </c>
      <c r="AA68" t="s">
        <v>74</v>
      </c>
      <c r="AB68" t="s">
        <v>74</v>
      </c>
      <c r="AC68" t="s">
        <v>74</v>
      </c>
      <c r="AD68" t="s">
        <v>74</v>
      </c>
      <c r="AE68" t="s">
        <v>74</v>
      </c>
      <c r="AF68" t="s">
        <v>74</v>
      </c>
      <c r="AG68">
        <v>36</v>
      </c>
      <c r="AH68">
        <v>1</v>
      </c>
      <c r="AI68">
        <v>2</v>
      </c>
      <c r="AJ68">
        <v>0</v>
      </c>
      <c r="AK68">
        <v>0</v>
      </c>
      <c r="AL68" t="s">
        <v>1504</v>
      </c>
      <c r="AM68" t="s">
        <v>1505</v>
      </c>
      <c r="AN68" t="s">
        <v>1506</v>
      </c>
      <c r="AO68" t="s">
        <v>1507</v>
      </c>
      <c r="AP68" t="s">
        <v>74</v>
      </c>
      <c r="AQ68" t="s">
        <v>74</v>
      </c>
      <c r="AR68" t="s">
        <v>1498</v>
      </c>
      <c r="AS68" t="s">
        <v>1508</v>
      </c>
      <c r="AT68" t="s">
        <v>98</v>
      </c>
      <c r="AU68">
        <v>2014</v>
      </c>
      <c r="AV68">
        <v>12</v>
      </c>
      <c r="AW68">
        <v>12</v>
      </c>
      <c r="AX68" t="s">
        <v>74</v>
      </c>
      <c r="AY68" t="s">
        <v>74</v>
      </c>
      <c r="AZ68" t="s">
        <v>660</v>
      </c>
      <c r="BA68" t="s">
        <v>74</v>
      </c>
      <c r="BB68">
        <v>127</v>
      </c>
      <c r="BC68">
        <v>141</v>
      </c>
      <c r="BD68" t="s">
        <v>74</v>
      </c>
      <c r="BE68" t="s">
        <v>74</v>
      </c>
      <c r="BF68" t="s">
        <v>74</v>
      </c>
      <c r="BG68" t="s">
        <v>74</v>
      </c>
      <c r="BH68" t="s">
        <v>74</v>
      </c>
      <c r="BI68">
        <v>15</v>
      </c>
      <c r="BJ68" t="s">
        <v>1509</v>
      </c>
      <c r="BK68" t="s">
        <v>975</v>
      </c>
      <c r="BL68" t="s">
        <v>1509</v>
      </c>
      <c r="BM68" t="s">
        <v>1510</v>
      </c>
      <c r="BN68" t="s">
        <v>74</v>
      </c>
      <c r="BO68" t="s">
        <v>74</v>
      </c>
      <c r="BP68" t="s">
        <v>74</v>
      </c>
      <c r="BQ68" t="s">
        <v>74</v>
      </c>
      <c r="BR68" t="s">
        <v>104</v>
      </c>
      <c r="BS68" t="s">
        <v>1511</v>
      </c>
      <c r="BT68" t="str">
        <f>HYPERLINK("https%3A%2F%2Fwww.webofscience.com%2Fwos%2Fwoscc%2Ffull-record%2FWOS:000409838300009","View Full Record in Web of Science")</f>
        <v>View Full Record in Web of Science</v>
      </c>
    </row>
    <row r="69" spans="1:72" x14ac:dyDescent="0.15">
      <c r="A69" t="s">
        <v>72</v>
      </c>
      <c r="B69" t="s">
        <v>1512</v>
      </c>
      <c r="C69" t="s">
        <v>74</v>
      </c>
      <c r="D69" t="s">
        <v>74</v>
      </c>
      <c r="E69" t="s">
        <v>74</v>
      </c>
      <c r="F69" t="s">
        <v>1513</v>
      </c>
      <c r="G69" t="s">
        <v>74</v>
      </c>
      <c r="H69" t="s">
        <v>74</v>
      </c>
      <c r="I69" t="s">
        <v>1514</v>
      </c>
      <c r="J69" t="s">
        <v>1515</v>
      </c>
      <c r="K69" t="s">
        <v>74</v>
      </c>
      <c r="L69" t="s">
        <v>74</v>
      </c>
      <c r="M69" t="s">
        <v>78</v>
      </c>
      <c r="N69" t="s">
        <v>79</v>
      </c>
      <c r="O69" t="s">
        <v>74</v>
      </c>
      <c r="P69" t="s">
        <v>74</v>
      </c>
      <c r="Q69" t="s">
        <v>74</v>
      </c>
      <c r="R69" t="s">
        <v>74</v>
      </c>
      <c r="S69" t="s">
        <v>74</v>
      </c>
      <c r="T69" t="s">
        <v>74</v>
      </c>
      <c r="U69" t="s">
        <v>1516</v>
      </c>
      <c r="V69" t="s">
        <v>1517</v>
      </c>
      <c r="W69" t="s">
        <v>1518</v>
      </c>
      <c r="X69" t="s">
        <v>1519</v>
      </c>
      <c r="Y69" t="s">
        <v>1520</v>
      </c>
      <c r="Z69" t="s">
        <v>1521</v>
      </c>
      <c r="AA69" t="s">
        <v>1522</v>
      </c>
      <c r="AB69" t="s">
        <v>1523</v>
      </c>
      <c r="AC69" t="s">
        <v>1134</v>
      </c>
      <c r="AD69" t="s">
        <v>350</v>
      </c>
      <c r="AE69" t="s">
        <v>74</v>
      </c>
      <c r="AF69" t="s">
        <v>74</v>
      </c>
      <c r="AG69">
        <v>60</v>
      </c>
      <c r="AH69">
        <v>41</v>
      </c>
      <c r="AI69">
        <v>41</v>
      </c>
      <c r="AJ69">
        <v>0</v>
      </c>
      <c r="AK69">
        <v>46</v>
      </c>
      <c r="AL69" t="s">
        <v>1524</v>
      </c>
      <c r="AM69" t="s">
        <v>1525</v>
      </c>
      <c r="AN69" t="s">
        <v>1526</v>
      </c>
      <c r="AO69" t="s">
        <v>1527</v>
      </c>
      <c r="AP69" t="s">
        <v>1528</v>
      </c>
      <c r="AQ69" t="s">
        <v>74</v>
      </c>
      <c r="AR69" t="s">
        <v>1529</v>
      </c>
      <c r="AS69" t="s">
        <v>1530</v>
      </c>
      <c r="AT69" t="s">
        <v>98</v>
      </c>
      <c r="AU69">
        <v>2014</v>
      </c>
      <c r="AV69">
        <v>116</v>
      </c>
      <c r="AW69" t="s">
        <v>1531</v>
      </c>
      <c r="AX69" t="s">
        <v>74</v>
      </c>
      <c r="AY69" t="s">
        <v>74</v>
      </c>
      <c r="AZ69" t="s">
        <v>74</v>
      </c>
      <c r="BA69" t="s">
        <v>74</v>
      </c>
      <c r="BB69">
        <v>51</v>
      </c>
      <c r="BC69">
        <v>60</v>
      </c>
      <c r="BD69" t="s">
        <v>74</v>
      </c>
      <c r="BE69" t="s">
        <v>1532</v>
      </c>
      <c r="BF69" t="str">
        <f>HYPERLINK("http://dx.doi.org/10.1007/s00704-013-0935-8","http://dx.doi.org/10.1007/s00704-013-0935-8")</f>
        <v>http://dx.doi.org/10.1007/s00704-013-0935-8</v>
      </c>
      <c r="BG69" t="s">
        <v>74</v>
      </c>
      <c r="BH69" t="s">
        <v>74</v>
      </c>
      <c r="BI69">
        <v>10</v>
      </c>
      <c r="BJ69" t="s">
        <v>1391</v>
      </c>
      <c r="BK69" t="s">
        <v>101</v>
      </c>
      <c r="BL69" t="s">
        <v>1391</v>
      </c>
      <c r="BM69" t="s">
        <v>1533</v>
      </c>
      <c r="BN69" t="s">
        <v>74</v>
      </c>
      <c r="BO69" t="s">
        <v>252</v>
      </c>
      <c r="BP69" t="s">
        <v>74</v>
      </c>
      <c r="BQ69" t="s">
        <v>74</v>
      </c>
      <c r="BR69" t="s">
        <v>104</v>
      </c>
      <c r="BS69" t="s">
        <v>1534</v>
      </c>
      <c r="BT69" t="str">
        <f>HYPERLINK("https%3A%2F%2Fwww.webofscience.com%2Fwos%2Fwoscc%2Ffull-record%2FWOS:000333121800005","View Full Record in Web of Science")</f>
        <v>View Full Record in Web of Science</v>
      </c>
    </row>
    <row r="70" spans="1:72" x14ac:dyDescent="0.15">
      <c r="A70" t="s">
        <v>72</v>
      </c>
      <c r="B70" t="s">
        <v>1535</v>
      </c>
      <c r="C70" t="s">
        <v>74</v>
      </c>
      <c r="D70" t="s">
        <v>74</v>
      </c>
      <c r="E70" t="s">
        <v>74</v>
      </c>
      <c r="F70" t="s">
        <v>1536</v>
      </c>
      <c r="G70" t="s">
        <v>74</v>
      </c>
      <c r="H70" t="s">
        <v>74</v>
      </c>
      <c r="I70" t="s">
        <v>1537</v>
      </c>
      <c r="J70" t="s">
        <v>1538</v>
      </c>
      <c r="K70" t="s">
        <v>74</v>
      </c>
      <c r="L70" t="s">
        <v>74</v>
      </c>
      <c r="M70" t="s">
        <v>78</v>
      </c>
      <c r="N70" t="s">
        <v>79</v>
      </c>
      <c r="O70" t="s">
        <v>74</v>
      </c>
      <c r="P70" t="s">
        <v>74</v>
      </c>
      <c r="Q70" t="s">
        <v>74</v>
      </c>
      <c r="R70" t="s">
        <v>74</v>
      </c>
      <c r="S70" t="s">
        <v>74</v>
      </c>
      <c r="T70" t="s">
        <v>1539</v>
      </c>
      <c r="U70" t="s">
        <v>1540</v>
      </c>
      <c r="V70" t="s">
        <v>1541</v>
      </c>
      <c r="W70" t="s">
        <v>1542</v>
      </c>
      <c r="X70" t="s">
        <v>1543</v>
      </c>
      <c r="Y70" t="s">
        <v>1544</v>
      </c>
      <c r="Z70" t="s">
        <v>1545</v>
      </c>
      <c r="AA70" t="s">
        <v>1546</v>
      </c>
      <c r="AB70" t="s">
        <v>1547</v>
      </c>
      <c r="AC70" t="s">
        <v>1548</v>
      </c>
      <c r="AD70" t="s">
        <v>1549</v>
      </c>
      <c r="AE70" t="s">
        <v>1550</v>
      </c>
      <c r="AF70" t="s">
        <v>74</v>
      </c>
      <c r="AG70">
        <v>16</v>
      </c>
      <c r="AH70">
        <v>18</v>
      </c>
      <c r="AI70">
        <v>18</v>
      </c>
      <c r="AJ70">
        <v>2</v>
      </c>
      <c r="AK70">
        <v>30</v>
      </c>
      <c r="AL70" t="s">
        <v>902</v>
      </c>
      <c r="AM70" t="s">
        <v>653</v>
      </c>
      <c r="AN70" t="s">
        <v>903</v>
      </c>
      <c r="AO70" t="s">
        <v>1551</v>
      </c>
      <c r="AP70" t="s">
        <v>1552</v>
      </c>
      <c r="AQ70" t="s">
        <v>74</v>
      </c>
      <c r="AR70" t="s">
        <v>1553</v>
      </c>
      <c r="AS70" t="s">
        <v>1554</v>
      </c>
      <c r="AT70" t="s">
        <v>330</v>
      </c>
      <c r="AU70">
        <v>2014</v>
      </c>
      <c r="AV70">
        <v>455</v>
      </c>
      <c r="AW70" t="s">
        <v>74</v>
      </c>
      <c r="AX70" t="s">
        <v>74</v>
      </c>
      <c r="AY70" t="s">
        <v>74</v>
      </c>
      <c r="AZ70" t="s">
        <v>74</v>
      </c>
      <c r="BA70" t="s">
        <v>74</v>
      </c>
      <c r="BB70">
        <v>330</v>
      </c>
      <c r="BC70">
        <v>340</v>
      </c>
      <c r="BD70" t="s">
        <v>74</v>
      </c>
      <c r="BE70" t="s">
        <v>1555</v>
      </c>
      <c r="BF70" t="str">
        <f>HYPERLINK("http://dx.doi.org/10.1016/j.memsci.2013.12.026","http://dx.doi.org/10.1016/j.memsci.2013.12.026")</f>
        <v>http://dx.doi.org/10.1016/j.memsci.2013.12.026</v>
      </c>
      <c r="BG70" t="s">
        <v>74</v>
      </c>
      <c r="BH70" t="s">
        <v>74</v>
      </c>
      <c r="BI70">
        <v>11</v>
      </c>
      <c r="BJ70" t="s">
        <v>1556</v>
      </c>
      <c r="BK70" t="s">
        <v>101</v>
      </c>
      <c r="BL70" t="s">
        <v>1557</v>
      </c>
      <c r="BM70" t="s">
        <v>1558</v>
      </c>
      <c r="BN70" t="s">
        <v>74</v>
      </c>
      <c r="BO70" t="s">
        <v>74</v>
      </c>
      <c r="BP70" t="s">
        <v>74</v>
      </c>
      <c r="BQ70" t="s">
        <v>74</v>
      </c>
      <c r="BR70" t="s">
        <v>104</v>
      </c>
      <c r="BS70" t="s">
        <v>1559</v>
      </c>
      <c r="BT70" t="str">
        <f>HYPERLINK("https%3A%2F%2Fwww.webofscience.com%2Fwos%2Fwoscc%2Ffull-record%2FWOS:000330952900034","View Full Record in Web of Science")</f>
        <v>View Full Record in Web of Science</v>
      </c>
    </row>
    <row r="71" spans="1:72" x14ac:dyDescent="0.15">
      <c r="A71" t="s">
        <v>72</v>
      </c>
      <c r="B71" t="s">
        <v>1560</v>
      </c>
      <c r="C71" t="s">
        <v>74</v>
      </c>
      <c r="D71" t="s">
        <v>74</v>
      </c>
      <c r="E71" t="s">
        <v>74</v>
      </c>
      <c r="F71" t="s">
        <v>1561</v>
      </c>
      <c r="G71" t="s">
        <v>74</v>
      </c>
      <c r="H71" t="s">
        <v>74</v>
      </c>
      <c r="I71" t="s">
        <v>1562</v>
      </c>
      <c r="J71" t="s">
        <v>1563</v>
      </c>
      <c r="K71" t="s">
        <v>74</v>
      </c>
      <c r="L71" t="s">
        <v>74</v>
      </c>
      <c r="M71" t="s">
        <v>78</v>
      </c>
      <c r="N71" t="s">
        <v>79</v>
      </c>
      <c r="O71" t="s">
        <v>74</v>
      </c>
      <c r="P71" t="s">
        <v>74</v>
      </c>
      <c r="Q71" t="s">
        <v>74</v>
      </c>
      <c r="R71" t="s">
        <v>74</v>
      </c>
      <c r="S71" t="s">
        <v>74</v>
      </c>
      <c r="T71" t="s">
        <v>74</v>
      </c>
      <c r="U71" t="s">
        <v>1564</v>
      </c>
      <c r="V71" t="s">
        <v>1565</v>
      </c>
      <c r="W71" t="s">
        <v>1566</v>
      </c>
      <c r="X71" t="s">
        <v>1567</v>
      </c>
      <c r="Y71" t="s">
        <v>1568</v>
      </c>
      <c r="Z71" t="s">
        <v>1569</v>
      </c>
      <c r="AA71" t="s">
        <v>1570</v>
      </c>
      <c r="AB71" t="s">
        <v>1571</v>
      </c>
      <c r="AC71" t="s">
        <v>1572</v>
      </c>
      <c r="AD71" t="s">
        <v>1573</v>
      </c>
      <c r="AE71" t="s">
        <v>1574</v>
      </c>
      <c r="AF71" t="s">
        <v>74</v>
      </c>
      <c r="AG71">
        <v>18</v>
      </c>
      <c r="AH71">
        <v>3</v>
      </c>
      <c r="AI71">
        <v>3</v>
      </c>
      <c r="AJ71">
        <v>0</v>
      </c>
      <c r="AK71">
        <v>26</v>
      </c>
      <c r="AL71" t="s">
        <v>902</v>
      </c>
      <c r="AM71" t="s">
        <v>653</v>
      </c>
      <c r="AN71" t="s">
        <v>903</v>
      </c>
      <c r="AO71" t="s">
        <v>1575</v>
      </c>
      <c r="AP71" t="s">
        <v>1576</v>
      </c>
      <c r="AQ71" t="s">
        <v>74</v>
      </c>
      <c r="AR71" t="s">
        <v>1577</v>
      </c>
      <c r="AS71" t="s">
        <v>1578</v>
      </c>
      <c r="AT71" t="s">
        <v>1579</v>
      </c>
      <c r="AU71">
        <v>2014</v>
      </c>
      <c r="AV71">
        <v>597</v>
      </c>
      <c r="AW71" t="s">
        <v>74</v>
      </c>
      <c r="AX71" t="s">
        <v>74</v>
      </c>
      <c r="AY71" t="s">
        <v>74</v>
      </c>
      <c r="AZ71" t="s">
        <v>74</v>
      </c>
      <c r="BA71" t="s">
        <v>74</v>
      </c>
      <c r="BB71">
        <v>16</v>
      </c>
      <c r="BC71">
        <v>19</v>
      </c>
      <c r="BD71" t="s">
        <v>74</v>
      </c>
      <c r="BE71" t="s">
        <v>1580</v>
      </c>
      <c r="BF71" t="str">
        <f>HYPERLINK("http://dx.doi.org/10.1016/j.cplett.2014.02.011","http://dx.doi.org/10.1016/j.cplett.2014.02.011")</f>
        <v>http://dx.doi.org/10.1016/j.cplett.2014.02.011</v>
      </c>
      <c r="BG71" t="s">
        <v>74</v>
      </c>
      <c r="BH71" t="s">
        <v>74</v>
      </c>
      <c r="BI71">
        <v>4</v>
      </c>
      <c r="BJ71" t="s">
        <v>1581</v>
      </c>
      <c r="BK71" t="s">
        <v>101</v>
      </c>
      <c r="BL71" t="s">
        <v>1582</v>
      </c>
      <c r="BM71" t="s">
        <v>1583</v>
      </c>
      <c r="BN71" t="s">
        <v>74</v>
      </c>
      <c r="BO71" t="s">
        <v>74</v>
      </c>
      <c r="BP71" t="s">
        <v>74</v>
      </c>
      <c r="BQ71" t="s">
        <v>74</v>
      </c>
      <c r="BR71" t="s">
        <v>104</v>
      </c>
      <c r="BS71" t="s">
        <v>1584</v>
      </c>
      <c r="BT71" t="str">
        <f>HYPERLINK("https%3A%2F%2Fwww.webofscience.com%2Fwos%2Fwoscc%2Ffull-record%2FWOS:000333459700003","View Full Record in Web of Science")</f>
        <v>View Full Record in Web of Science</v>
      </c>
    </row>
    <row r="72" spans="1:72" x14ac:dyDescent="0.15">
      <c r="A72" t="s">
        <v>72</v>
      </c>
      <c r="B72" t="s">
        <v>1585</v>
      </c>
      <c r="C72" t="s">
        <v>74</v>
      </c>
      <c r="D72" t="s">
        <v>74</v>
      </c>
      <c r="E72" t="s">
        <v>74</v>
      </c>
      <c r="F72" t="s">
        <v>1586</v>
      </c>
      <c r="G72" t="s">
        <v>74</v>
      </c>
      <c r="H72" t="s">
        <v>74</v>
      </c>
      <c r="I72" t="s">
        <v>1587</v>
      </c>
      <c r="J72" t="s">
        <v>1588</v>
      </c>
      <c r="K72" t="s">
        <v>74</v>
      </c>
      <c r="L72" t="s">
        <v>74</v>
      </c>
      <c r="M72" t="s">
        <v>78</v>
      </c>
      <c r="N72" t="s">
        <v>79</v>
      </c>
      <c r="O72" t="s">
        <v>74</v>
      </c>
      <c r="P72" t="s">
        <v>74</v>
      </c>
      <c r="Q72" t="s">
        <v>74</v>
      </c>
      <c r="R72" t="s">
        <v>74</v>
      </c>
      <c r="S72" t="s">
        <v>74</v>
      </c>
      <c r="T72" t="s">
        <v>1589</v>
      </c>
      <c r="U72" t="s">
        <v>1590</v>
      </c>
      <c r="V72" t="s">
        <v>1591</v>
      </c>
      <c r="W72" t="s">
        <v>1592</v>
      </c>
      <c r="X72" t="s">
        <v>1593</v>
      </c>
      <c r="Y72" t="s">
        <v>1594</v>
      </c>
      <c r="Z72" t="s">
        <v>1595</v>
      </c>
      <c r="AA72" t="s">
        <v>1596</v>
      </c>
      <c r="AB72" t="s">
        <v>1597</v>
      </c>
      <c r="AC72" t="s">
        <v>1598</v>
      </c>
      <c r="AD72" t="s">
        <v>1599</v>
      </c>
      <c r="AE72" t="s">
        <v>1600</v>
      </c>
      <c r="AF72" t="s">
        <v>74</v>
      </c>
      <c r="AG72">
        <v>48</v>
      </c>
      <c r="AH72">
        <v>61</v>
      </c>
      <c r="AI72">
        <v>69</v>
      </c>
      <c r="AJ72">
        <v>1</v>
      </c>
      <c r="AK72">
        <v>36</v>
      </c>
      <c r="AL72" t="s">
        <v>568</v>
      </c>
      <c r="AM72" t="s">
        <v>447</v>
      </c>
      <c r="AN72" t="s">
        <v>569</v>
      </c>
      <c r="AO72" t="s">
        <v>1601</v>
      </c>
      <c r="AP72" t="s">
        <v>1602</v>
      </c>
      <c r="AQ72" t="s">
        <v>74</v>
      </c>
      <c r="AR72" t="s">
        <v>1603</v>
      </c>
      <c r="AS72" t="s">
        <v>1604</v>
      </c>
      <c r="AT72" t="s">
        <v>1579</v>
      </c>
      <c r="AU72">
        <v>2014</v>
      </c>
      <c r="AV72">
        <v>41</v>
      </c>
      <c r="AW72">
        <v>6</v>
      </c>
      <c r="AX72" t="s">
        <v>74</v>
      </c>
      <c r="AY72" t="s">
        <v>74</v>
      </c>
      <c r="AZ72" t="s">
        <v>74</v>
      </c>
      <c r="BA72" t="s">
        <v>74</v>
      </c>
      <c r="BB72">
        <v>2003</v>
      </c>
      <c r="BC72">
        <v>2010</v>
      </c>
      <c r="BD72" t="s">
        <v>74</v>
      </c>
      <c r="BE72" t="s">
        <v>1605</v>
      </c>
      <c r="BF72" t="str">
        <f>HYPERLINK("http://dx.doi.org/10.1002/2014GL059250","http://dx.doi.org/10.1002/2014GL059250")</f>
        <v>http://dx.doi.org/10.1002/2014GL059250</v>
      </c>
      <c r="BG72" t="s">
        <v>74</v>
      </c>
      <c r="BH72" t="s">
        <v>74</v>
      </c>
      <c r="BI72">
        <v>8</v>
      </c>
      <c r="BJ72" t="s">
        <v>952</v>
      </c>
      <c r="BK72" t="s">
        <v>101</v>
      </c>
      <c r="BL72" t="s">
        <v>597</v>
      </c>
      <c r="BM72" t="s">
        <v>1606</v>
      </c>
      <c r="BN72" t="s">
        <v>74</v>
      </c>
      <c r="BO72" t="s">
        <v>1607</v>
      </c>
      <c r="BP72" t="s">
        <v>74</v>
      </c>
      <c r="BQ72" t="s">
        <v>74</v>
      </c>
      <c r="BR72" t="s">
        <v>104</v>
      </c>
      <c r="BS72" t="s">
        <v>1608</v>
      </c>
      <c r="BT72" t="str">
        <f>HYPERLINK("https%3A%2F%2Fwww.webofscience.com%2Fwos%2Fwoscc%2Ffull-record%2FWOS:000334264900026","View Full Record in Web of Science")</f>
        <v>View Full Record in Web of Science</v>
      </c>
    </row>
    <row r="73" spans="1:72" x14ac:dyDescent="0.15">
      <c r="A73" t="s">
        <v>72</v>
      </c>
      <c r="B73" t="s">
        <v>1609</v>
      </c>
      <c r="C73" t="s">
        <v>74</v>
      </c>
      <c r="D73" t="s">
        <v>74</v>
      </c>
      <c r="E73" t="s">
        <v>74</v>
      </c>
      <c r="F73" t="s">
        <v>1610</v>
      </c>
      <c r="G73" t="s">
        <v>74</v>
      </c>
      <c r="H73" t="s">
        <v>74</v>
      </c>
      <c r="I73" t="s">
        <v>1611</v>
      </c>
      <c r="J73" t="s">
        <v>1588</v>
      </c>
      <c r="K73" t="s">
        <v>74</v>
      </c>
      <c r="L73" t="s">
        <v>74</v>
      </c>
      <c r="M73" t="s">
        <v>78</v>
      </c>
      <c r="N73" t="s">
        <v>79</v>
      </c>
      <c r="O73" t="s">
        <v>74</v>
      </c>
      <c r="P73" t="s">
        <v>74</v>
      </c>
      <c r="Q73" t="s">
        <v>74</v>
      </c>
      <c r="R73" t="s">
        <v>74</v>
      </c>
      <c r="S73" t="s">
        <v>74</v>
      </c>
      <c r="T73" t="s">
        <v>1612</v>
      </c>
      <c r="U73" t="s">
        <v>1613</v>
      </c>
      <c r="V73" t="s">
        <v>1614</v>
      </c>
      <c r="W73" t="s">
        <v>1615</v>
      </c>
      <c r="X73" t="s">
        <v>1616</v>
      </c>
      <c r="Y73" t="s">
        <v>1617</v>
      </c>
      <c r="Z73" t="s">
        <v>1618</v>
      </c>
      <c r="AA73" t="s">
        <v>1619</v>
      </c>
      <c r="AB73" t="s">
        <v>1620</v>
      </c>
      <c r="AC73" t="s">
        <v>1621</v>
      </c>
      <c r="AD73" t="s">
        <v>1622</v>
      </c>
      <c r="AE73" t="s">
        <v>1623</v>
      </c>
      <c r="AF73" t="s">
        <v>74</v>
      </c>
      <c r="AG73">
        <v>42</v>
      </c>
      <c r="AH73">
        <v>7</v>
      </c>
      <c r="AI73">
        <v>7</v>
      </c>
      <c r="AJ73">
        <v>2</v>
      </c>
      <c r="AK73">
        <v>17</v>
      </c>
      <c r="AL73" t="s">
        <v>568</v>
      </c>
      <c r="AM73" t="s">
        <v>447</v>
      </c>
      <c r="AN73" t="s">
        <v>569</v>
      </c>
      <c r="AO73" t="s">
        <v>1601</v>
      </c>
      <c r="AP73" t="s">
        <v>1602</v>
      </c>
      <c r="AQ73" t="s">
        <v>74</v>
      </c>
      <c r="AR73" t="s">
        <v>1603</v>
      </c>
      <c r="AS73" t="s">
        <v>1604</v>
      </c>
      <c r="AT73" t="s">
        <v>1579</v>
      </c>
      <c r="AU73">
        <v>2014</v>
      </c>
      <c r="AV73">
        <v>41</v>
      </c>
      <c r="AW73">
        <v>6</v>
      </c>
      <c r="AX73" t="s">
        <v>74</v>
      </c>
      <c r="AY73" t="s">
        <v>74</v>
      </c>
      <c r="AZ73" t="s">
        <v>74</v>
      </c>
      <c r="BA73" t="s">
        <v>74</v>
      </c>
      <c r="BB73">
        <v>2011</v>
      </c>
      <c r="BC73">
        <v>2018</v>
      </c>
      <c r="BD73" t="s">
        <v>74</v>
      </c>
      <c r="BE73" t="s">
        <v>1624</v>
      </c>
      <c r="BF73" t="str">
        <f>HYPERLINK("http://dx.doi.org/10.1002/2013GL058872","http://dx.doi.org/10.1002/2013GL058872")</f>
        <v>http://dx.doi.org/10.1002/2013GL058872</v>
      </c>
      <c r="BG73" t="s">
        <v>74</v>
      </c>
      <c r="BH73" t="s">
        <v>74</v>
      </c>
      <c r="BI73">
        <v>8</v>
      </c>
      <c r="BJ73" t="s">
        <v>952</v>
      </c>
      <c r="BK73" t="s">
        <v>101</v>
      </c>
      <c r="BL73" t="s">
        <v>597</v>
      </c>
      <c r="BM73" t="s">
        <v>1606</v>
      </c>
      <c r="BN73" t="s">
        <v>74</v>
      </c>
      <c r="BO73" t="s">
        <v>454</v>
      </c>
      <c r="BP73" t="s">
        <v>74</v>
      </c>
      <c r="BQ73" t="s">
        <v>74</v>
      </c>
      <c r="BR73" t="s">
        <v>104</v>
      </c>
      <c r="BS73" t="s">
        <v>1625</v>
      </c>
      <c r="BT73" t="str">
        <f>HYPERLINK("https%3A%2F%2Fwww.webofscience.com%2Fwos%2Fwoscc%2Ffull-record%2FWOS:000334264900027","View Full Record in Web of Science")</f>
        <v>View Full Record in Web of Science</v>
      </c>
    </row>
    <row r="74" spans="1:72" x14ac:dyDescent="0.15">
      <c r="A74" t="s">
        <v>72</v>
      </c>
      <c r="B74" t="s">
        <v>1626</v>
      </c>
      <c r="C74" t="s">
        <v>74</v>
      </c>
      <c r="D74" t="s">
        <v>74</v>
      </c>
      <c r="E74" t="s">
        <v>74</v>
      </c>
      <c r="F74" t="s">
        <v>1627</v>
      </c>
      <c r="G74" t="s">
        <v>74</v>
      </c>
      <c r="H74" t="s">
        <v>74</v>
      </c>
      <c r="I74" t="s">
        <v>1628</v>
      </c>
      <c r="J74" t="s">
        <v>1588</v>
      </c>
      <c r="K74" t="s">
        <v>74</v>
      </c>
      <c r="L74" t="s">
        <v>74</v>
      </c>
      <c r="M74" t="s">
        <v>78</v>
      </c>
      <c r="N74" t="s">
        <v>79</v>
      </c>
      <c r="O74" t="s">
        <v>74</v>
      </c>
      <c r="P74" t="s">
        <v>74</v>
      </c>
      <c r="Q74" t="s">
        <v>74</v>
      </c>
      <c r="R74" t="s">
        <v>74</v>
      </c>
      <c r="S74" t="s">
        <v>74</v>
      </c>
      <c r="T74" t="s">
        <v>1629</v>
      </c>
      <c r="U74" t="s">
        <v>1630</v>
      </c>
      <c r="V74" t="s">
        <v>1631</v>
      </c>
      <c r="W74" t="s">
        <v>1632</v>
      </c>
      <c r="X74" t="s">
        <v>1633</v>
      </c>
      <c r="Y74" t="s">
        <v>1634</v>
      </c>
      <c r="Z74" t="s">
        <v>1635</v>
      </c>
      <c r="AA74" t="s">
        <v>1636</v>
      </c>
      <c r="AB74" t="s">
        <v>1637</v>
      </c>
      <c r="AC74" t="s">
        <v>1638</v>
      </c>
      <c r="AD74" t="s">
        <v>1639</v>
      </c>
      <c r="AE74" t="s">
        <v>1640</v>
      </c>
      <c r="AF74" t="s">
        <v>74</v>
      </c>
      <c r="AG74">
        <v>37</v>
      </c>
      <c r="AH74">
        <v>11</v>
      </c>
      <c r="AI74">
        <v>11</v>
      </c>
      <c r="AJ74">
        <v>0</v>
      </c>
      <c r="AK74">
        <v>16</v>
      </c>
      <c r="AL74" t="s">
        <v>568</v>
      </c>
      <c r="AM74" t="s">
        <v>447</v>
      </c>
      <c r="AN74" t="s">
        <v>569</v>
      </c>
      <c r="AO74" t="s">
        <v>1601</v>
      </c>
      <c r="AP74" t="s">
        <v>1602</v>
      </c>
      <c r="AQ74" t="s">
        <v>74</v>
      </c>
      <c r="AR74" t="s">
        <v>1603</v>
      </c>
      <c r="AS74" t="s">
        <v>1604</v>
      </c>
      <c r="AT74" t="s">
        <v>1579</v>
      </c>
      <c r="AU74">
        <v>2014</v>
      </c>
      <c r="AV74">
        <v>41</v>
      </c>
      <c r="AW74">
        <v>6</v>
      </c>
      <c r="AX74" t="s">
        <v>74</v>
      </c>
      <c r="AY74" t="s">
        <v>74</v>
      </c>
      <c r="AZ74" t="s">
        <v>74</v>
      </c>
      <c r="BA74" t="s">
        <v>74</v>
      </c>
      <c r="BB74">
        <v>2228</v>
      </c>
      <c r="BC74">
        <v>2235</v>
      </c>
      <c r="BD74" t="s">
        <v>74</v>
      </c>
      <c r="BE74" t="s">
        <v>1641</v>
      </c>
      <c r="BF74" t="str">
        <f>HYPERLINK("http://dx.doi.org/10.1002/2013GL059143","http://dx.doi.org/10.1002/2013GL059143")</f>
        <v>http://dx.doi.org/10.1002/2013GL059143</v>
      </c>
      <c r="BG74" t="s">
        <v>74</v>
      </c>
      <c r="BH74" t="s">
        <v>74</v>
      </c>
      <c r="BI74">
        <v>8</v>
      </c>
      <c r="BJ74" t="s">
        <v>952</v>
      </c>
      <c r="BK74" t="s">
        <v>101</v>
      </c>
      <c r="BL74" t="s">
        <v>597</v>
      </c>
      <c r="BM74" t="s">
        <v>1606</v>
      </c>
      <c r="BN74" t="s">
        <v>74</v>
      </c>
      <c r="BO74" t="s">
        <v>1607</v>
      </c>
      <c r="BP74" t="s">
        <v>74</v>
      </c>
      <c r="BQ74" t="s">
        <v>74</v>
      </c>
      <c r="BR74" t="s">
        <v>104</v>
      </c>
      <c r="BS74" t="s">
        <v>1642</v>
      </c>
      <c r="BT74" t="str">
        <f>HYPERLINK("https%3A%2F%2Fwww.webofscience.com%2Fwos%2Fwoscc%2Ffull-record%2FWOS:000334264900056","View Full Record in Web of Science")</f>
        <v>View Full Record in Web of Science</v>
      </c>
    </row>
    <row r="75" spans="1:72" x14ac:dyDescent="0.15">
      <c r="A75" t="s">
        <v>72</v>
      </c>
      <c r="B75" t="s">
        <v>1643</v>
      </c>
      <c r="C75" t="s">
        <v>74</v>
      </c>
      <c r="D75" t="s">
        <v>74</v>
      </c>
      <c r="E75" t="s">
        <v>74</v>
      </c>
      <c r="F75" t="s">
        <v>1644</v>
      </c>
      <c r="G75" t="s">
        <v>74</v>
      </c>
      <c r="H75" t="s">
        <v>74</v>
      </c>
      <c r="I75" t="s">
        <v>1645</v>
      </c>
      <c r="J75" t="s">
        <v>1646</v>
      </c>
      <c r="K75" t="s">
        <v>74</v>
      </c>
      <c r="L75" t="s">
        <v>74</v>
      </c>
      <c r="M75" t="s">
        <v>78</v>
      </c>
      <c r="N75" t="s">
        <v>79</v>
      </c>
      <c r="O75" t="s">
        <v>74</v>
      </c>
      <c r="P75" t="s">
        <v>74</v>
      </c>
      <c r="Q75" t="s">
        <v>74</v>
      </c>
      <c r="R75" t="s">
        <v>74</v>
      </c>
      <c r="S75" t="s">
        <v>74</v>
      </c>
      <c r="T75" t="s">
        <v>74</v>
      </c>
      <c r="U75" t="s">
        <v>1647</v>
      </c>
      <c r="V75" t="s">
        <v>1648</v>
      </c>
      <c r="W75" t="s">
        <v>1649</v>
      </c>
      <c r="X75" t="s">
        <v>1650</v>
      </c>
      <c r="Y75" t="s">
        <v>1651</v>
      </c>
      <c r="Z75" t="s">
        <v>1652</v>
      </c>
      <c r="AA75" t="s">
        <v>1653</v>
      </c>
      <c r="AB75" t="s">
        <v>1654</v>
      </c>
      <c r="AC75" t="s">
        <v>1655</v>
      </c>
      <c r="AD75" t="s">
        <v>1656</v>
      </c>
      <c r="AE75" t="s">
        <v>1657</v>
      </c>
      <c r="AF75" t="s">
        <v>74</v>
      </c>
      <c r="AG75">
        <v>62</v>
      </c>
      <c r="AH75">
        <v>20</v>
      </c>
      <c r="AI75">
        <v>25</v>
      </c>
      <c r="AJ75">
        <v>0</v>
      </c>
      <c r="AK75">
        <v>8</v>
      </c>
      <c r="AL75" t="s">
        <v>568</v>
      </c>
      <c r="AM75" t="s">
        <v>447</v>
      </c>
      <c r="AN75" t="s">
        <v>569</v>
      </c>
      <c r="AO75" t="s">
        <v>1658</v>
      </c>
      <c r="AP75" t="s">
        <v>1659</v>
      </c>
      <c r="AQ75" t="s">
        <v>74</v>
      </c>
      <c r="AR75" t="s">
        <v>1660</v>
      </c>
      <c r="AS75" t="s">
        <v>1661</v>
      </c>
      <c r="AT75" t="s">
        <v>1662</v>
      </c>
      <c r="AU75">
        <v>2014</v>
      </c>
      <c r="AV75">
        <v>119</v>
      </c>
      <c r="AW75">
        <v>6</v>
      </c>
      <c r="AX75" t="s">
        <v>74</v>
      </c>
      <c r="AY75" t="s">
        <v>74</v>
      </c>
      <c r="AZ75" t="s">
        <v>74</v>
      </c>
      <c r="BA75" t="s">
        <v>74</v>
      </c>
      <c r="BB75">
        <v>2846</v>
      </c>
      <c r="BC75">
        <v>2863</v>
      </c>
      <c r="BD75" t="s">
        <v>74</v>
      </c>
      <c r="BE75" t="s">
        <v>1663</v>
      </c>
      <c r="BF75" t="str">
        <f>HYPERLINK("http://dx.doi.org/10.1002/2013JD020784","http://dx.doi.org/10.1002/2013JD020784")</f>
        <v>http://dx.doi.org/10.1002/2013JD020784</v>
      </c>
      <c r="BG75" t="s">
        <v>74</v>
      </c>
      <c r="BH75" t="s">
        <v>74</v>
      </c>
      <c r="BI75">
        <v>18</v>
      </c>
      <c r="BJ75" t="s">
        <v>1391</v>
      </c>
      <c r="BK75" t="s">
        <v>101</v>
      </c>
      <c r="BL75" t="s">
        <v>1391</v>
      </c>
      <c r="BM75" t="s">
        <v>1664</v>
      </c>
      <c r="BN75" t="s">
        <v>74</v>
      </c>
      <c r="BO75" t="s">
        <v>74</v>
      </c>
      <c r="BP75" t="s">
        <v>74</v>
      </c>
      <c r="BQ75" t="s">
        <v>74</v>
      </c>
      <c r="BR75" t="s">
        <v>104</v>
      </c>
      <c r="BS75" t="s">
        <v>1665</v>
      </c>
      <c r="BT75" t="str">
        <f>HYPERLINK("https%3A%2F%2Fwww.webofscience.com%2Fwos%2Fwoscc%2Ffull-record%2FWOS:000336046600010","View Full Record in Web of Science")</f>
        <v>View Full Record in Web of Science</v>
      </c>
    </row>
    <row r="76" spans="1:72" x14ac:dyDescent="0.15">
      <c r="A76" t="s">
        <v>72</v>
      </c>
      <c r="B76" t="s">
        <v>1666</v>
      </c>
      <c r="C76" t="s">
        <v>74</v>
      </c>
      <c r="D76" t="s">
        <v>74</v>
      </c>
      <c r="E76" t="s">
        <v>74</v>
      </c>
      <c r="F76" t="s">
        <v>1667</v>
      </c>
      <c r="G76" t="s">
        <v>74</v>
      </c>
      <c r="H76" t="s">
        <v>74</v>
      </c>
      <c r="I76" t="s">
        <v>1668</v>
      </c>
      <c r="J76" t="s">
        <v>1646</v>
      </c>
      <c r="K76" t="s">
        <v>74</v>
      </c>
      <c r="L76" t="s">
        <v>74</v>
      </c>
      <c r="M76" t="s">
        <v>78</v>
      </c>
      <c r="N76" t="s">
        <v>79</v>
      </c>
      <c r="O76" t="s">
        <v>74</v>
      </c>
      <c r="P76" t="s">
        <v>74</v>
      </c>
      <c r="Q76" t="s">
        <v>74</v>
      </c>
      <c r="R76" t="s">
        <v>74</v>
      </c>
      <c r="S76" t="s">
        <v>74</v>
      </c>
      <c r="T76" t="s">
        <v>74</v>
      </c>
      <c r="U76" t="s">
        <v>1669</v>
      </c>
      <c r="V76" t="s">
        <v>1670</v>
      </c>
      <c r="W76" t="s">
        <v>1671</v>
      </c>
      <c r="X76" t="s">
        <v>1672</v>
      </c>
      <c r="Y76" t="s">
        <v>1673</v>
      </c>
      <c r="Z76" t="s">
        <v>1674</v>
      </c>
      <c r="AA76" t="s">
        <v>1675</v>
      </c>
      <c r="AB76" t="s">
        <v>1676</v>
      </c>
      <c r="AC76" t="s">
        <v>1677</v>
      </c>
      <c r="AD76" t="s">
        <v>1678</v>
      </c>
      <c r="AE76" t="s">
        <v>1679</v>
      </c>
      <c r="AF76" t="s">
        <v>74</v>
      </c>
      <c r="AG76">
        <v>52</v>
      </c>
      <c r="AH76">
        <v>51</v>
      </c>
      <c r="AI76">
        <v>55</v>
      </c>
      <c r="AJ76">
        <v>0</v>
      </c>
      <c r="AK76">
        <v>22</v>
      </c>
      <c r="AL76" t="s">
        <v>568</v>
      </c>
      <c r="AM76" t="s">
        <v>447</v>
      </c>
      <c r="AN76" t="s">
        <v>569</v>
      </c>
      <c r="AO76" t="s">
        <v>1658</v>
      </c>
      <c r="AP76" t="s">
        <v>1659</v>
      </c>
      <c r="AQ76" t="s">
        <v>74</v>
      </c>
      <c r="AR76" t="s">
        <v>1660</v>
      </c>
      <c r="AS76" t="s">
        <v>1661</v>
      </c>
      <c r="AT76" t="s">
        <v>1662</v>
      </c>
      <c r="AU76">
        <v>2014</v>
      </c>
      <c r="AV76">
        <v>119</v>
      </c>
      <c r="AW76">
        <v>6</v>
      </c>
      <c r="AX76" t="s">
        <v>74</v>
      </c>
      <c r="AY76" t="s">
        <v>74</v>
      </c>
      <c r="AZ76" t="s">
        <v>74</v>
      </c>
      <c r="BA76" t="s">
        <v>74</v>
      </c>
      <c r="BB76">
        <v>2811</v>
      </c>
      <c r="BC76">
        <v>2830</v>
      </c>
      <c r="BD76" t="s">
        <v>74</v>
      </c>
      <c r="BE76" t="s">
        <v>1680</v>
      </c>
      <c r="BF76" t="str">
        <f>HYPERLINK("http://dx.doi.org/10.1002/2013JD021352","http://dx.doi.org/10.1002/2013JD021352")</f>
        <v>http://dx.doi.org/10.1002/2013JD021352</v>
      </c>
      <c r="BG76" t="s">
        <v>74</v>
      </c>
      <c r="BH76" t="s">
        <v>74</v>
      </c>
      <c r="BI76">
        <v>20</v>
      </c>
      <c r="BJ76" t="s">
        <v>1391</v>
      </c>
      <c r="BK76" t="s">
        <v>101</v>
      </c>
      <c r="BL76" t="s">
        <v>1391</v>
      </c>
      <c r="BM76" t="s">
        <v>1664</v>
      </c>
      <c r="BN76" t="s">
        <v>74</v>
      </c>
      <c r="BO76" t="s">
        <v>787</v>
      </c>
      <c r="BP76" t="s">
        <v>74</v>
      </c>
      <c r="BQ76" t="s">
        <v>74</v>
      </c>
      <c r="BR76" t="s">
        <v>104</v>
      </c>
      <c r="BS76" t="s">
        <v>1681</v>
      </c>
      <c r="BT76" t="str">
        <f>HYPERLINK("https%3A%2F%2Fwww.webofscience.com%2Fwos%2Fwoscc%2Ffull-record%2FWOS:000336046600008","View Full Record in Web of Science")</f>
        <v>View Full Record in Web of Science</v>
      </c>
    </row>
    <row r="77" spans="1:72" x14ac:dyDescent="0.15">
      <c r="A77" t="s">
        <v>72</v>
      </c>
      <c r="B77" t="s">
        <v>1682</v>
      </c>
      <c r="C77" t="s">
        <v>74</v>
      </c>
      <c r="D77" t="s">
        <v>74</v>
      </c>
      <c r="E77" t="s">
        <v>74</v>
      </c>
      <c r="F77" t="s">
        <v>1683</v>
      </c>
      <c r="G77" t="s">
        <v>74</v>
      </c>
      <c r="H77" t="s">
        <v>74</v>
      </c>
      <c r="I77" t="s">
        <v>1684</v>
      </c>
      <c r="J77" t="s">
        <v>1646</v>
      </c>
      <c r="K77" t="s">
        <v>74</v>
      </c>
      <c r="L77" t="s">
        <v>74</v>
      </c>
      <c r="M77" t="s">
        <v>78</v>
      </c>
      <c r="N77" t="s">
        <v>79</v>
      </c>
      <c r="O77" t="s">
        <v>74</v>
      </c>
      <c r="P77" t="s">
        <v>74</v>
      </c>
      <c r="Q77" t="s">
        <v>74</v>
      </c>
      <c r="R77" t="s">
        <v>74</v>
      </c>
      <c r="S77" t="s">
        <v>74</v>
      </c>
      <c r="T77" t="s">
        <v>74</v>
      </c>
      <c r="U77" t="s">
        <v>1685</v>
      </c>
      <c r="V77" t="s">
        <v>1686</v>
      </c>
      <c r="W77" t="s">
        <v>1687</v>
      </c>
      <c r="X77" t="s">
        <v>1688</v>
      </c>
      <c r="Y77" t="s">
        <v>1689</v>
      </c>
      <c r="Z77" t="s">
        <v>1690</v>
      </c>
      <c r="AA77" t="s">
        <v>74</v>
      </c>
      <c r="AB77" t="s">
        <v>74</v>
      </c>
      <c r="AC77" t="s">
        <v>1691</v>
      </c>
      <c r="AD77" t="s">
        <v>1692</v>
      </c>
      <c r="AE77" t="s">
        <v>1693</v>
      </c>
      <c r="AF77" t="s">
        <v>74</v>
      </c>
      <c r="AG77">
        <v>46</v>
      </c>
      <c r="AH77">
        <v>322</v>
      </c>
      <c r="AI77">
        <v>333</v>
      </c>
      <c r="AJ77">
        <v>4</v>
      </c>
      <c r="AK77">
        <v>32</v>
      </c>
      <c r="AL77" t="s">
        <v>568</v>
      </c>
      <c r="AM77" t="s">
        <v>447</v>
      </c>
      <c r="AN77" t="s">
        <v>569</v>
      </c>
      <c r="AO77" t="s">
        <v>1658</v>
      </c>
      <c r="AP77" t="s">
        <v>1659</v>
      </c>
      <c r="AQ77" t="s">
        <v>74</v>
      </c>
      <c r="AR77" t="s">
        <v>1660</v>
      </c>
      <c r="AS77" t="s">
        <v>1661</v>
      </c>
      <c r="AT77" t="s">
        <v>1662</v>
      </c>
      <c r="AU77">
        <v>2014</v>
      </c>
      <c r="AV77">
        <v>119</v>
      </c>
      <c r="AW77">
        <v>6</v>
      </c>
      <c r="AX77" t="s">
        <v>74</v>
      </c>
      <c r="AY77" t="s">
        <v>74</v>
      </c>
      <c r="AZ77" t="s">
        <v>74</v>
      </c>
      <c r="BA77" t="s">
        <v>74</v>
      </c>
      <c r="BB77">
        <v>2864</v>
      </c>
      <c r="BC77">
        <v>2889</v>
      </c>
      <c r="BD77" t="s">
        <v>74</v>
      </c>
      <c r="BE77" t="s">
        <v>1694</v>
      </c>
      <c r="BF77" t="str">
        <f>HYPERLINK("http://dx.doi.org/10.1002/2013JD020316","http://dx.doi.org/10.1002/2013JD020316")</f>
        <v>http://dx.doi.org/10.1002/2013JD020316</v>
      </c>
      <c r="BG77" t="s">
        <v>74</v>
      </c>
      <c r="BH77" t="s">
        <v>74</v>
      </c>
      <c r="BI77">
        <v>26</v>
      </c>
      <c r="BJ77" t="s">
        <v>1391</v>
      </c>
      <c r="BK77" t="s">
        <v>101</v>
      </c>
      <c r="BL77" t="s">
        <v>1391</v>
      </c>
      <c r="BM77" t="s">
        <v>1664</v>
      </c>
      <c r="BN77" t="s">
        <v>74</v>
      </c>
      <c r="BO77" t="s">
        <v>74</v>
      </c>
      <c r="BP77" t="s">
        <v>811</v>
      </c>
      <c r="BQ77" t="s">
        <v>812</v>
      </c>
      <c r="BR77" t="s">
        <v>104</v>
      </c>
      <c r="BS77" t="s">
        <v>1695</v>
      </c>
      <c r="BT77" t="str">
        <f>HYPERLINK("https%3A%2F%2Fwww.webofscience.com%2Fwos%2Fwoscc%2Ffull-record%2FWOS:000336046600011","View Full Record in Web of Science")</f>
        <v>View Full Record in Web of Science</v>
      </c>
    </row>
    <row r="78" spans="1:72" x14ac:dyDescent="0.15">
      <c r="A78" t="s">
        <v>72</v>
      </c>
      <c r="B78" t="s">
        <v>1696</v>
      </c>
      <c r="C78" t="s">
        <v>74</v>
      </c>
      <c r="D78" t="s">
        <v>74</v>
      </c>
      <c r="E78" t="s">
        <v>74</v>
      </c>
      <c r="F78" t="s">
        <v>1697</v>
      </c>
      <c r="G78" t="s">
        <v>74</v>
      </c>
      <c r="H78" t="s">
        <v>74</v>
      </c>
      <c r="I78" t="s">
        <v>1698</v>
      </c>
      <c r="J78" t="s">
        <v>1699</v>
      </c>
      <c r="K78" t="s">
        <v>74</v>
      </c>
      <c r="L78" t="s">
        <v>74</v>
      </c>
      <c r="M78" t="s">
        <v>78</v>
      </c>
      <c r="N78" t="s">
        <v>79</v>
      </c>
      <c r="O78" t="s">
        <v>74</v>
      </c>
      <c r="P78" t="s">
        <v>74</v>
      </c>
      <c r="Q78" t="s">
        <v>74</v>
      </c>
      <c r="R78" t="s">
        <v>74</v>
      </c>
      <c r="S78" t="s">
        <v>74</v>
      </c>
      <c r="T78" t="s">
        <v>1700</v>
      </c>
      <c r="U78" t="s">
        <v>1701</v>
      </c>
      <c r="V78" t="s">
        <v>1702</v>
      </c>
      <c r="W78" t="s">
        <v>1703</v>
      </c>
      <c r="X78" t="s">
        <v>1704</v>
      </c>
      <c r="Y78" t="s">
        <v>1705</v>
      </c>
      <c r="Z78" t="s">
        <v>1706</v>
      </c>
      <c r="AA78" t="s">
        <v>74</v>
      </c>
      <c r="AB78" t="s">
        <v>1707</v>
      </c>
      <c r="AC78" t="s">
        <v>1708</v>
      </c>
      <c r="AD78" t="s">
        <v>1709</v>
      </c>
      <c r="AE78" t="s">
        <v>1710</v>
      </c>
      <c r="AF78" t="s">
        <v>74</v>
      </c>
      <c r="AG78">
        <v>35</v>
      </c>
      <c r="AH78">
        <v>6</v>
      </c>
      <c r="AI78">
        <v>6</v>
      </c>
      <c r="AJ78">
        <v>0</v>
      </c>
      <c r="AK78">
        <v>9</v>
      </c>
      <c r="AL78" t="s">
        <v>1711</v>
      </c>
      <c r="AM78" t="s">
        <v>1712</v>
      </c>
      <c r="AN78" t="s">
        <v>1713</v>
      </c>
      <c r="AO78" t="s">
        <v>1714</v>
      </c>
      <c r="AP78" t="s">
        <v>1715</v>
      </c>
      <c r="AQ78" t="s">
        <v>74</v>
      </c>
      <c r="AR78" t="s">
        <v>1699</v>
      </c>
      <c r="AS78" t="s">
        <v>1716</v>
      </c>
      <c r="AT78" t="s">
        <v>1662</v>
      </c>
      <c r="AU78">
        <v>2014</v>
      </c>
      <c r="AV78">
        <v>3784</v>
      </c>
      <c r="AW78">
        <v>2</v>
      </c>
      <c r="AX78" t="s">
        <v>74</v>
      </c>
      <c r="AY78" t="s">
        <v>74</v>
      </c>
      <c r="AZ78" t="s">
        <v>74</v>
      </c>
      <c r="BA78" t="s">
        <v>74</v>
      </c>
      <c r="BB78">
        <v>101</v>
      </c>
      <c r="BC78">
        <v>119</v>
      </c>
      <c r="BD78" t="s">
        <v>74</v>
      </c>
      <c r="BE78" t="s">
        <v>1717</v>
      </c>
      <c r="BF78" t="str">
        <f>HYPERLINK("http://dx.doi.org/10.11646/zootaxa.3784.2.1","http://dx.doi.org/10.11646/zootaxa.3784.2.1")</f>
        <v>http://dx.doi.org/10.11646/zootaxa.3784.2.1</v>
      </c>
      <c r="BG78" t="s">
        <v>74</v>
      </c>
      <c r="BH78" t="s">
        <v>74</v>
      </c>
      <c r="BI78">
        <v>19</v>
      </c>
      <c r="BJ78" t="s">
        <v>384</v>
      </c>
      <c r="BK78" t="s">
        <v>101</v>
      </c>
      <c r="BL78" t="s">
        <v>384</v>
      </c>
      <c r="BM78" t="s">
        <v>1718</v>
      </c>
      <c r="BN78">
        <v>24872040</v>
      </c>
      <c r="BO78" t="s">
        <v>74</v>
      </c>
      <c r="BP78" t="s">
        <v>74</v>
      </c>
      <c r="BQ78" t="s">
        <v>74</v>
      </c>
      <c r="BR78" t="s">
        <v>104</v>
      </c>
      <c r="BS78" t="s">
        <v>1719</v>
      </c>
      <c r="BT78" t="str">
        <f>HYPERLINK("https%3A%2F%2Fwww.webofscience.com%2Fwos%2Fwoscc%2Ffull-record%2FWOS:000333419100001","View Full Record in Web of Science")</f>
        <v>View Full Record in Web of Science</v>
      </c>
    </row>
    <row r="79" spans="1:72" x14ac:dyDescent="0.15">
      <c r="A79" t="s">
        <v>72</v>
      </c>
      <c r="B79" t="s">
        <v>1720</v>
      </c>
      <c r="C79" t="s">
        <v>74</v>
      </c>
      <c r="D79" t="s">
        <v>74</v>
      </c>
      <c r="E79" t="s">
        <v>74</v>
      </c>
      <c r="F79" t="s">
        <v>1721</v>
      </c>
      <c r="G79" t="s">
        <v>74</v>
      </c>
      <c r="H79" t="s">
        <v>74</v>
      </c>
      <c r="I79" t="s">
        <v>1722</v>
      </c>
      <c r="J79" t="s">
        <v>1275</v>
      </c>
      <c r="K79" t="s">
        <v>74</v>
      </c>
      <c r="L79" t="s">
        <v>74</v>
      </c>
      <c r="M79" t="s">
        <v>78</v>
      </c>
      <c r="N79" t="s">
        <v>79</v>
      </c>
      <c r="O79" t="s">
        <v>74</v>
      </c>
      <c r="P79" t="s">
        <v>74</v>
      </c>
      <c r="Q79" t="s">
        <v>74</v>
      </c>
      <c r="R79" t="s">
        <v>74</v>
      </c>
      <c r="S79" t="s">
        <v>74</v>
      </c>
      <c r="T79" t="s">
        <v>74</v>
      </c>
      <c r="U79" t="s">
        <v>1723</v>
      </c>
      <c r="V79" t="s">
        <v>1724</v>
      </c>
      <c r="W79" t="s">
        <v>1725</v>
      </c>
      <c r="X79" t="s">
        <v>1726</v>
      </c>
      <c r="Y79" t="s">
        <v>1727</v>
      </c>
      <c r="Z79" t="s">
        <v>1728</v>
      </c>
      <c r="AA79" t="s">
        <v>1729</v>
      </c>
      <c r="AB79" t="s">
        <v>1730</v>
      </c>
      <c r="AC79" t="s">
        <v>1731</v>
      </c>
      <c r="AD79" t="s">
        <v>1732</v>
      </c>
      <c r="AE79" t="s">
        <v>1733</v>
      </c>
      <c r="AF79" t="s">
        <v>74</v>
      </c>
      <c r="AG79">
        <v>97</v>
      </c>
      <c r="AH79">
        <v>42</v>
      </c>
      <c r="AI79">
        <v>51</v>
      </c>
      <c r="AJ79">
        <v>0</v>
      </c>
      <c r="AK79">
        <v>55</v>
      </c>
      <c r="AL79" t="s">
        <v>1261</v>
      </c>
      <c r="AM79" t="s">
        <v>1262</v>
      </c>
      <c r="AN79" t="s">
        <v>1263</v>
      </c>
      <c r="AO79" t="s">
        <v>1287</v>
      </c>
      <c r="AP79" t="s">
        <v>74</v>
      </c>
      <c r="AQ79" t="s">
        <v>74</v>
      </c>
      <c r="AR79" t="s">
        <v>1275</v>
      </c>
      <c r="AS79" t="s">
        <v>1288</v>
      </c>
      <c r="AT79" t="s">
        <v>1734</v>
      </c>
      <c r="AU79">
        <v>2014</v>
      </c>
      <c r="AV79">
        <v>9</v>
      </c>
      <c r="AW79">
        <v>3</v>
      </c>
      <c r="AX79" t="s">
        <v>74</v>
      </c>
      <c r="AY79" t="s">
        <v>74</v>
      </c>
      <c r="AZ79" t="s">
        <v>74</v>
      </c>
      <c r="BA79" t="s">
        <v>74</v>
      </c>
      <c r="BB79" t="s">
        <v>74</v>
      </c>
      <c r="BC79" t="s">
        <v>74</v>
      </c>
      <c r="BD79" t="s">
        <v>1735</v>
      </c>
      <c r="BE79" t="s">
        <v>1736</v>
      </c>
      <c r="BF79" t="str">
        <f>HYPERLINK("http://dx.doi.org/10.1371/journal.pone.0092520","http://dx.doi.org/10.1371/journal.pone.0092520")</f>
        <v>http://dx.doi.org/10.1371/journal.pone.0092520</v>
      </c>
      <c r="BG79" t="s">
        <v>74</v>
      </c>
      <c r="BH79" t="s">
        <v>74</v>
      </c>
      <c r="BI79">
        <v>15</v>
      </c>
      <c r="BJ79" t="s">
        <v>1100</v>
      </c>
      <c r="BK79" t="s">
        <v>101</v>
      </c>
      <c r="BL79" t="s">
        <v>1101</v>
      </c>
      <c r="BM79" t="s">
        <v>1737</v>
      </c>
      <c r="BN79">
        <v>24671108</v>
      </c>
      <c r="BO79" t="s">
        <v>1738</v>
      </c>
      <c r="BP79" t="s">
        <v>74</v>
      </c>
      <c r="BQ79" t="s">
        <v>74</v>
      </c>
      <c r="BR79" t="s">
        <v>104</v>
      </c>
      <c r="BS79" t="s">
        <v>1739</v>
      </c>
      <c r="BT79" t="str">
        <f>HYPERLINK("https%3A%2F%2Fwww.webofscience.com%2Fwos%2Fwoscc%2Ffull-record%2FWOS:000333677000050","View Full Record in Web of Science")</f>
        <v>View Full Record in Web of Science</v>
      </c>
    </row>
    <row r="80" spans="1:72" x14ac:dyDescent="0.15">
      <c r="A80" t="s">
        <v>72</v>
      </c>
      <c r="B80" t="s">
        <v>1740</v>
      </c>
      <c r="C80" t="s">
        <v>74</v>
      </c>
      <c r="D80" t="s">
        <v>74</v>
      </c>
      <c r="E80" t="s">
        <v>74</v>
      </c>
      <c r="F80" t="s">
        <v>1741</v>
      </c>
      <c r="G80" t="s">
        <v>74</v>
      </c>
      <c r="H80" t="s">
        <v>74</v>
      </c>
      <c r="I80" t="s">
        <v>1742</v>
      </c>
      <c r="J80" t="s">
        <v>1743</v>
      </c>
      <c r="K80" t="s">
        <v>74</v>
      </c>
      <c r="L80" t="s">
        <v>74</v>
      </c>
      <c r="M80" t="s">
        <v>78</v>
      </c>
      <c r="N80" t="s">
        <v>79</v>
      </c>
      <c r="O80" t="s">
        <v>74</v>
      </c>
      <c r="P80" t="s">
        <v>74</v>
      </c>
      <c r="Q80" t="s">
        <v>74</v>
      </c>
      <c r="R80" t="s">
        <v>74</v>
      </c>
      <c r="S80" t="s">
        <v>74</v>
      </c>
      <c r="T80" t="s">
        <v>1744</v>
      </c>
      <c r="U80" t="s">
        <v>1745</v>
      </c>
      <c r="V80" t="s">
        <v>1746</v>
      </c>
      <c r="W80" t="s">
        <v>1747</v>
      </c>
      <c r="X80" t="s">
        <v>1748</v>
      </c>
      <c r="Y80" t="s">
        <v>1749</v>
      </c>
      <c r="Z80" t="s">
        <v>1750</v>
      </c>
      <c r="AA80" t="s">
        <v>1751</v>
      </c>
      <c r="AB80" t="s">
        <v>1752</v>
      </c>
      <c r="AC80" t="s">
        <v>1753</v>
      </c>
      <c r="AD80" t="s">
        <v>1754</v>
      </c>
      <c r="AE80" t="s">
        <v>1755</v>
      </c>
      <c r="AF80" t="s">
        <v>74</v>
      </c>
      <c r="AG80">
        <v>28</v>
      </c>
      <c r="AH80">
        <v>40</v>
      </c>
      <c r="AI80">
        <v>41</v>
      </c>
      <c r="AJ80">
        <v>1</v>
      </c>
      <c r="AK80">
        <v>26</v>
      </c>
      <c r="AL80" t="s">
        <v>1756</v>
      </c>
      <c r="AM80" t="s">
        <v>1757</v>
      </c>
      <c r="AN80" t="s">
        <v>1758</v>
      </c>
      <c r="AO80" t="s">
        <v>1759</v>
      </c>
      <c r="AP80" t="s">
        <v>74</v>
      </c>
      <c r="AQ80" t="s">
        <v>74</v>
      </c>
      <c r="AR80" t="s">
        <v>1760</v>
      </c>
      <c r="AS80" t="s">
        <v>1761</v>
      </c>
      <c r="AT80" t="s">
        <v>1762</v>
      </c>
      <c r="AU80">
        <v>2014</v>
      </c>
      <c r="AV80">
        <v>106</v>
      </c>
      <c r="AW80">
        <v>6</v>
      </c>
      <c r="AX80" t="s">
        <v>74</v>
      </c>
      <c r="AY80" t="s">
        <v>74</v>
      </c>
      <c r="AZ80" t="s">
        <v>74</v>
      </c>
      <c r="BA80" t="s">
        <v>74</v>
      </c>
      <c r="BB80">
        <v>853</v>
      </c>
      <c r="BC80">
        <v>859</v>
      </c>
      <c r="BD80" t="s">
        <v>74</v>
      </c>
      <c r="BE80" t="s">
        <v>74</v>
      </c>
      <c r="BF80" t="s">
        <v>74</v>
      </c>
      <c r="BG80" t="s">
        <v>74</v>
      </c>
      <c r="BH80" t="s">
        <v>74</v>
      </c>
      <c r="BI80">
        <v>7</v>
      </c>
      <c r="BJ80" t="s">
        <v>1100</v>
      </c>
      <c r="BK80" t="s">
        <v>101</v>
      </c>
      <c r="BL80" t="s">
        <v>1101</v>
      </c>
      <c r="BM80" t="s">
        <v>1763</v>
      </c>
      <c r="BN80" t="s">
        <v>74</v>
      </c>
      <c r="BO80" t="s">
        <v>74</v>
      </c>
      <c r="BP80" t="s">
        <v>74</v>
      </c>
      <c r="BQ80" t="s">
        <v>74</v>
      </c>
      <c r="BR80" t="s">
        <v>104</v>
      </c>
      <c r="BS80" t="s">
        <v>1764</v>
      </c>
      <c r="BT80" t="str">
        <f>HYPERLINK("https%3A%2F%2Fwww.webofscience.com%2Fwos%2Fwoscc%2Ffull-record%2FWOS:000333856500017","View Full Record in Web of Science")</f>
        <v>View Full Record in Web of Science</v>
      </c>
    </row>
    <row r="81" spans="1:72" x14ac:dyDescent="0.15">
      <c r="A81" t="s">
        <v>72</v>
      </c>
      <c r="B81" t="s">
        <v>1765</v>
      </c>
      <c r="C81" t="s">
        <v>74</v>
      </c>
      <c r="D81" t="s">
        <v>74</v>
      </c>
      <c r="E81" t="s">
        <v>74</v>
      </c>
      <c r="F81" t="s">
        <v>1766</v>
      </c>
      <c r="G81" t="s">
        <v>74</v>
      </c>
      <c r="H81" t="s">
        <v>74</v>
      </c>
      <c r="I81" t="s">
        <v>1767</v>
      </c>
      <c r="J81" t="s">
        <v>1768</v>
      </c>
      <c r="K81" t="s">
        <v>74</v>
      </c>
      <c r="L81" t="s">
        <v>74</v>
      </c>
      <c r="M81" t="s">
        <v>78</v>
      </c>
      <c r="N81" t="s">
        <v>79</v>
      </c>
      <c r="O81" t="s">
        <v>74</v>
      </c>
      <c r="P81" t="s">
        <v>74</v>
      </c>
      <c r="Q81" t="s">
        <v>74</v>
      </c>
      <c r="R81" t="s">
        <v>74</v>
      </c>
      <c r="S81" t="s">
        <v>74</v>
      </c>
      <c r="T81" t="s">
        <v>1769</v>
      </c>
      <c r="U81" t="s">
        <v>1770</v>
      </c>
      <c r="V81" t="s">
        <v>1771</v>
      </c>
      <c r="W81" t="s">
        <v>1772</v>
      </c>
      <c r="X81" t="s">
        <v>1773</v>
      </c>
      <c r="Y81" t="s">
        <v>1774</v>
      </c>
      <c r="Z81" t="s">
        <v>1775</v>
      </c>
      <c r="AA81" t="s">
        <v>1776</v>
      </c>
      <c r="AB81" t="s">
        <v>1777</v>
      </c>
      <c r="AC81" t="s">
        <v>1778</v>
      </c>
      <c r="AD81" t="s">
        <v>1779</v>
      </c>
      <c r="AE81" t="s">
        <v>1780</v>
      </c>
      <c r="AF81" t="s">
        <v>74</v>
      </c>
      <c r="AG81">
        <v>62</v>
      </c>
      <c r="AH81">
        <v>9</v>
      </c>
      <c r="AI81">
        <v>10</v>
      </c>
      <c r="AJ81">
        <v>2</v>
      </c>
      <c r="AK81">
        <v>53</v>
      </c>
      <c r="AL81" t="s">
        <v>1781</v>
      </c>
      <c r="AM81" t="s">
        <v>92</v>
      </c>
      <c r="AN81" t="s">
        <v>1782</v>
      </c>
      <c r="AO81" t="s">
        <v>1783</v>
      </c>
      <c r="AP81" t="s">
        <v>1784</v>
      </c>
      <c r="AQ81" t="s">
        <v>74</v>
      </c>
      <c r="AR81" t="s">
        <v>1785</v>
      </c>
      <c r="AS81" t="s">
        <v>1786</v>
      </c>
      <c r="AT81" t="s">
        <v>1762</v>
      </c>
      <c r="AU81">
        <v>2014</v>
      </c>
      <c r="AV81">
        <v>144</v>
      </c>
      <c r="AW81" t="s">
        <v>74</v>
      </c>
      <c r="AX81" t="s">
        <v>74</v>
      </c>
      <c r="AY81" t="s">
        <v>74</v>
      </c>
      <c r="AZ81" t="s">
        <v>74</v>
      </c>
      <c r="BA81" t="s">
        <v>74</v>
      </c>
      <c r="BB81">
        <v>1</v>
      </c>
      <c r="BC81">
        <v>10</v>
      </c>
      <c r="BD81" t="s">
        <v>74</v>
      </c>
      <c r="BE81" t="s">
        <v>1787</v>
      </c>
      <c r="BF81" t="str">
        <f>HYPERLINK("http://dx.doi.org/10.1016/j.rse.2014.01.002","http://dx.doi.org/10.1016/j.rse.2014.01.002")</f>
        <v>http://dx.doi.org/10.1016/j.rse.2014.01.002</v>
      </c>
      <c r="BG81" t="s">
        <v>74</v>
      </c>
      <c r="BH81" t="s">
        <v>74</v>
      </c>
      <c r="BI81">
        <v>10</v>
      </c>
      <c r="BJ81" t="s">
        <v>1788</v>
      </c>
      <c r="BK81" t="s">
        <v>101</v>
      </c>
      <c r="BL81" t="s">
        <v>1789</v>
      </c>
      <c r="BM81" t="s">
        <v>1790</v>
      </c>
      <c r="BN81" t="s">
        <v>74</v>
      </c>
      <c r="BO81" t="s">
        <v>74</v>
      </c>
      <c r="BP81" t="s">
        <v>74</v>
      </c>
      <c r="BQ81" t="s">
        <v>74</v>
      </c>
      <c r="BR81" t="s">
        <v>104</v>
      </c>
      <c r="BS81" t="s">
        <v>1791</v>
      </c>
      <c r="BT81" t="str">
        <f>HYPERLINK("https%3A%2F%2Fwww.webofscience.com%2Fwos%2Fwoscc%2Ffull-record%2FWOS:000333490600001","View Full Record in Web of Science")</f>
        <v>View Full Record in Web of Science</v>
      </c>
    </row>
    <row r="82" spans="1:72" x14ac:dyDescent="0.15">
      <c r="A82" t="s">
        <v>72</v>
      </c>
      <c r="B82" t="s">
        <v>1792</v>
      </c>
      <c r="C82" t="s">
        <v>74</v>
      </c>
      <c r="D82" t="s">
        <v>74</v>
      </c>
      <c r="E82" t="s">
        <v>74</v>
      </c>
      <c r="F82" t="s">
        <v>1793</v>
      </c>
      <c r="G82" t="s">
        <v>74</v>
      </c>
      <c r="H82" t="s">
        <v>74</v>
      </c>
      <c r="I82" t="s">
        <v>1794</v>
      </c>
      <c r="J82" t="s">
        <v>1699</v>
      </c>
      <c r="K82" t="s">
        <v>74</v>
      </c>
      <c r="L82" t="s">
        <v>74</v>
      </c>
      <c r="M82" t="s">
        <v>78</v>
      </c>
      <c r="N82" t="s">
        <v>79</v>
      </c>
      <c r="O82" t="s">
        <v>74</v>
      </c>
      <c r="P82" t="s">
        <v>74</v>
      </c>
      <c r="Q82" t="s">
        <v>74</v>
      </c>
      <c r="R82" t="s">
        <v>74</v>
      </c>
      <c r="S82" t="s">
        <v>74</v>
      </c>
      <c r="T82" t="s">
        <v>1795</v>
      </c>
      <c r="U82" t="s">
        <v>1796</v>
      </c>
      <c r="V82" t="s">
        <v>1797</v>
      </c>
      <c r="W82" t="s">
        <v>1798</v>
      </c>
      <c r="X82" t="s">
        <v>1799</v>
      </c>
      <c r="Y82" t="s">
        <v>1800</v>
      </c>
      <c r="Z82" t="s">
        <v>1801</v>
      </c>
      <c r="AA82" t="s">
        <v>74</v>
      </c>
      <c r="AB82" t="s">
        <v>74</v>
      </c>
      <c r="AC82" t="s">
        <v>1802</v>
      </c>
      <c r="AD82" t="s">
        <v>1803</v>
      </c>
      <c r="AE82" t="s">
        <v>1804</v>
      </c>
      <c r="AF82" t="s">
        <v>74</v>
      </c>
      <c r="AG82">
        <v>71</v>
      </c>
      <c r="AH82">
        <v>29</v>
      </c>
      <c r="AI82">
        <v>29</v>
      </c>
      <c r="AJ82">
        <v>0</v>
      </c>
      <c r="AK82">
        <v>10</v>
      </c>
      <c r="AL82" t="s">
        <v>1711</v>
      </c>
      <c r="AM82" t="s">
        <v>1712</v>
      </c>
      <c r="AN82" t="s">
        <v>1805</v>
      </c>
      <c r="AO82" t="s">
        <v>1714</v>
      </c>
      <c r="AP82" t="s">
        <v>1715</v>
      </c>
      <c r="AQ82" t="s">
        <v>74</v>
      </c>
      <c r="AR82" t="s">
        <v>1699</v>
      </c>
      <c r="AS82" t="s">
        <v>1716</v>
      </c>
      <c r="AT82" t="s">
        <v>1762</v>
      </c>
      <c r="AU82">
        <v>2014</v>
      </c>
      <c r="AV82">
        <v>3783</v>
      </c>
      <c r="AW82">
        <v>1</v>
      </c>
      <c r="AX82" t="s">
        <v>74</v>
      </c>
      <c r="AY82" t="s">
        <v>74</v>
      </c>
      <c r="AZ82" t="s">
        <v>74</v>
      </c>
      <c r="BA82" t="s">
        <v>74</v>
      </c>
      <c r="BB82">
        <v>1</v>
      </c>
      <c r="BC82">
        <v>96</v>
      </c>
      <c r="BD82" t="s">
        <v>74</v>
      </c>
      <c r="BE82" t="s">
        <v>74</v>
      </c>
      <c r="BF82" t="s">
        <v>74</v>
      </c>
      <c r="BG82" t="s">
        <v>74</v>
      </c>
      <c r="BH82" t="s">
        <v>74</v>
      </c>
      <c r="BI82">
        <v>96</v>
      </c>
      <c r="BJ82" t="s">
        <v>384</v>
      </c>
      <c r="BK82" t="s">
        <v>101</v>
      </c>
      <c r="BL82" t="s">
        <v>384</v>
      </c>
      <c r="BM82" t="s">
        <v>1806</v>
      </c>
      <c r="BN82">
        <v>24871952</v>
      </c>
      <c r="BO82" t="s">
        <v>74</v>
      </c>
      <c r="BP82" t="s">
        <v>74</v>
      </c>
      <c r="BQ82" t="s">
        <v>74</v>
      </c>
      <c r="BR82" t="s">
        <v>104</v>
      </c>
      <c r="BS82" t="s">
        <v>1807</v>
      </c>
      <c r="BT82" t="str">
        <f>HYPERLINK("https%3A%2F%2Fwww.webofscience.com%2Fwos%2Fwoscc%2Ffull-record%2FWOS:000333246100001","View Full Record in Web of Science")</f>
        <v>View Full Record in Web of Science</v>
      </c>
    </row>
    <row r="83" spans="1:72" x14ac:dyDescent="0.15">
      <c r="A83" t="s">
        <v>72</v>
      </c>
      <c r="B83" t="s">
        <v>1808</v>
      </c>
      <c r="C83" t="s">
        <v>74</v>
      </c>
      <c r="D83" t="s">
        <v>74</v>
      </c>
      <c r="E83" t="s">
        <v>74</v>
      </c>
      <c r="F83" t="s">
        <v>1809</v>
      </c>
      <c r="G83" t="s">
        <v>74</v>
      </c>
      <c r="H83" t="s">
        <v>74</v>
      </c>
      <c r="I83" t="s">
        <v>1810</v>
      </c>
      <c r="J83" t="s">
        <v>1275</v>
      </c>
      <c r="K83" t="s">
        <v>74</v>
      </c>
      <c r="L83" t="s">
        <v>74</v>
      </c>
      <c r="M83" t="s">
        <v>78</v>
      </c>
      <c r="N83" t="s">
        <v>79</v>
      </c>
      <c r="O83" t="s">
        <v>74</v>
      </c>
      <c r="P83" t="s">
        <v>74</v>
      </c>
      <c r="Q83" t="s">
        <v>74</v>
      </c>
      <c r="R83" t="s">
        <v>74</v>
      </c>
      <c r="S83" t="s">
        <v>74</v>
      </c>
      <c r="T83" t="s">
        <v>74</v>
      </c>
      <c r="U83" t="s">
        <v>1811</v>
      </c>
      <c r="V83" t="s">
        <v>1812</v>
      </c>
      <c r="W83" t="s">
        <v>1813</v>
      </c>
      <c r="X83" t="s">
        <v>1814</v>
      </c>
      <c r="Y83" t="s">
        <v>1815</v>
      </c>
      <c r="Z83" t="s">
        <v>1816</v>
      </c>
      <c r="AA83" t="s">
        <v>1817</v>
      </c>
      <c r="AB83" t="s">
        <v>1818</v>
      </c>
      <c r="AC83" t="s">
        <v>1819</v>
      </c>
      <c r="AD83" t="s">
        <v>1820</v>
      </c>
      <c r="AE83" t="s">
        <v>1821</v>
      </c>
      <c r="AF83" t="s">
        <v>74</v>
      </c>
      <c r="AG83">
        <v>66</v>
      </c>
      <c r="AH83">
        <v>16</v>
      </c>
      <c r="AI83">
        <v>16</v>
      </c>
      <c r="AJ83">
        <v>1</v>
      </c>
      <c r="AK83">
        <v>23</v>
      </c>
      <c r="AL83" t="s">
        <v>1261</v>
      </c>
      <c r="AM83" t="s">
        <v>1262</v>
      </c>
      <c r="AN83" t="s">
        <v>1263</v>
      </c>
      <c r="AO83" t="s">
        <v>1287</v>
      </c>
      <c r="AP83" t="s">
        <v>74</v>
      </c>
      <c r="AQ83" t="s">
        <v>74</v>
      </c>
      <c r="AR83" t="s">
        <v>1275</v>
      </c>
      <c r="AS83" t="s">
        <v>1288</v>
      </c>
      <c r="AT83" t="s">
        <v>1822</v>
      </c>
      <c r="AU83">
        <v>2014</v>
      </c>
      <c r="AV83">
        <v>9</v>
      </c>
      <c r="AW83">
        <v>3</v>
      </c>
      <c r="AX83" t="s">
        <v>74</v>
      </c>
      <c r="AY83" t="s">
        <v>74</v>
      </c>
      <c r="AZ83" t="s">
        <v>74</v>
      </c>
      <c r="BA83" t="s">
        <v>74</v>
      </c>
      <c r="BB83" t="s">
        <v>74</v>
      </c>
      <c r="BC83" t="s">
        <v>74</v>
      </c>
      <c r="BD83" t="s">
        <v>1823</v>
      </c>
      <c r="BE83" t="s">
        <v>1824</v>
      </c>
      <c r="BF83" t="str">
        <f>HYPERLINK("http://dx.doi.org/10.1371/journal.pone.0093018","http://dx.doi.org/10.1371/journal.pone.0093018")</f>
        <v>http://dx.doi.org/10.1371/journal.pone.0093018</v>
      </c>
      <c r="BG83" t="s">
        <v>74</v>
      </c>
      <c r="BH83" t="s">
        <v>74</v>
      </c>
      <c r="BI83">
        <v>20</v>
      </c>
      <c r="BJ83" t="s">
        <v>1100</v>
      </c>
      <c r="BK83" t="s">
        <v>101</v>
      </c>
      <c r="BL83" t="s">
        <v>1101</v>
      </c>
      <c r="BM83" t="s">
        <v>1825</v>
      </c>
      <c r="BN83">
        <v>24663246</v>
      </c>
      <c r="BO83" t="s">
        <v>1826</v>
      </c>
      <c r="BP83" t="s">
        <v>74</v>
      </c>
      <c r="BQ83" t="s">
        <v>74</v>
      </c>
      <c r="BR83" t="s">
        <v>104</v>
      </c>
      <c r="BS83" t="s">
        <v>1827</v>
      </c>
      <c r="BT83" t="str">
        <f>HYPERLINK("https%3A%2F%2Fwww.webofscience.com%2Fwos%2Fwoscc%2Ffull-record%2FWOS:000333459900144","View Full Record in Web of Science")</f>
        <v>View Full Record in Web of Science</v>
      </c>
    </row>
    <row r="84" spans="1:72" x14ac:dyDescent="0.15">
      <c r="A84" t="s">
        <v>72</v>
      </c>
      <c r="B84" t="s">
        <v>1828</v>
      </c>
      <c r="C84" t="s">
        <v>74</v>
      </c>
      <c r="D84" t="s">
        <v>74</v>
      </c>
      <c r="E84" t="s">
        <v>74</v>
      </c>
      <c r="F84" t="s">
        <v>1829</v>
      </c>
      <c r="G84" t="s">
        <v>74</v>
      </c>
      <c r="H84" t="s">
        <v>74</v>
      </c>
      <c r="I84" t="s">
        <v>1830</v>
      </c>
      <c r="J84" t="s">
        <v>1831</v>
      </c>
      <c r="K84" t="s">
        <v>74</v>
      </c>
      <c r="L84" t="s">
        <v>74</v>
      </c>
      <c r="M84" t="s">
        <v>78</v>
      </c>
      <c r="N84" t="s">
        <v>79</v>
      </c>
      <c r="O84" t="s">
        <v>74</v>
      </c>
      <c r="P84" t="s">
        <v>74</v>
      </c>
      <c r="Q84" t="s">
        <v>74</v>
      </c>
      <c r="R84" t="s">
        <v>74</v>
      </c>
      <c r="S84" t="s">
        <v>74</v>
      </c>
      <c r="T84" t="s">
        <v>1832</v>
      </c>
      <c r="U84" t="s">
        <v>1833</v>
      </c>
      <c r="V84" t="s">
        <v>1834</v>
      </c>
      <c r="W84" t="s">
        <v>1835</v>
      </c>
      <c r="X84" t="s">
        <v>1836</v>
      </c>
      <c r="Y84" t="s">
        <v>1837</v>
      </c>
      <c r="Z84" t="s">
        <v>1838</v>
      </c>
      <c r="AA84" t="s">
        <v>1839</v>
      </c>
      <c r="AB84" t="s">
        <v>1840</v>
      </c>
      <c r="AC84" t="s">
        <v>1841</v>
      </c>
      <c r="AD84" t="s">
        <v>1842</v>
      </c>
      <c r="AE84" t="s">
        <v>1843</v>
      </c>
      <c r="AF84" t="s">
        <v>74</v>
      </c>
      <c r="AG84">
        <v>33</v>
      </c>
      <c r="AH84">
        <v>8</v>
      </c>
      <c r="AI84">
        <v>10</v>
      </c>
      <c r="AJ84">
        <v>0</v>
      </c>
      <c r="AK84">
        <v>59</v>
      </c>
      <c r="AL84" t="s">
        <v>1844</v>
      </c>
      <c r="AM84" t="s">
        <v>704</v>
      </c>
      <c r="AN84" t="s">
        <v>1845</v>
      </c>
      <c r="AO84" t="s">
        <v>1846</v>
      </c>
      <c r="AP84" t="s">
        <v>1847</v>
      </c>
      <c r="AQ84" t="s">
        <v>74</v>
      </c>
      <c r="AR84" t="s">
        <v>1848</v>
      </c>
      <c r="AS84" t="s">
        <v>1849</v>
      </c>
      <c r="AT84" t="s">
        <v>1850</v>
      </c>
      <c r="AU84">
        <v>2014</v>
      </c>
      <c r="AV84">
        <v>281</v>
      </c>
      <c r="AW84">
        <v>1779</v>
      </c>
      <c r="AX84" t="s">
        <v>74</v>
      </c>
      <c r="AY84" t="s">
        <v>74</v>
      </c>
      <c r="AZ84" t="s">
        <v>74</v>
      </c>
      <c r="BA84" t="s">
        <v>74</v>
      </c>
      <c r="BB84" t="s">
        <v>74</v>
      </c>
      <c r="BC84" t="s">
        <v>74</v>
      </c>
      <c r="BD84">
        <v>20133078</v>
      </c>
      <c r="BE84" t="s">
        <v>1851</v>
      </c>
      <c r="BF84" t="str">
        <f>HYPERLINK("http://dx.doi.org/10.1098/rspb.2013.3078","http://dx.doi.org/10.1098/rspb.2013.3078")</f>
        <v>http://dx.doi.org/10.1098/rspb.2013.3078</v>
      </c>
      <c r="BG84" t="s">
        <v>74</v>
      </c>
      <c r="BH84" t="s">
        <v>74</v>
      </c>
      <c r="BI84">
        <v>8</v>
      </c>
      <c r="BJ84" t="s">
        <v>1852</v>
      </c>
      <c r="BK84" t="s">
        <v>101</v>
      </c>
      <c r="BL84" t="s">
        <v>1853</v>
      </c>
      <c r="BM84" t="s">
        <v>1854</v>
      </c>
      <c r="BN84">
        <v>24478305</v>
      </c>
      <c r="BO84" t="s">
        <v>1855</v>
      </c>
      <c r="BP84" t="s">
        <v>74</v>
      </c>
      <c r="BQ84" t="s">
        <v>74</v>
      </c>
      <c r="BR84" t="s">
        <v>104</v>
      </c>
      <c r="BS84" t="s">
        <v>1856</v>
      </c>
      <c r="BT84" t="str">
        <f>HYPERLINK("https%3A%2F%2Fwww.webofscience.com%2Fwos%2Fwoscc%2Ffull-record%2FWOS:000332382700027","View Full Record in Web of Science")</f>
        <v>View Full Record in Web of Science</v>
      </c>
    </row>
    <row r="85" spans="1:72" x14ac:dyDescent="0.15">
      <c r="A85" t="s">
        <v>72</v>
      </c>
      <c r="B85" t="s">
        <v>1857</v>
      </c>
      <c r="C85" t="s">
        <v>74</v>
      </c>
      <c r="D85" t="s">
        <v>74</v>
      </c>
      <c r="E85" t="s">
        <v>74</v>
      </c>
      <c r="F85" t="s">
        <v>1858</v>
      </c>
      <c r="G85" t="s">
        <v>74</v>
      </c>
      <c r="H85" t="s">
        <v>74</v>
      </c>
      <c r="I85" t="s">
        <v>1859</v>
      </c>
      <c r="J85" t="s">
        <v>1831</v>
      </c>
      <c r="K85" t="s">
        <v>74</v>
      </c>
      <c r="L85" t="s">
        <v>74</v>
      </c>
      <c r="M85" t="s">
        <v>78</v>
      </c>
      <c r="N85" t="s">
        <v>79</v>
      </c>
      <c r="O85" t="s">
        <v>74</v>
      </c>
      <c r="P85" t="s">
        <v>74</v>
      </c>
      <c r="Q85" t="s">
        <v>74</v>
      </c>
      <c r="R85" t="s">
        <v>74</v>
      </c>
      <c r="S85" t="s">
        <v>74</v>
      </c>
      <c r="T85" t="s">
        <v>1860</v>
      </c>
      <c r="U85" t="s">
        <v>1861</v>
      </c>
      <c r="V85" t="s">
        <v>1862</v>
      </c>
      <c r="W85" t="s">
        <v>1863</v>
      </c>
      <c r="X85" t="s">
        <v>1864</v>
      </c>
      <c r="Y85" t="s">
        <v>1865</v>
      </c>
      <c r="Z85" t="s">
        <v>1866</v>
      </c>
      <c r="AA85" t="s">
        <v>1867</v>
      </c>
      <c r="AB85" t="s">
        <v>1868</v>
      </c>
      <c r="AC85" t="s">
        <v>1869</v>
      </c>
      <c r="AD85" t="s">
        <v>1870</v>
      </c>
      <c r="AE85" t="s">
        <v>1871</v>
      </c>
      <c r="AF85" t="s">
        <v>74</v>
      </c>
      <c r="AG85">
        <v>32</v>
      </c>
      <c r="AH85">
        <v>59</v>
      </c>
      <c r="AI85">
        <v>68</v>
      </c>
      <c r="AJ85">
        <v>5</v>
      </c>
      <c r="AK85">
        <v>209</v>
      </c>
      <c r="AL85" t="s">
        <v>1844</v>
      </c>
      <c r="AM85" t="s">
        <v>704</v>
      </c>
      <c r="AN85" t="s">
        <v>1845</v>
      </c>
      <c r="AO85" t="s">
        <v>1846</v>
      </c>
      <c r="AP85" t="s">
        <v>1847</v>
      </c>
      <c r="AQ85" t="s">
        <v>74</v>
      </c>
      <c r="AR85" t="s">
        <v>1848</v>
      </c>
      <c r="AS85" t="s">
        <v>1849</v>
      </c>
      <c r="AT85" t="s">
        <v>1850</v>
      </c>
      <c r="AU85">
        <v>2014</v>
      </c>
      <c r="AV85">
        <v>281</v>
      </c>
      <c r="AW85">
        <v>1779</v>
      </c>
      <c r="AX85" t="s">
        <v>74</v>
      </c>
      <c r="AY85" t="s">
        <v>74</v>
      </c>
      <c r="AZ85" t="s">
        <v>74</v>
      </c>
      <c r="BA85" t="s">
        <v>74</v>
      </c>
      <c r="BB85" t="s">
        <v>74</v>
      </c>
      <c r="BC85" t="s">
        <v>74</v>
      </c>
      <c r="BD85">
        <v>20132376</v>
      </c>
      <c r="BE85" t="s">
        <v>1872</v>
      </c>
      <c r="BF85" t="str">
        <f>HYPERLINK("http://dx.doi.org/10.1098/rspb.2013.2376","http://dx.doi.org/10.1098/rspb.2013.2376")</f>
        <v>http://dx.doi.org/10.1098/rspb.2013.2376</v>
      </c>
      <c r="BG85" t="s">
        <v>74</v>
      </c>
      <c r="BH85" t="s">
        <v>74</v>
      </c>
      <c r="BI85">
        <v>7</v>
      </c>
      <c r="BJ85" t="s">
        <v>1852</v>
      </c>
      <c r="BK85" t="s">
        <v>101</v>
      </c>
      <c r="BL85" t="s">
        <v>1853</v>
      </c>
      <c r="BM85" t="s">
        <v>1854</v>
      </c>
      <c r="BN85">
        <v>24478293</v>
      </c>
      <c r="BO85" t="s">
        <v>1873</v>
      </c>
      <c r="BP85" t="s">
        <v>74</v>
      </c>
      <c r="BQ85" t="s">
        <v>74</v>
      </c>
      <c r="BR85" t="s">
        <v>104</v>
      </c>
      <c r="BS85" t="s">
        <v>1874</v>
      </c>
      <c r="BT85" t="str">
        <f>HYPERLINK("https%3A%2F%2Fwww.webofscience.com%2Fwos%2Fwoscc%2Ffull-record%2FWOS:000332382700007","View Full Record in Web of Science")</f>
        <v>View Full Record in Web of Science</v>
      </c>
    </row>
    <row r="86" spans="1:72" x14ac:dyDescent="0.15">
      <c r="A86" t="s">
        <v>72</v>
      </c>
      <c r="B86" t="s">
        <v>1875</v>
      </c>
      <c r="C86" t="s">
        <v>74</v>
      </c>
      <c r="D86" t="s">
        <v>74</v>
      </c>
      <c r="E86" t="s">
        <v>74</v>
      </c>
      <c r="F86" t="s">
        <v>1876</v>
      </c>
      <c r="G86" t="s">
        <v>74</v>
      </c>
      <c r="H86" t="s">
        <v>74</v>
      </c>
      <c r="I86" t="s">
        <v>1877</v>
      </c>
      <c r="J86" t="s">
        <v>1275</v>
      </c>
      <c r="K86" t="s">
        <v>74</v>
      </c>
      <c r="L86" t="s">
        <v>74</v>
      </c>
      <c r="M86" t="s">
        <v>78</v>
      </c>
      <c r="N86" t="s">
        <v>79</v>
      </c>
      <c r="O86" t="s">
        <v>74</v>
      </c>
      <c r="P86" t="s">
        <v>74</v>
      </c>
      <c r="Q86" t="s">
        <v>74</v>
      </c>
      <c r="R86" t="s">
        <v>74</v>
      </c>
      <c r="S86" t="s">
        <v>74</v>
      </c>
      <c r="T86" t="s">
        <v>74</v>
      </c>
      <c r="U86" t="s">
        <v>1878</v>
      </c>
      <c r="V86" t="s">
        <v>1879</v>
      </c>
      <c r="W86" t="s">
        <v>1880</v>
      </c>
      <c r="X86" t="s">
        <v>1881</v>
      </c>
      <c r="Y86" t="s">
        <v>1882</v>
      </c>
      <c r="Z86" t="s">
        <v>1883</v>
      </c>
      <c r="AA86" t="s">
        <v>1884</v>
      </c>
      <c r="AB86" t="s">
        <v>1885</v>
      </c>
      <c r="AC86" t="s">
        <v>74</v>
      </c>
      <c r="AD86" t="s">
        <v>74</v>
      </c>
      <c r="AE86" t="s">
        <v>74</v>
      </c>
      <c r="AF86" t="s">
        <v>74</v>
      </c>
      <c r="AG86">
        <v>22</v>
      </c>
      <c r="AH86">
        <v>57</v>
      </c>
      <c r="AI86">
        <v>69</v>
      </c>
      <c r="AJ86">
        <v>1</v>
      </c>
      <c r="AK86">
        <v>29</v>
      </c>
      <c r="AL86" t="s">
        <v>1261</v>
      </c>
      <c r="AM86" t="s">
        <v>1262</v>
      </c>
      <c r="AN86" t="s">
        <v>1263</v>
      </c>
      <c r="AO86" t="s">
        <v>1287</v>
      </c>
      <c r="AP86" t="s">
        <v>74</v>
      </c>
      <c r="AQ86" t="s">
        <v>74</v>
      </c>
      <c r="AR86" t="s">
        <v>1275</v>
      </c>
      <c r="AS86" t="s">
        <v>1288</v>
      </c>
      <c r="AT86" t="s">
        <v>1886</v>
      </c>
      <c r="AU86">
        <v>2014</v>
      </c>
      <c r="AV86">
        <v>9</v>
      </c>
      <c r="AW86">
        <v>3</v>
      </c>
      <c r="AX86" t="s">
        <v>74</v>
      </c>
      <c r="AY86" t="s">
        <v>74</v>
      </c>
      <c r="AZ86" t="s">
        <v>74</v>
      </c>
      <c r="BA86" t="s">
        <v>74</v>
      </c>
      <c r="BB86" t="s">
        <v>74</v>
      </c>
      <c r="BC86" t="s">
        <v>74</v>
      </c>
      <c r="BD86" t="s">
        <v>1887</v>
      </c>
      <c r="BE86" t="s">
        <v>1888</v>
      </c>
      <c r="BF86" t="str">
        <f>HYPERLINK("http://dx.doi.org/10.1371/journal.pone.0092613","http://dx.doi.org/10.1371/journal.pone.0092613")</f>
        <v>http://dx.doi.org/10.1371/journal.pone.0092613</v>
      </c>
      <c r="BG86" t="s">
        <v>74</v>
      </c>
      <c r="BH86" t="s">
        <v>74</v>
      </c>
      <c r="BI86">
        <v>5</v>
      </c>
      <c r="BJ86" t="s">
        <v>1100</v>
      </c>
      <c r="BK86" t="s">
        <v>101</v>
      </c>
      <c r="BL86" t="s">
        <v>1101</v>
      </c>
      <c r="BM86" t="s">
        <v>1889</v>
      </c>
      <c r="BN86">
        <v>24651378</v>
      </c>
      <c r="BO86" t="s">
        <v>1890</v>
      </c>
      <c r="BP86" t="s">
        <v>74</v>
      </c>
      <c r="BQ86" t="s">
        <v>74</v>
      </c>
      <c r="BR86" t="s">
        <v>104</v>
      </c>
      <c r="BS86" t="s">
        <v>1891</v>
      </c>
      <c r="BT86" t="str">
        <f>HYPERLINK("https%3A%2F%2Fwww.webofscience.com%2Fwos%2Fwoscc%2Ffull-record%2FWOS:000333352800133","View Full Record in Web of Science")</f>
        <v>View Full Record in Web of Science</v>
      </c>
    </row>
    <row r="87" spans="1:72" x14ac:dyDescent="0.15">
      <c r="A87" t="s">
        <v>72</v>
      </c>
      <c r="B87" t="s">
        <v>1892</v>
      </c>
      <c r="C87" t="s">
        <v>74</v>
      </c>
      <c r="D87" t="s">
        <v>74</v>
      </c>
      <c r="E87" t="s">
        <v>74</v>
      </c>
      <c r="F87" t="s">
        <v>1893</v>
      </c>
      <c r="G87" t="s">
        <v>74</v>
      </c>
      <c r="H87" t="s">
        <v>74</v>
      </c>
      <c r="I87" t="s">
        <v>1894</v>
      </c>
      <c r="J87" t="s">
        <v>1895</v>
      </c>
      <c r="K87" t="s">
        <v>74</v>
      </c>
      <c r="L87" t="s">
        <v>74</v>
      </c>
      <c r="M87" t="s">
        <v>78</v>
      </c>
      <c r="N87" t="s">
        <v>79</v>
      </c>
      <c r="O87" t="s">
        <v>74</v>
      </c>
      <c r="P87" t="s">
        <v>74</v>
      </c>
      <c r="Q87" t="s">
        <v>74</v>
      </c>
      <c r="R87" t="s">
        <v>74</v>
      </c>
      <c r="S87" t="s">
        <v>74</v>
      </c>
      <c r="T87" t="s">
        <v>1896</v>
      </c>
      <c r="U87" t="s">
        <v>1897</v>
      </c>
      <c r="V87" t="s">
        <v>1898</v>
      </c>
      <c r="W87" t="s">
        <v>1899</v>
      </c>
      <c r="X87" t="s">
        <v>1900</v>
      </c>
      <c r="Y87" t="s">
        <v>1901</v>
      </c>
      <c r="Z87" t="s">
        <v>1902</v>
      </c>
      <c r="AA87" t="s">
        <v>74</v>
      </c>
      <c r="AB87" t="s">
        <v>1903</v>
      </c>
      <c r="AC87" t="s">
        <v>1904</v>
      </c>
      <c r="AD87" t="s">
        <v>1905</v>
      </c>
      <c r="AE87" t="s">
        <v>1906</v>
      </c>
      <c r="AF87" t="s">
        <v>74</v>
      </c>
      <c r="AG87">
        <v>47</v>
      </c>
      <c r="AH87">
        <v>7</v>
      </c>
      <c r="AI87">
        <v>8</v>
      </c>
      <c r="AJ87">
        <v>0</v>
      </c>
      <c r="AK87">
        <v>27</v>
      </c>
      <c r="AL87" t="s">
        <v>652</v>
      </c>
      <c r="AM87" t="s">
        <v>653</v>
      </c>
      <c r="AN87" t="s">
        <v>654</v>
      </c>
      <c r="AO87" t="s">
        <v>1907</v>
      </c>
      <c r="AP87" t="s">
        <v>1908</v>
      </c>
      <c r="AQ87" t="s">
        <v>74</v>
      </c>
      <c r="AR87" t="s">
        <v>1909</v>
      </c>
      <c r="AS87" t="s">
        <v>1910</v>
      </c>
      <c r="AT87" t="s">
        <v>1886</v>
      </c>
      <c r="AU87">
        <v>2014</v>
      </c>
      <c r="AV87">
        <v>160</v>
      </c>
      <c r="AW87" t="s">
        <v>74</v>
      </c>
      <c r="AX87" t="s">
        <v>74</v>
      </c>
      <c r="AY87" t="s">
        <v>74</v>
      </c>
      <c r="AZ87" t="s">
        <v>74</v>
      </c>
      <c r="BA87" t="s">
        <v>74</v>
      </c>
      <c r="BB87">
        <v>42</v>
      </c>
      <c r="BC87">
        <v>55</v>
      </c>
      <c r="BD87" t="s">
        <v>74</v>
      </c>
      <c r="BE87" t="s">
        <v>1911</v>
      </c>
      <c r="BF87" t="str">
        <f>HYPERLINK("http://dx.doi.org/10.1016/j.marchem.2014.01.009","http://dx.doi.org/10.1016/j.marchem.2014.01.009")</f>
        <v>http://dx.doi.org/10.1016/j.marchem.2014.01.009</v>
      </c>
      <c r="BG87" t="s">
        <v>74</v>
      </c>
      <c r="BH87" t="s">
        <v>74</v>
      </c>
      <c r="BI87">
        <v>14</v>
      </c>
      <c r="BJ87" t="s">
        <v>1912</v>
      </c>
      <c r="BK87" t="s">
        <v>101</v>
      </c>
      <c r="BL87" t="s">
        <v>1913</v>
      </c>
      <c r="BM87" t="s">
        <v>1914</v>
      </c>
      <c r="BN87" t="s">
        <v>74</v>
      </c>
      <c r="BO87" t="s">
        <v>74</v>
      </c>
      <c r="BP87" t="s">
        <v>74</v>
      </c>
      <c r="BQ87" t="s">
        <v>74</v>
      </c>
      <c r="BR87" t="s">
        <v>104</v>
      </c>
      <c r="BS87" t="s">
        <v>1915</v>
      </c>
      <c r="BT87" t="str">
        <f>HYPERLINK("https%3A%2F%2Fwww.webofscience.com%2Fwos%2Fwoscc%2Ffull-record%2FWOS:000333718400005","View Full Record in Web of Science")</f>
        <v>View Full Record in Web of Science</v>
      </c>
    </row>
    <row r="88" spans="1:72" x14ac:dyDescent="0.15">
      <c r="A88" t="s">
        <v>72</v>
      </c>
      <c r="B88" t="s">
        <v>1916</v>
      </c>
      <c r="C88" t="s">
        <v>74</v>
      </c>
      <c r="D88" t="s">
        <v>74</v>
      </c>
      <c r="E88" t="s">
        <v>74</v>
      </c>
      <c r="F88" t="s">
        <v>1917</v>
      </c>
      <c r="G88" t="s">
        <v>74</v>
      </c>
      <c r="H88" t="s">
        <v>74</v>
      </c>
      <c r="I88" t="s">
        <v>1918</v>
      </c>
      <c r="J88" t="s">
        <v>1275</v>
      </c>
      <c r="K88" t="s">
        <v>74</v>
      </c>
      <c r="L88" t="s">
        <v>74</v>
      </c>
      <c r="M88" t="s">
        <v>78</v>
      </c>
      <c r="N88" t="s">
        <v>79</v>
      </c>
      <c r="O88" t="s">
        <v>74</v>
      </c>
      <c r="P88" t="s">
        <v>74</v>
      </c>
      <c r="Q88" t="s">
        <v>74</v>
      </c>
      <c r="R88" t="s">
        <v>74</v>
      </c>
      <c r="S88" t="s">
        <v>74</v>
      </c>
      <c r="T88" t="s">
        <v>74</v>
      </c>
      <c r="U88" t="s">
        <v>1919</v>
      </c>
      <c r="V88" t="s">
        <v>1920</v>
      </c>
      <c r="W88" t="s">
        <v>1921</v>
      </c>
      <c r="X88" t="s">
        <v>1922</v>
      </c>
      <c r="Y88" t="s">
        <v>1923</v>
      </c>
      <c r="Z88" t="s">
        <v>1924</v>
      </c>
      <c r="AA88" t="s">
        <v>74</v>
      </c>
      <c r="AB88" t="s">
        <v>1925</v>
      </c>
      <c r="AC88" t="s">
        <v>1926</v>
      </c>
      <c r="AD88" t="s">
        <v>1927</v>
      </c>
      <c r="AE88" t="s">
        <v>1928</v>
      </c>
      <c r="AF88" t="s">
        <v>74</v>
      </c>
      <c r="AG88">
        <v>41</v>
      </c>
      <c r="AH88">
        <v>39</v>
      </c>
      <c r="AI88">
        <v>44</v>
      </c>
      <c r="AJ88">
        <v>0</v>
      </c>
      <c r="AK88">
        <v>31</v>
      </c>
      <c r="AL88" t="s">
        <v>1261</v>
      </c>
      <c r="AM88" t="s">
        <v>1262</v>
      </c>
      <c r="AN88" t="s">
        <v>1263</v>
      </c>
      <c r="AO88" t="s">
        <v>1287</v>
      </c>
      <c r="AP88" t="s">
        <v>74</v>
      </c>
      <c r="AQ88" t="s">
        <v>74</v>
      </c>
      <c r="AR88" t="s">
        <v>1275</v>
      </c>
      <c r="AS88" t="s">
        <v>1288</v>
      </c>
      <c r="AT88" t="s">
        <v>1929</v>
      </c>
      <c r="AU88">
        <v>2014</v>
      </c>
      <c r="AV88">
        <v>9</v>
      </c>
      <c r="AW88">
        <v>3</v>
      </c>
      <c r="AX88" t="s">
        <v>74</v>
      </c>
      <c r="AY88" t="s">
        <v>74</v>
      </c>
      <c r="AZ88" t="s">
        <v>74</v>
      </c>
      <c r="BA88" t="s">
        <v>74</v>
      </c>
      <c r="BB88" t="s">
        <v>74</v>
      </c>
      <c r="BC88" t="s">
        <v>74</v>
      </c>
      <c r="BD88" t="s">
        <v>1930</v>
      </c>
      <c r="BE88" t="s">
        <v>1931</v>
      </c>
      <c r="BF88" t="str">
        <f>HYPERLINK("http://dx.doi.org/10.1371/journal.pone.0092501","http://dx.doi.org/10.1371/journal.pone.0092501")</f>
        <v>http://dx.doi.org/10.1371/journal.pone.0092501</v>
      </c>
      <c r="BG88" t="s">
        <v>74</v>
      </c>
      <c r="BH88" t="s">
        <v>74</v>
      </c>
      <c r="BI88">
        <v>14</v>
      </c>
      <c r="BJ88" t="s">
        <v>1100</v>
      </c>
      <c r="BK88" t="s">
        <v>101</v>
      </c>
      <c r="BL88" t="s">
        <v>1101</v>
      </c>
      <c r="BM88" t="s">
        <v>1932</v>
      </c>
      <c r="BN88">
        <v>24647560</v>
      </c>
      <c r="BO88" t="s">
        <v>1933</v>
      </c>
      <c r="BP88" t="s">
        <v>74</v>
      </c>
      <c r="BQ88" t="s">
        <v>74</v>
      </c>
      <c r="BR88" t="s">
        <v>104</v>
      </c>
      <c r="BS88" t="s">
        <v>1934</v>
      </c>
      <c r="BT88" t="str">
        <f>HYPERLINK("https%3A%2F%2Fwww.webofscience.com%2Fwos%2Fwoscc%2Ffull-record%2FWOS:000333348500138","View Full Record in Web of Science")</f>
        <v>View Full Record in Web of Science</v>
      </c>
    </row>
    <row r="89" spans="1:72" x14ac:dyDescent="0.15">
      <c r="A89" t="s">
        <v>72</v>
      </c>
      <c r="B89" t="s">
        <v>1935</v>
      </c>
      <c r="C89" t="s">
        <v>74</v>
      </c>
      <c r="D89" t="s">
        <v>74</v>
      </c>
      <c r="E89" t="s">
        <v>74</v>
      </c>
      <c r="F89" t="s">
        <v>1936</v>
      </c>
      <c r="G89" t="s">
        <v>74</v>
      </c>
      <c r="H89" t="s">
        <v>74</v>
      </c>
      <c r="I89" t="s">
        <v>1937</v>
      </c>
      <c r="J89" t="s">
        <v>1938</v>
      </c>
      <c r="K89" t="s">
        <v>74</v>
      </c>
      <c r="L89" t="s">
        <v>74</v>
      </c>
      <c r="M89" t="s">
        <v>78</v>
      </c>
      <c r="N89" t="s">
        <v>1127</v>
      </c>
      <c r="O89" t="s">
        <v>74</v>
      </c>
      <c r="P89" t="s">
        <v>74</v>
      </c>
      <c r="Q89" t="s">
        <v>74</v>
      </c>
      <c r="R89" t="s">
        <v>74</v>
      </c>
      <c r="S89" t="s">
        <v>74</v>
      </c>
      <c r="T89" t="s">
        <v>74</v>
      </c>
      <c r="U89" t="s">
        <v>1939</v>
      </c>
      <c r="V89" t="s">
        <v>74</v>
      </c>
      <c r="W89" t="s">
        <v>1940</v>
      </c>
      <c r="X89" t="s">
        <v>1941</v>
      </c>
      <c r="Y89" t="s">
        <v>1942</v>
      </c>
      <c r="Z89" t="s">
        <v>1943</v>
      </c>
      <c r="AA89" t="s">
        <v>1944</v>
      </c>
      <c r="AB89" t="s">
        <v>1945</v>
      </c>
      <c r="AC89" t="s">
        <v>1946</v>
      </c>
      <c r="AD89" t="s">
        <v>350</v>
      </c>
      <c r="AE89" t="s">
        <v>74</v>
      </c>
      <c r="AF89" t="s">
        <v>74</v>
      </c>
      <c r="AG89">
        <v>10</v>
      </c>
      <c r="AH89">
        <v>58</v>
      </c>
      <c r="AI89">
        <v>65</v>
      </c>
      <c r="AJ89">
        <v>1</v>
      </c>
      <c r="AK89">
        <v>40</v>
      </c>
      <c r="AL89" t="s">
        <v>1947</v>
      </c>
      <c r="AM89" t="s">
        <v>1948</v>
      </c>
      <c r="AN89" t="s">
        <v>1949</v>
      </c>
      <c r="AO89" t="s">
        <v>1950</v>
      </c>
      <c r="AP89" t="s">
        <v>1951</v>
      </c>
      <c r="AQ89" t="s">
        <v>74</v>
      </c>
      <c r="AR89" t="s">
        <v>1952</v>
      </c>
      <c r="AS89" t="s">
        <v>1953</v>
      </c>
      <c r="AT89" t="s">
        <v>1954</v>
      </c>
      <c r="AU89">
        <v>2014</v>
      </c>
      <c r="AV89">
        <v>24</v>
      </c>
      <c r="AW89">
        <v>6</v>
      </c>
      <c r="AX89" t="s">
        <v>74</v>
      </c>
      <c r="AY89" t="s">
        <v>74</v>
      </c>
      <c r="AZ89" t="s">
        <v>74</v>
      </c>
      <c r="BA89" t="s">
        <v>74</v>
      </c>
      <c r="BB89" t="s">
        <v>1955</v>
      </c>
      <c r="BC89" t="s">
        <v>1956</v>
      </c>
      <c r="BD89" t="s">
        <v>74</v>
      </c>
      <c r="BE89" t="s">
        <v>1957</v>
      </c>
      <c r="BF89" t="str">
        <f>HYPERLINK("http://dx.doi.org/10.1016/j.cub.2014.01.053","http://dx.doi.org/10.1016/j.cub.2014.01.053")</f>
        <v>http://dx.doi.org/10.1016/j.cub.2014.01.053</v>
      </c>
      <c r="BG89" t="s">
        <v>74</v>
      </c>
      <c r="BH89" t="s">
        <v>74</v>
      </c>
      <c r="BI89">
        <v>2</v>
      </c>
      <c r="BJ89" t="s">
        <v>1958</v>
      </c>
      <c r="BK89" t="s">
        <v>101</v>
      </c>
      <c r="BL89" t="s">
        <v>1959</v>
      </c>
      <c r="BM89" t="s">
        <v>1960</v>
      </c>
      <c r="BN89">
        <v>24650904</v>
      </c>
      <c r="BO89" t="s">
        <v>1961</v>
      </c>
      <c r="BP89" t="s">
        <v>74</v>
      </c>
      <c r="BQ89" t="s">
        <v>74</v>
      </c>
      <c r="BR89" t="s">
        <v>104</v>
      </c>
      <c r="BS89" t="s">
        <v>1962</v>
      </c>
      <c r="BT89" t="str">
        <f>HYPERLINK("https%3A%2F%2Fwww.webofscience.com%2Fwos%2Fwoscc%2Ffull-record%2FWOS:000333233300006","View Full Record in Web of Science")</f>
        <v>View Full Record in Web of Science</v>
      </c>
    </row>
    <row r="90" spans="1:72" x14ac:dyDescent="0.15">
      <c r="A90" t="s">
        <v>72</v>
      </c>
      <c r="B90" t="s">
        <v>1963</v>
      </c>
      <c r="C90" t="s">
        <v>74</v>
      </c>
      <c r="D90" t="s">
        <v>74</v>
      </c>
      <c r="E90" t="s">
        <v>74</v>
      </c>
      <c r="F90" t="s">
        <v>1964</v>
      </c>
      <c r="G90" t="s">
        <v>74</v>
      </c>
      <c r="H90" t="s">
        <v>74</v>
      </c>
      <c r="I90" t="s">
        <v>1965</v>
      </c>
      <c r="J90" t="s">
        <v>1646</v>
      </c>
      <c r="K90" t="s">
        <v>74</v>
      </c>
      <c r="L90" t="s">
        <v>74</v>
      </c>
      <c r="M90" t="s">
        <v>78</v>
      </c>
      <c r="N90" t="s">
        <v>79</v>
      </c>
      <c r="O90" t="s">
        <v>74</v>
      </c>
      <c r="P90" t="s">
        <v>74</v>
      </c>
      <c r="Q90" t="s">
        <v>74</v>
      </c>
      <c r="R90" t="s">
        <v>74</v>
      </c>
      <c r="S90" t="s">
        <v>74</v>
      </c>
      <c r="T90" t="s">
        <v>1966</v>
      </c>
      <c r="U90" t="s">
        <v>1967</v>
      </c>
      <c r="V90" t="s">
        <v>1968</v>
      </c>
      <c r="W90" t="s">
        <v>1969</v>
      </c>
      <c r="X90" t="s">
        <v>1970</v>
      </c>
      <c r="Y90" t="s">
        <v>1971</v>
      </c>
      <c r="Z90" t="s">
        <v>1972</v>
      </c>
      <c r="AA90" t="s">
        <v>1973</v>
      </c>
      <c r="AB90" t="s">
        <v>1974</v>
      </c>
      <c r="AC90" t="s">
        <v>1975</v>
      </c>
      <c r="AD90" t="s">
        <v>1976</v>
      </c>
      <c r="AE90" t="s">
        <v>1977</v>
      </c>
      <c r="AF90" t="s">
        <v>74</v>
      </c>
      <c r="AG90">
        <v>83</v>
      </c>
      <c r="AH90">
        <v>2</v>
      </c>
      <c r="AI90">
        <v>3</v>
      </c>
      <c r="AJ90">
        <v>0</v>
      </c>
      <c r="AK90">
        <v>13</v>
      </c>
      <c r="AL90" t="s">
        <v>568</v>
      </c>
      <c r="AM90" t="s">
        <v>447</v>
      </c>
      <c r="AN90" t="s">
        <v>569</v>
      </c>
      <c r="AO90" t="s">
        <v>1658</v>
      </c>
      <c r="AP90" t="s">
        <v>1659</v>
      </c>
      <c r="AQ90" t="s">
        <v>74</v>
      </c>
      <c r="AR90" t="s">
        <v>1660</v>
      </c>
      <c r="AS90" t="s">
        <v>1661</v>
      </c>
      <c r="AT90" t="s">
        <v>1978</v>
      </c>
      <c r="AU90">
        <v>2014</v>
      </c>
      <c r="AV90">
        <v>119</v>
      </c>
      <c r="AW90">
        <v>5</v>
      </c>
      <c r="AX90" t="s">
        <v>74</v>
      </c>
      <c r="AY90" t="s">
        <v>74</v>
      </c>
      <c r="AZ90" t="s">
        <v>74</v>
      </c>
      <c r="BA90" t="s">
        <v>74</v>
      </c>
      <c r="BB90">
        <v>2032</v>
      </c>
      <c r="BC90">
        <v>2049</v>
      </c>
      <c r="BD90" t="s">
        <v>74</v>
      </c>
      <c r="BE90" t="s">
        <v>1979</v>
      </c>
      <c r="BF90" t="str">
        <f>HYPERLINK("http://dx.doi.org/10.1002/2013JD021138","http://dx.doi.org/10.1002/2013JD021138")</f>
        <v>http://dx.doi.org/10.1002/2013JD021138</v>
      </c>
      <c r="BG90" t="s">
        <v>74</v>
      </c>
      <c r="BH90" t="s">
        <v>74</v>
      </c>
      <c r="BI90">
        <v>18</v>
      </c>
      <c r="BJ90" t="s">
        <v>1391</v>
      </c>
      <c r="BK90" t="s">
        <v>101</v>
      </c>
      <c r="BL90" t="s">
        <v>1391</v>
      </c>
      <c r="BM90" t="s">
        <v>1980</v>
      </c>
      <c r="BN90" t="s">
        <v>74</v>
      </c>
      <c r="BO90" t="s">
        <v>200</v>
      </c>
      <c r="BP90" t="s">
        <v>74</v>
      </c>
      <c r="BQ90" t="s">
        <v>74</v>
      </c>
      <c r="BR90" t="s">
        <v>104</v>
      </c>
      <c r="BS90" t="s">
        <v>1981</v>
      </c>
      <c r="BT90" t="str">
        <f>HYPERLINK("https%3A%2F%2Fwww.webofscience.com%2Fwos%2Fwoscc%2Ffull-record%2FWOS:000333885700003","View Full Record in Web of Science")</f>
        <v>View Full Record in Web of Science</v>
      </c>
    </row>
    <row r="91" spans="1:72" x14ac:dyDescent="0.15">
      <c r="A91" t="s">
        <v>72</v>
      </c>
      <c r="B91" t="s">
        <v>1982</v>
      </c>
      <c r="C91" t="s">
        <v>74</v>
      </c>
      <c r="D91" t="s">
        <v>74</v>
      </c>
      <c r="E91" t="s">
        <v>74</v>
      </c>
      <c r="F91" t="s">
        <v>1983</v>
      </c>
      <c r="G91" t="s">
        <v>74</v>
      </c>
      <c r="H91" t="s">
        <v>74</v>
      </c>
      <c r="I91" t="s">
        <v>1984</v>
      </c>
      <c r="J91" t="s">
        <v>1588</v>
      </c>
      <c r="K91" t="s">
        <v>74</v>
      </c>
      <c r="L91" t="s">
        <v>74</v>
      </c>
      <c r="M91" t="s">
        <v>78</v>
      </c>
      <c r="N91" t="s">
        <v>79</v>
      </c>
      <c r="O91" t="s">
        <v>74</v>
      </c>
      <c r="P91" t="s">
        <v>74</v>
      </c>
      <c r="Q91" t="s">
        <v>74</v>
      </c>
      <c r="R91" t="s">
        <v>74</v>
      </c>
      <c r="S91" t="s">
        <v>74</v>
      </c>
      <c r="T91" t="s">
        <v>1985</v>
      </c>
      <c r="U91" t="s">
        <v>1986</v>
      </c>
      <c r="V91" t="s">
        <v>1987</v>
      </c>
      <c r="W91" t="s">
        <v>1988</v>
      </c>
      <c r="X91" t="s">
        <v>1989</v>
      </c>
      <c r="Y91" t="s">
        <v>1990</v>
      </c>
      <c r="Z91" t="s">
        <v>1991</v>
      </c>
      <c r="AA91" t="s">
        <v>1992</v>
      </c>
      <c r="AB91" t="s">
        <v>1993</v>
      </c>
      <c r="AC91" t="s">
        <v>1994</v>
      </c>
      <c r="AD91" t="s">
        <v>1995</v>
      </c>
      <c r="AE91" t="s">
        <v>1996</v>
      </c>
      <c r="AF91" t="s">
        <v>74</v>
      </c>
      <c r="AG91">
        <v>33</v>
      </c>
      <c r="AH91">
        <v>13</v>
      </c>
      <c r="AI91">
        <v>14</v>
      </c>
      <c r="AJ91">
        <v>1</v>
      </c>
      <c r="AK91">
        <v>11</v>
      </c>
      <c r="AL91" t="s">
        <v>568</v>
      </c>
      <c r="AM91" t="s">
        <v>447</v>
      </c>
      <c r="AN91" t="s">
        <v>569</v>
      </c>
      <c r="AO91" t="s">
        <v>1601</v>
      </c>
      <c r="AP91" t="s">
        <v>1602</v>
      </c>
      <c r="AQ91" t="s">
        <v>74</v>
      </c>
      <c r="AR91" t="s">
        <v>1603</v>
      </c>
      <c r="AS91" t="s">
        <v>1604</v>
      </c>
      <c r="AT91" t="s">
        <v>1978</v>
      </c>
      <c r="AU91">
        <v>2014</v>
      </c>
      <c r="AV91">
        <v>41</v>
      </c>
      <c r="AW91">
        <v>5</v>
      </c>
      <c r="AX91" t="s">
        <v>74</v>
      </c>
      <c r="AY91" t="s">
        <v>74</v>
      </c>
      <c r="AZ91" t="s">
        <v>74</v>
      </c>
      <c r="BA91" t="s">
        <v>74</v>
      </c>
      <c r="BB91">
        <v>1593</v>
      </c>
      <c r="BC91">
        <v>1599</v>
      </c>
      <c r="BD91" t="s">
        <v>74</v>
      </c>
      <c r="BE91" t="s">
        <v>1997</v>
      </c>
      <c r="BF91" t="str">
        <f>HYPERLINK("http://dx.doi.org/10.1002/2013GL057928","http://dx.doi.org/10.1002/2013GL057928")</f>
        <v>http://dx.doi.org/10.1002/2013GL057928</v>
      </c>
      <c r="BG91" t="s">
        <v>74</v>
      </c>
      <c r="BH91" t="s">
        <v>74</v>
      </c>
      <c r="BI91">
        <v>7</v>
      </c>
      <c r="BJ91" t="s">
        <v>952</v>
      </c>
      <c r="BK91" t="s">
        <v>101</v>
      </c>
      <c r="BL91" t="s">
        <v>597</v>
      </c>
      <c r="BM91" t="s">
        <v>1998</v>
      </c>
      <c r="BN91" t="s">
        <v>74</v>
      </c>
      <c r="BO91" t="s">
        <v>252</v>
      </c>
      <c r="BP91" t="s">
        <v>74</v>
      </c>
      <c r="BQ91" t="s">
        <v>74</v>
      </c>
      <c r="BR91" t="s">
        <v>104</v>
      </c>
      <c r="BS91" t="s">
        <v>1999</v>
      </c>
      <c r="BT91" t="str">
        <f>HYPERLINK("https%3A%2F%2Fwww.webofscience.com%2Fwos%2Fwoscc%2Ffull-record%2FWOS:000333578800034","View Full Record in Web of Science")</f>
        <v>View Full Record in Web of Science</v>
      </c>
    </row>
    <row r="92" spans="1:72" x14ac:dyDescent="0.15">
      <c r="A92" t="s">
        <v>72</v>
      </c>
      <c r="B92" t="s">
        <v>2000</v>
      </c>
      <c r="C92" t="s">
        <v>74</v>
      </c>
      <c r="D92" t="s">
        <v>74</v>
      </c>
      <c r="E92" t="s">
        <v>74</v>
      </c>
      <c r="F92" t="s">
        <v>2001</v>
      </c>
      <c r="G92" t="s">
        <v>74</v>
      </c>
      <c r="H92" t="s">
        <v>74</v>
      </c>
      <c r="I92" t="s">
        <v>2002</v>
      </c>
      <c r="J92" t="s">
        <v>1588</v>
      </c>
      <c r="K92" t="s">
        <v>74</v>
      </c>
      <c r="L92" t="s">
        <v>74</v>
      </c>
      <c r="M92" t="s">
        <v>78</v>
      </c>
      <c r="N92" t="s">
        <v>79</v>
      </c>
      <c r="O92" t="s">
        <v>74</v>
      </c>
      <c r="P92" t="s">
        <v>74</v>
      </c>
      <c r="Q92" t="s">
        <v>74</v>
      </c>
      <c r="R92" t="s">
        <v>74</v>
      </c>
      <c r="S92" t="s">
        <v>74</v>
      </c>
      <c r="T92" t="s">
        <v>2003</v>
      </c>
      <c r="U92" t="s">
        <v>2004</v>
      </c>
      <c r="V92" t="s">
        <v>2005</v>
      </c>
      <c r="W92" t="s">
        <v>2006</v>
      </c>
      <c r="X92" t="s">
        <v>2007</v>
      </c>
      <c r="Y92" t="s">
        <v>2008</v>
      </c>
      <c r="Z92" t="s">
        <v>2009</v>
      </c>
      <c r="AA92" t="s">
        <v>74</v>
      </c>
      <c r="AB92" t="s">
        <v>2010</v>
      </c>
      <c r="AC92" t="s">
        <v>2011</v>
      </c>
      <c r="AD92" t="s">
        <v>2012</v>
      </c>
      <c r="AE92" t="s">
        <v>2013</v>
      </c>
      <c r="AF92" t="s">
        <v>74</v>
      </c>
      <c r="AG92">
        <v>36</v>
      </c>
      <c r="AH92">
        <v>54</v>
      </c>
      <c r="AI92">
        <v>66</v>
      </c>
      <c r="AJ92">
        <v>2</v>
      </c>
      <c r="AK92">
        <v>46</v>
      </c>
      <c r="AL92" t="s">
        <v>568</v>
      </c>
      <c r="AM92" t="s">
        <v>447</v>
      </c>
      <c r="AN92" t="s">
        <v>569</v>
      </c>
      <c r="AO92" t="s">
        <v>1601</v>
      </c>
      <c r="AP92" t="s">
        <v>1602</v>
      </c>
      <c r="AQ92" t="s">
        <v>74</v>
      </c>
      <c r="AR92" t="s">
        <v>1603</v>
      </c>
      <c r="AS92" t="s">
        <v>1604</v>
      </c>
      <c r="AT92" t="s">
        <v>1978</v>
      </c>
      <c r="AU92">
        <v>2014</v>
      </c>
      <c r="AV92">
        <v>41</v>
      </c>
      <c r="AW92">
        <v>5</v>
      </c>
      <c r="AX92" t="s">
        <v>74</v>
      </c>
      <c r="AY92" t="s">
        <v>74</v>
      </c>
      <c r="AZ92" t="s">
        <v>74</v>
      </c>
      <c r="BA92" t="s">
        <v>74</v>
      </c>
      <c r="BB92">
        <v>1624</v>
      </c>
      <c r="BC92">
        <v>1631</v>
      </c>
      <c r="BD92" t="s">
        <v>74</v>
      </c>
      <c r="BE92" t="s">
        <v>2014</v>
      </c>
      <c r="BF92" t="str">
        <f>HYPERLINK("http://dx.doi.org/10.1002/2014GL059311","http://dx.doi.org/10.1002/2014GL059311")</f>
        <v>http://dx.doi.org/10.1002/2014GL059311</v>
      </c>
      <c r="BG92" t="s">
        <v>74</v>
      </c>
      <c r="BH92" t="s">
        <v>74</v>
      </c>
      <c r="BI92">
        <v>8</v>
      </c>
      <c r="BJ92" t="s">
        <v>952</v>
      </c>
      <c r="BK92" t="s">
        <v>101</v>
      </c>
      <c r="BL92" t="s">
        <v>597</v>
      </c>
      <c r="BM92" t="s">
        <v>1998</v>
      </c>
      <c r="BN92" t="s">
        <v>74</v>
      </c>
      <c r="BO92" t="s">
        <v>1607</v>
      </c>
      <c r="BP92" t="s">
        <v>74</v>
      </c>
      <c r="BQ92" t="s">
        <v>74</v>
      </c>
      <c r="BR92" t="s">
        <v>104</v>
      </c>
      <c r="BS92" t="s">
        <v>2015</v>
      </c>
      <c r="BT92" t="str">
        <f>HYPERLINK("https%3A%2F%2Fwww.webofscience.com%2Fwos%2Fwoscc%2Ffull-record%2FWOS:000333578800038","View Full Record in Web of Science")</f>
        <v>View Full Record in Web of Science</v>
      </c>
    </row>
    <row r="93" spans="1:72" x14ac:dyDescent="0.15">
      <c r="A93" t="s">
        <v>72</v>
      </c>
      <c r="B93" t="s">
        <v>2016</v>
      </c>
      <c r="C93" t="s">
        <v>74</v>
      </c>
      <c r="D93" t="s">
        <v>74</v>
      </c>
      <c r="E93" t="s">
        <v>74</v>
      </c>
      <c r="F93" t="s">
        <v>2017</v>
      </c>
      <c r="G93" t="s">
        <v>74</v>
      </c>
      <c r="H93" t="s">
        <v>74</v>
      </c>
      <c r="I93" t="s">
        <v>2018</v>
      </c>
      <c r="J93" t="s">
        <v>1588</v>
      </c>
      <c r="K93" t="s">
        <v>74</v>
      </c>
      <c r="L93" t="s">
        <v>74</v>
      </c>
      <c r="M93" t="s">
        <v>78</v>
      </c>
      <c r="N93" t="s">
        <v>79</v>
      </c>
      <c r="O93" t="s">
        <v>74</v>
      </c>
      <c r="P93" t="s">
        <v>74</v>
      </c>
      <c r="Q93" t="s">
        <v>74</v>
      </c>
      <c r="R93" t="s">
        <v>74</v>
      </c>
      <c r="S93" t="s">
        <v>74</v>
      </c>
      <c r="T93" t="s">
        <v>2019</v>
      </c>
      <c r="U93" t="s">
        <v>2020</v>
      </c>
      <c r="V93" t="s">
        <v>2021</v>
      </c>
      <c r="W93" t="s">
        <v>2022</v>
      </c>
      <c r="X93" t="s">
        <v>2023</v>
      </c>
      <c r="Y93" t="s">
        <v>2024</v>
      </c>
      <c r="Z93" t="s">
        <v>2025</v>
      </c>
      <c r="AA93" t="s">
        <v>2026</v>
      </c>
      <c r="AB93" t="s">
        <v>2027</v>
      </c>
      <c r="AC93" t="s">
        <v>2028</v>
      </c>
      <c r="AD93" t="s">
        <v>2029</v>
      </c>
      <c r="AE93" t="s">
        <v>2030</v>
      </c>
      <c r="AF93" t="s">
        <v>74</v>
      </c>
      <c r="AG93">
        <v>25</v>
      </c>
      <c r="AH93">
        <v>83</v>
      </c>
      <c r="AI93">
        <v>86</v>
      </c>
      <c r="AJ93">
        <v>1</v>
      </c>
      <c r="AK93">
        <v>24</v>
      </c>
      <c r="AL93" t="s">
        <v>568</v>
      </c>
      <c r="AM93" t="s">
        <v>447</v>
      </c>
      <c r="AN93" t="s">
        <v>569</v>
      </c>
      <c r="AO93" t="s">
        <v>1601</v>
      </c>
      <c r="AP93" t="s">
        <v>1602</v>
      </c>
      <c r="AQ93" t="s">
        <v>74</v>
      </c>
      <c r="AR93" t="s">
        <v>1603</v>
      </c>
      <c r="AS93" t="s">
        <v>1604</v>
      </c>
      <c r="AT93" t="s">
        <v>1978</v>
      </c>
      <c r="AU93">
        <v>2014</v>
      </c>
      <c r="AV93">
        <v>41</v>
      </c>
      <c r="AW93">
        <v>5</v>
      </c>
      <c r="AX93" t="s">
        <v>74</v>
      </c>
      <c r="AY93" t="s">
        <v>74</v>
      </c>
      <c r="AZ93" t="s">
        <v>74</v>
      </c>
      <c r="BA93" t="s">
        <v>74</v>
      </c>
      <c r="BB93">
        <v>1657</v>
      </c>
      <c r="BC93">
        <v>1664</v>
      </c>
      <c r="BD93" t="s">
        <v>74</v>
      </c>
      <c r="BE93" t="s">
        <v>2031</v>
      </c>
      <c r="BF93" t="str">
        <f>HYPERLINK("http://dx.doi.org/10.1002/2013GL058921","http://dx.doi.org/10.1002/2013GL058921")</f>
        <v>http://dx.doi.org/10.1002/2013GL058921</v>
      </c>
      <c r="BG93" t="s">
        <v>74</v>
      </c>
      <c r="BH93" t="s">
        <v>74</v>
      </c>
      <c r="BI93">
        <v>8</v>
      </c>
      <c r="BJ93" t="s">
        <v>952</v>
      </c>
      <c r="BK93" t="s">
        <v>101</v>
      </c>
      <c r="BL93" t="s">
        <v>597</v>
      </c>
      <c r="BM93" t="s">
        <v>1998</v>
      </c>
      <c r="BN93" t="s">
        <v>74</v>
      </c>
      <c r="BO93" t="s">
        <v>200</v>
      </c>
      <c r="BP93" t="s">
        <v>74</v>
      </c>
      <c r="BQ93" t="s">
        <v>74</v>
      </c>
      <c r="BR93" t="s">
        <v>104</v>
      </c>
      <c r="BS93" t="s">
        <v>2032</v>
      </c>
      <c r="BT93" t="str">
        <f>HYPERLINK("https%3A%2F%2Fwww.webofscience.com%2Fwos%2Fwoscc%2Ffull-record%2FWOS:000333578800043","View Full Record in Web of Science")</f>
        <v>View Full Record in Web of Science</v>
      </c>
    </row>
    <row r="94" spans="1:72" x14ac:dyDescent="0.15">
      <c r="A94" t="s">
        <v>72</v>
      </c>
      <c r="B94" t="s">
        <v>2033</v>
      </c>
      <c r="C94" t="s">
        <v>74</v>
      </c>
      <c r="D94" t="s">
        <v>74</v>
      </c>
      <c r="E94" t="s">
        <v>74</v>
      </c>
      <c r="F94" t="s">
        <v>2034</v>
      </c>
      <c r="G94" t="s">
        <v>74</v>
      </c>
      <c r="H94" t="s">
        <v>74</v>
      </c>
      <c r="I94" t="s">
        <v>2035</v>
      </c>
      <c r="J94" t="s">
        <v>1588</v>
      </c>
      <c r="K94" t="s">
        <v>74</v>
      </c>
      <c r="L94" t="s">
        <v>74</v>
      </c>
      <c r="M94" t="s">
        <v>78</v>
      </c>
      <c r="N94" t="s">
        <v>79</v>
      </c>
      <c r="O94" t="s">
        <v>74</v>
      </c>
      <c r="P94" t="s">
        <v>74</v>
      </c>
      <c r="Q94" t="s">
        <v>74</v>
      </c>
      <c r="R94" t="s">
        <v>74</v>
      </c>
      <c r="S94" t="s">
        <v>74</v>
      </c>
      <c r="T94" t="s">
        <v>2036</v>
      </c>
      <c r="U94" t="s">
        <v>2037</v>
      </c>
      <c r="V94" t="s">
        <v>2038</v>
      </c>
      <c r="W94" t="s">
        <v>2039</v>
      </c>
      <c r="X94" t="s">
        <v>2040</v>
      </c>
      <c r="Y94" t="s">
        <v>2041</v>
      </c>
      <c r="Z94" t="s">
        <v>2042</v>
      </c>
      <c r="AA94" t="s">
        <v>2043</v>
      </c>
      <c r="AB94" t="s">
        <v>2044</v>
      </c>
      <c r="AC94" t="s">
        <v>2045</v>
      </c>
      <c r="AD94" t="s">
        <v>2046</v>
      </c>
      <c r="AE94" t="s">
        <v>2047</v>
      </c>
      <c r="AF94" t="s">
        <v>74</v>
      </c>
      <c r="AG94">
        <v>28</v>
      </c>
      <c r="AH94">
        <v>24</v>
      </c>
      <c r="AI94">
        <v>27</v>
      </c>
      <c r="AJ94">
        <v>4</v>
      </c>
      <c r="AK94">
        <v>53</v>
      </c>
      <c r="AL94" t="s">
        <v>568</v>
      </c>
      <c r="AM94" t="s">
        <v>447</v>
      </c>
      <c r="AN94" t="s">
        <v>569</v>
      </c>
      <c r="AO94" t="s">
        <v>1601</v>
      </c>
      <c r="AP94" t="s">
        <v>1602</v>
      </c>
      <c r="AQ94" t="s">
        <v>74</v>
      </c>
      <c r="AR94" t="s">
        <v>1603</v>
      </c>
      <c r="AS94" t="s">
        <v>1604</v>
      </c>
      <c r="AT94" t="s">
        <v>1978</v>
      </c>
      <c r="AU94">
        <v>2014</v>
      </c>
      <c r="AV94">
        <v>41</v>
      </c>
      <c r="AW94">
        <v>5</v>
      </c>
      <c r="AX94" t="s">
        <v>74</v>
      </c>
      <c r="AY94" t="s">
        <v>74</v>
      </c>
      <c r="AZ94" t="s">
        <v>74</v>
      </c>
      <c r="BA94" t="s">
        <v>74</v>
      </c>
      <c r="BB94">
        <v>1717</v>
      </c>
      <c r="BC94">
        <v>1723</v>
      </c>
      <c r="BD94" t="s">
        <v>74</v>
      </c>
      <c r="BE94" t="s">
        <v>2048</v>
      </c>
      <c r="BF94" t="str">
        <f>HYPERLINK("http://dx.doi.org/10.1002/2014GL059280","http://dx.doi.org/10.1002/2014GL059280")</f>
        <v>http://dx.doi.org/10.1002/2014GL059280</v>
      </c>
      <c r="BG94" t="s">
        <v>74</v>
      </c>
      <c r="BH94" t="s">
        <v>74</v>
      </c>
      <c r="BI94">
        <v>7</v>
      </c>
      <c r="BJ94" t="s">
        <v>952</v>
      </c>
      <c r="BK94" t="s">
        <v>101</v>
      </c>
      <c r="BL94" t="s">
        <v>597</v>
      </c>
      <c r="BM94" t="s">
        <v>1998</v>
      </c>
      <c r="BN94" t="s">
        <v>74</v>
      </c>
      <c r="BO94" t="s">
        <v>252</v>
      </c>
      <c r="BP94" t="s">
        <v>74</v>
      </c>
      <c r="BQ94" t="s">
        <v>74</v>
      </c>
      <c r="BR94" t="s">
        <v>104</v>
      </c>
      <c r="BS94" t="s">
        <v>2049</v>
      </c>
      <c r="BT94" t="str">
        <f>HYPERLINK("https%3A%2F%2Fwww.webofscience.com%2Fwos%2Fwoscc%2Ffull-record%2FWOS:000333578800051","View Full Record in Web of Science")</f>
        <v>View Full Record in Web of Science</v>
      </c>
    </row>
    <row r="95" spans="1:72" x14ac:dyDescent="0.15">
      <c r="A95" t="s">
        <v>72</v>
      </c>
      <c r="B95" t="s">
        <v>2050</v>
      </c>
      <c r="C95" t="s">
        <v>74</v>
      </c>
      <c r="D95" t="s">
        <v>74</v>
      </c>
      <c r="E95" t="s">
        <v>74</v>
      </c>
      <c r="F95" t="s">
        <v>2051</v>
      </c>
      <c r="G95" t="s">
        <v>74</v>
      </c>
      <c r="H95" t="s">
        <v>74</v>
      </c>
      <c r="I95" t="s">
        <v>2052</v>
      </c>
      <c r="J95" t="s">
        <v>2053</v>
      </c>
      <c r="K95" t="s">
        <v>74</v>
      </c>
      <c r="L95" t="s">
        <v>74</v>
      </c>
      <c r="M95" t="s">
        <v>78</v>
      </c>
      <c r="N95" t="s">
        <v>79</v>
      </c>
      <c r="O95" t="s">
        <v>74</v>
      </c>
      <c r="P95" t="s">
        <v>74</v>
      </c>
      <c r="Q95" t="s">
        <v>74</v>
      </c>
      <c r="R95" t="s">
        <v>74</v>
      </c>
      <c r="S95" t="s">
        <v>74</v>
      </c>
      <c r="T95" t="s">
        <v>2054</v>
      </c>
      <c r="U95" t="s">
        <v>2055</v>
      </c>
      <c r="V95" t="s">
        <v>2056</v>
      </c>
      <c r="W95" t="s">
        <v>2057</v>
      </c>
      <c r="X95" t="s">
        <v>2058</v>
      </c>
      <c r="Y95" t="s">
        <v>2059</v>
      </c>
      <c r="Z95" t="s">
        <v>2060</v>
      </c>
      <c r="AA95" t="s">
        <v>2061</v>
      </c>
      <c r="AB95" t="s">
        <v>74</v>
      </c>
      <c r="AC95" t="s">
        <v>2062</v>
      </c>
      <c r="AD95" t="s">
        <v>2063</v>
      </c>
      <c r="AE95" t="s">
        <v>2064</v>
      </c>
      <c r="AF95" t="s">
        <v>74</v>
      </c>
      <c r="AG95">
        <v>59</v>
      </c>
      <c r="AH95">
        <v>2</v>
      </c>
      <c r="AI95">
        <v>2</v>
      </c>
      <c r="AJ95">
        <v>1</v>
      </c>
      <c r="AK95">
        <v>20</v>
      </c>
      <c r="AL95" t="s">
        <v>652</v>
      </c>
      <c r="AM95" t="s">
        <v>653</v>
      </c>
      <c r="AN95" t="s">
        <v>654</v>
      </c>
      <c r="AO95" t="s">
        <v>2065</v>
      </c>
      <c r="AP95" t="s">
        <v>2066</v>
      </c>
      <c r="AQ95" t="s">
        <v>74</v>
      </c>
      <c r="AR95" t="s">
        <v>2053</v>
      </c>
      <c r="AS95" t="s">
        <v>2067</v>
      </c>
      <c r="AT95" t="s">
        <v>2068</v>
      </c>
      <c r="AU95">
        <v>2014</v>
      </c>
      <c r="AV95">
        <v>209</v>
      </c>
      <c r="AW95" t="s">
        <v>74</v>
      </c>
      <c r="AX95" t="s">
        <v>74</v>
      </c>
      <c r="AY95" t="s">
        <v>74</v>
      </c>
      <c r="AZ95" t="s">
        <v>74</v>
      </c>
      <c r="BA95" t="s">
        <v>74</v>
      </c>
      <c r="BB95">
        <v>133</v>
      </c>
      <c r="BC95">
        <v>139</v>
      </c>
      <c r="BD95" t="s">
        <v>74</v>
      </c>
      <c r="BE95" t="s">
        <v>2069</v>
      </c>
      <c r="BF95" t="str">
        <f>HYPERLINK("http://dx.doi.org/10.1016/j.geomorph.2013.11.031","http://dx.doi.org/10.1016/j.geomorph.2013.11.031")</f>
        <v>http://dx.doi.org/10.1016/j.geomorph.2013.11.031</v>
      </c>
      <c r="BG95" t="s">
        <v>74</v>
      </c>
      <c r="BH95" t="s">
        <v>74</v>
      </c>
      <c r="BI95">
        <v>7</v>
      </c>
      <c r="BJ95" t="s">
        <v>1415</v>
      </c>
      <c r="BK95" t="s">
        <v>101</v>
      </c>
      <c r="BL95" t="s">
        <v>1416</v>
      </c>
      <c r="BM95" t="s">
        <v>2070</v>
      </c>
      <c r="BN95" t="s">
        <v>74</v>
      </c>
      <c r="BO95" t="s">
        <v>74</v>
      </c>
      <c r="BP95" t="s">
        <v>74</v>
      </c>
      <c r="BQ95" t="s">
        <v>74</v>
      </c>
      <c r="BR95" t="s">
        <v>104</v>
      </c>
      <c r="BS95" t="s">
        <v>2071</v>
      </c>
      <c r="BT95" t="str">
        <f>HYPERLINK("https%3A%2F%2Fwww.webofscience.com%2Fwos%2Fwoscc%2Ffull-record%2FWOS:000332265000010","View Full Record in Web of Science")</f>
        <v>View Full Record in Web of Science</v>
      </c>
    </row>
    <row r="96" spans="1:72" x14ac:dyDescent="0.15">
      <c r="A96" t="s">
        <v>72</v>
      </c>
      <c r="B96" t="s">
        <v>2072</v>
      </c>
      <c r="C96" t="s">
        <v>74</v>
      </c>
      <c r="D96" t="s">
        <v>74</v>
      </c>
      <c r="E96" t="s">
        <v>74</v>
      </c>
      <c r="F96" t="s">
        <v>2073</v>
      </c>
      <c r="G96" t="s">
        <v>74</v>
      </c>
      <c r="H96" t="s">
        <v>74</v>
      </c>
      <c r="I96" t="s">
        <v>2074</v>
      </c>
      <c r="J96" t="s">
        <v>2075</v>
      </c>
      <c r="K96" t="s">
        <v>74</v>
      </c>
      <c r="L96" t="s">
        <v>74</v>
      </c>
      <c r="M96" t="s">
        <v>78</v>
      </c>
      <c r="N96" t="s">
        <v>79</v>
      </c>
      <c r="O96" t="s">
        <v>74</v>
      </c>
      <c r="P96" t="s">
        <v>74</v>
      </c>
      <c r="Q96" t="s">
        <v>74</v>
      </c>
      <c r="R96" t="s">
        <v>74</v>
      </c>
      <c r="S96" t="s">
        <v>74</v>
      </c>
      <c r="T96" t="s">
        <v>2076</v>
      </c>
      <c r="U96" t="s">
        <v>2077</v>
      </c>
      <c r="V96" t="s">
        <v>2078</v>
      </c>
      <c r="W96" t="s">
        <v>2079</v>
      </c>
      <c r="X96" t="s">
        <v>2080</v>
      </c>
      <c r="Y96" t="s">
        <v>2081</v>
      </c>
      <c r="Z96" t="s">
        <v>2082</v>
      </c>
      <c r="AA96" t="s">
        <v>2083</v>
      </c>
      <c r="AB96" t="s">
        <v>74</v>
      </c>
      <c r="AC96" t="s">
        <v>2084</v>
      </c>
      <c r="AD96" t="s">
        <v>2085</v>
      </c>
      <c r="AE96" t="s">
        <v>2086</v>
      </c>
      <c r="AF96" t="s">
        <v>74</v>
      </c>
      <c r="AG96">
        <v>29</v>
      </c>
      <c r="AH96">
        <v>19</v>
      </c>
      <c r="AI96">
        <v>21</v>
      </c>
      <c r="AJ96">
        <v>0</v>
      </c>
      <c r="AK96">
        <v>20</v>
      </c>
      <c r="AL96" t="s">
        <v>403</v>
      </c>
      <c r="AM96" t="s">
        <v>404</v>
      </c>
      <c r="AN96" t="s">
        <v>405</v>
      </c>
      <c r="AO96" t="s">
        <v>2087</v>
      </c>
      <c r="AP96" t="s">
        <v>2088</v>
      </c>
      <c r="AQ96" t="s">
        <v>74</v>
      </c>
      <c r="AR96" t="s">
        <v>2089</v>
      </c>
      <c r="AS96" t="s">
        <v>2090</v>
      </c>
      <c r="AT96" t="s">
        <v>2068</v>
      </c>
      <c r="AU96">
        <v>2014</v>
      </c>
      <c r="AV96">
        <v>34</v>
      </c>
      <c r="AW96">
        <v>3</v>
      </c>
      <c r="AX96" t="s">
        <v>74</v>
      </c>
      <c r="AY96" t="s">
        <v>74</v>
      </c>
      <c r="AZ96" t="s">
        <v>74</v>
      </c>
      <c r="BA96" t="s">
        <v>74</v>
      </c>
      <c r="BB96">
        <v>529</v>
      </c>
      <c r="BC96">
        <v>544</v>
      </c>
      <c r="BD96" t="s">
        <v>74</v>
      </c>
      <c r="BE96" t="s">
        <v>2091</v>
      </c>
      <c r="BF96" t="str">
        <f>HYPERLINK("http://dx.doi.org/10.1002/joc.3729","http://dx.doi.org/10.1002/joc.3729")</f>
        <v>http://dx.doi.org/10.1002/joc.3729</v>
      </c>
      <c r="BG96" t="s">
        <v>74</v>
      </c>
      <c r="BH96" t="s">
        <v>74</v>
      </c>
      <c r="BI96">
        <v>16</v>
      </c>
      <c r="BJ96" t="s">
        <v>1391</v>
      </c>
      <c r="BK96" t="s">
        <v>101</v>
      </c>
      <c r="BL96" t="s">
        <v>1391</v>
      </c>
      <c r="BM96" t="s">
        <v>2092</v>
      </c>
      <c r="BN96" t="s">
        <v>74</v>
      </c>
      <c r="BO96" t="s">
        <v>74</v>
      </c>
      <c r="BP96" t="s">
        <v>74</v>
      </c>
      <c r="BQ96" t="s">
        <v>74</v>
      </c>
      <c r="BR96" t="s">
        <v>104</v>
      </c>
      <c r="BS96" t="s">
        <v>2093</v>
      </c>
      <c r="BT96" t="str">
        <f>HYPERLINK("https%3A%2F%2Fwww.webofscience.com%2Fwos%2Fwoscc%2Ffull-record%2FWOS:000332092900001","View Full Record in Web of Science")</f>
        <v>View Full Record in Web of Science</v>
      </c>
    </row>
    <row r="97" spans="1:72" x14ac:dyDescent="0.15">
      <c r="A97" t="s">
        <v>72</v>
      </c>
      <c r="B97" t="s">
        <v>2094</v>
      </c>
      <c r="C97" t="s">
        <v>74</v>
      </c>
      <c r="D97" t="s">
        <v>74</v>
      </c>
      <c r="E97" t="s">
        <v>74</v>
      </c>
      <c r="F97" t="s">
        <v>2095</v>
      </c>
      <c r="G97" t="s">
        <v>74</v>
      </c>
      <c r="H97" t="s">
        <v>74</v>
      </c>
      <c r="I97" t="s">
        <v>2096</v>
      </c>
      <c r="J97" t="s">
        <v>2097</v>
      </c>
      <c r="K97" t="s">
        <v>74</v>
      </c>
      <c r="L97" t="s">
        <v>74</v>
      </c>
      <c r="M97" t="s">
        <v>78</v>
      </c>
      <c r="N97" t="s">
        <v>79</v>
      </c>
      <c r="O97" t="s">
        <v>74</v>
      </c>
      <c r="P97" t="s">
        <v>74</v>
      </c>
      <c r="Q97" t="s">
        <v>74</v>
      </c>
      <c r="R97" t="s">
        <v>74</v>
      </c>
      <c r="S97" t="s">
        <v>74</v>
      </c>
      <c r="T97" t="s">
        <v>2098</v>
      </c>
      <c r="U97" t="s">
        <v>2099</v>
      </c>
      <c r="V97" t="s">
        <v>2100</v>
      </c>
      <c r="W97" t="s">
        <v>2101</v>
      </c>
      <c r="X97" t="s">
        <v>2102</v>
      </c>
      <c r="Y97" t="s">
        <v>2103</v>
      </c>
      <c r="Z97" t="s">
        <v>2104</v>
      </c>
      <c r="AA97" t="s">
        <v>2105</v>
      </c>
      <c r="AB97" t="s">
        <v>2106</v>
      </c>
      <c r="AC97" t="s">
        <v>2107</v>
      </c>
      <c r="AD97" t="s">
        <v>2107</v>
      </c>
      <c r="AE97" t="s">
        <v>2108</v>
      </c>
      <c r="AF97" t="s">
        <v>74</v>
      </c>
      <c r="AG97">
        <v>52</v>
      </c>
      <c r="AH97">
        <v>44</v>
      </c>
      <c r="AI97">
        <v>46</v>
      </c>
      <c r="AJ97">
        <v>1</v>
      </c>
      <c r="AK97">
        <v>60</v>
      </c>
      <c r="AL97" t="s">
        <v>946</v>
      </c>
      <c r="AM97" t="s">
        <v>522</v>
      </c>
      <c r="AN97" t="s">
        <v>947</v>
      </c>
      <c r="AO97" t="s">
        <v>2109</v>
      </c>
      <c r="AP97" t="s">
        <v>2110</v>
      </c>
      <c r="AQ97" t="s">
        <v>74</v>
      </c>
      <c r="AR97" t="s">
        <v>2111</v>
      </c>
      <c r="AS97" t="s">
        <v>2112</v>
      </c>
      <c r="AT97" t="s">
        <v>2068</v>
      </c>
      <c r="AU97">
        <v>2014</v>
      </c>
      <c r="AV97">
        <v>80</v>
      </c>
      <c r="AW97" t="s">
        <v>1531</v>
      </c>
      <c r="AX97" t="s">
        <v>74</v>
      </c>
      <c r="AY97" t="s">
        <v>74</v>
      </c>
      <c r="AZ97" t="s">
        <v>74</v>
      </c>
      <c r="BA97" t="s">
        <v>74</v>
      </c>
      <c r="BB97">
        <v>250</v>
      </c>
      <c r="BC97">
        <v>262</v>
      </c>
      <c r="BD97" t="s">
        <v>74</v>
      </c>
      <c r="BE97" t="s">
        <v>2113</v>
      </c>
      <c r="BF97" t="str">
        <f>HYPERLINK("http://dx.doi.org/10.1016/j.marpolbul.2013.12.008","http://dx.doi.org/10.1016/j.marpolbul.2013.12.008")</f>
        <v>http://dx.doi.org/10.1016/j.marpolbul.2013.12.008</v>
      </c>
      <c r="BG97" t="s">
        <v>74</v>
      </c>
      <c r="BH97" t="s">
        <v>74</v>
      </c>
      <c r="BI97">
        <v>13</v>
      </c>
      <c r="BJ97" t="s">
        <v>2114</v>
      </c>
      <c r="BK97" t="s">
        <v>101</v>
      </c>
      <c r="BL97" t="s">
        <v>2115</v>
      </c>
      <c r="BM97" t="s">
        <v>2116</v>
      </c>
      <c r="BN97">
        <v>24503378</v>
      </c>
      <c r="BO97" t="s">
        <v>74</v>
      </c>
      <c r="BP97" t="s">
        <v>74</v>
      </c>
      <c r="BQ97" t="s">
        <v>74</v>
      </c>
      <c r="BR97" t="s">
        <v>104</v>
      </c>
      <c r="BS97" t="s">
        <v>2117</v>
      </c>
      <c r="BT97" t="str">
        <f>HYPERLINK("https%3A%2F%2Fwww.webofscience.com%2Fwos%2Fwoscc%2Ffull-record%2FWOS:000333946500040","View Full Record in Web of Science")</f>
        <v>View Full Record in Web of Science</v>
      </c>
    </row>
    <row r="98" spans="1:72" x14ac:dyDescent="0.15">
      <c r="A98" t="s">
        <v>72</v>
      </c>
      <c r="B98" t="s">
        <v>2118</v>
      </c>
      <c r="C98" t="s">
        <v>74</v>
      </c>
      <c r="D98" t="s">
        <v>74</v>
      </c>
      <c r="E98" t="s">
        <v>74</v>
      </c>
      <c r="F98" t="s">
        <v>2119</v>
      </c>
      <c r="G98" t="s">
        <v>74</v>
      </c>
      <c r="H98" t="s">
        <v>74</v>
      </c>
      <c r="I98" t="s">
        <v>2120</v>
      </c>
      <c r="J98" t="s">
        <v>1397</v>
      </c>
      <c r="K98" t="s">
        <v>74</v>
      </c>
      <c r="L98" t="s">
        <v>74</v>
      </c>
      <c r="M98" t="s">
        <v>78</v>
      </c>
      <c r="N98" t="s">
        <v>79</v>
      </c>
      <c r="O98" t="s">
        <v>74</v>
      </c>
      <c r="P98" t="s">
        <v>74</v>
      </c>
      <c r="Q98" t="s">
        <v>74</v>
      </c>
      <c r="R98" t="s">
        <v>74</v>
      </c>
      <c r="S98" t="s">
        <v>74</v>
      </c>
      <c r="T98" t="s">
        <v>2121</v>
      </c>
      <c r="U98" t="s">
        <v>2122</v>
      </c>
      <c r="V98" t="s">
        <v>2123</v>
      </c>
      <c r="W98" t="s">
        <v>2124</v>
      </c>
      <c r="X98" t="s">
        <v>2125</v>
      </c>
      <c r="Y98" t="s">
        <v>2126</v>
      </c>
      <c r="Z98" t="s">
        <v>2127</v>
      </c>
      <c r="AA98" t="s">
        <v>74</v>
      </c>
      <c r="AB98" t="s">
        <v>2128</v>
      </c>
      <c r="AC98" t="s">
        <v>2129</v>
      </c>
      <c r="AD98" t="s">
        <v>2130</v>
      </c>
      <c r="AE98" t="s">
        <v>2131</v>
      </c>
      <c r="AF98" t="s">
        <v>74</v>
      </c>
      <c r="AG98">
        <v>103</v>
      </c>
      <c r="AH98">
        <v>31</v>
      </c>
      <c r="AI98">
        <v>38</v>
      </c>
      <c r="AJ98">
        <v>4</v>
      </c>
      <c r="AK98">
        <v>76</v>
      </c>
      <c r="AL98" t="s">
        <v>946</v>
      </c>
      <c r="AM98" t="s">
        <v>522</v>
      </c>
      <c r="AN98" t="s">
        <v>947</v>
      </c>
      <c r="AO98" t="s">
        <v>1410</v>
      </c>
      <c r="AP98" t="s">
        <v>74</v>
      </c>
      <c r="AQ98" t="s">
        <v>74</v>
      </c>
      <c r="AR98" t="s">
        <v>1412</v>
      </c>
      <c r="AS98" t="s">
        <v>1413</v>
      </c>
      <c r="AT98" t="s">
        <v>2068</v>
      </c>
      <c r="AU98">
        <v>2014</v>
      </c>
      <c r="AV98">
        <v>88</v>
      </c>
      <c r="AW98" t="s">
        <v>74</v>
      </c>
      <c r="AX98" t="s">
        <v>74</v>
      </c>
      <c r="AY98" t="s">
        <v>74</v>
      </c>
      <c r="AZ98" t="s">
        <v>74</v>
      </c>
      <c r="BA98" t="s">
        <v>74</v>
      </c>
      <c r="BB98">
        <v>147</v>
      </c>
      <c r="BC98">
        <v>158</v>
      </c>
      <c r="BD98" t="s">
        <v>74</v>
      </c>
      <c r="BE98" t="s">
        <v>2132</v>
      </c>
      <c r="BF98" t="str">
        <f>HYPERLINK("http://dx.doi.org/10.1016/j.quascirev.2014.01.020","http://dx.doi.org/10.1016/j.quascirev.2014.01.020")</f>
        <v>http://dx.doi.org/10.1016/j.quascirev.2014.01.020</v>
      </c>
      <c r="BG98" t="s">
        <v>74</v>
      </c>
      <c r="BH98" t="s">
        <v>74</v>
      </c>
      <c r="BI98">
        <v>12</v>
      </c>
      <c r="BJ98" t="s">
        <v>1415</v>
      </c>
      <c r="BK98" t="s">
        <v>101</v>
      </c>
      <c r="BL98" t="s">
        <v>1416</v>
      </c>
      <c r="BM98" t="s">
        <v>2133</v>
      </c>
      <c r="BN98" t="s">
        <v>74</v>
      </c>
      <c r="BO98" t="s">
        <v>74</v>
      </c>
      <c r="BP98" t="s">
        <v>74</v>
      </c>
      <c r="BQ98" t="s">
        <v>74</v>
      </c>
      <c r="BR98" t="s">
        <v>104</v>
      </c>
      <c r="BS98" t="s">
        <v>2134</v>
      </c>
      <c r="BT98" t="str">
        <f>HYPERLINK("https%3A%2F%2Fwww.webofscience.com%2Fwos%2Fwoscc%2Ffull-record%2FWOS:000334086400010","View Full Record in Web of Science")</f>
        <v>View Full Record in Web of Science</v>
      </c>
    </row>
    <row r="99" spans="1:72" x14ac:dyDescent="0.15">
      <c r="A99" t="s">
        <v>72</v>
      </c>
      <c r="B99" t="s">
        <v>2135</v>
      </c>
      <c r="C99" t="s">
        <v>74</v>
      </c>
      <c r="D99" t="s">
        <v>74</v>
      </c>
      <c r="E99" t="s">
        <v>74</v>
      </c>
      <c r="F99" t="s">
        <v>2136</v>
      </c>
      <c r="G99" t="s">
        <v>74</v>
      </c>
      <c r="H99" t="s">
        <v>74</v>
      </c>
      <c r="I99" t="s">
        <v>2137</v>
      </c>
      <c r="J99" t="s">
        <v>2138</v>
      </c>
      <c r="K99" t="s">
        <v>74</v>
      </c>
      <c r="L99" t="s">
        <v>74</v>
      </c>
      <c r="M99" t="s">
        <v>78</v>
      </c>
      <c r="N99" t="s">
        <v>79</v>
      </c>
      <c r="O99" t="s">
        <v>74</v>
      </c>
      <c r="P99" t="s">
        <v>74</v>
      </c>
      <c r="Q99" t="s">
        <v>74</v>
      </c>
      <c r="R99" t="s">
        <v>74</v>
      </c>
      <c r="S99" t="s">
        <v>74</v>
      </c>
      <c r="T99" t="s">
        <v>74</v>
      </c>
      <c r="U99" t="s">
        <v>2139</v>
      </c>
      <c r="V99" t="s">
        <v>2140</v>
      </c>
      <c r="W99" t="s">
        <v>2141</v>
      </c>
      <c r="X99" t="s">
        <v>2142</v>
      </c>
      <c r="Y99" t="s">
        <v>2143</v>
      </c>
      <c r="Z99" t="s">
        <v>2144</v>
      </c>
      <c r="AA99" t="s">
        <v>2145</v>
      </c>
      <c r="AB99" t="s">
        <v>2146</v>
      </c>
      <c r="AC99" t="s">
        <v>2147</v>
      </c>
      <c r="AD99" t="s">
        <v>2148</v>
      </c>
      <c r="AE99" t="s">
        <v>2149</v>
      </c>
      <c r="AF99" t="s">
        <v>74</v>
      </c>
      <c r="AG99">
        <v>28</v>
      </c>
      <c r="AH99">
        <v>39</v>
      </c>
      <c r="AI99">
        <v>46</v>
      </c>
      <c r="AJ99">
        <v>1</v>
      </c>
      <c r="AK99">
        <v>68</v>
      </c>
      <c r="AL99" t="s">
        <v>2150</v>
      </c>
      <c r="AM99" t="s">
        <v>2151</v>
      </c>
      <c r="AN99" t="s">
        <v>2152</v>
      </c>
      <c r="AO99" t="s">
        <v>2153</v>
      </c>
      <c r="AP99" t="s">
        <v>74</v>
      </c>
      <c r="AQ99" t="s">
        <v>74</v>
      </c>
      <c r="AR99" t="s">
        <v>2154</v>
      </c>
      <c r="AS99" t="s">
        <v>2155</v>
      </c>
      <c r="AT99" t="s">
        <v>2156</v>
      </c>
      <c r="AU99">
        <v>2014</v>
      </c>
      <c r="AV99">
        <v>4</v>
      </c>
      <c r="AW99" t="s">
        <v>74</v>
      </c>
      <c r="AX99" t="s">
        <v>74</v>
      </c>
      <c r="AY99" t="s">
        <v>74</v>
      </c>
      <c r="AZ99" t="s">
        <v>74</v>
      </c>
      <c r="BA99" t="s">
        <v>74</v>
      </c>
      <c r="BB99" t="s">
        <v>74</v>
      </c>
      <c r="BC99" t="s">
        <v>74</v>
      </c>
      <c r="BD99">
        <v>4170</v>
      </c>
      <c r="BE99" t="s">
        <v>2157</v>
      </c>
      <c r="BF99" t="str">
        <f>HYPERLINK("http://dx.doi.org/10.1038/srep04170","http://dx.doi.org/10.1038/srep04170")</f>
        <v>http://dx.doi.org/10.1038/srep04170</v>
      </c>
      <c r="BG99" t="s">
        <v>74</v>
      </c>
      <c r="BH99" t="s">
        <v>74</v>
      </c>
      <c r="BI99">
        <v>6</v>
      </c>
      <c r="BJ99" t="s">
        <v>1100</v>
      </c>
      <c r="BK99" t="s">
        <v>101</v>
      </c>
      <c r="BL99" t="s">
        <v>1101</v>
      </c>
      <c r="BM99" t="s">
        <v>2158</v>
      </c>
      <c r="BN99">
        <v>24622821</v>
      </c>
      <c r="BO99" t="s">
        <v>183</v>
      </c>
      <c r="BP99" t="s">
        <v>74</v>
      </c>
      <c r="BQ99" t="s">
        <v>74</v>
      </c>
      <c r="BR99" t="s">
        <v>104</v>
      </c>
      <c r="BS99" t="s">
        <v>2159</v>
      </c>
      <c r="BT99" t="str">
        <f>HYPERLINK("https%3A%2F%2Fwww.webofscience.com%2Fwos%2Fwoscc%2Ffull-record%2FWOS:000332715600001","View Full Record in Web of Science")</f>
        <v>View Full Record in Web of Science</v>
      </c>
    </row>
    <row r="100" spans="1:72" x14ac:dyDescent="0.15">
      <c r="A100" t="s">
        <v>72</v>
      </c>
      <c r="B100" t="s">
        <v>2160</v>
      </c>
      <c r="C100" t="s">
        <v>74</v>
      </c>
      <c r="D100" t="s">
        <v>74</v>
      </c>
      <c r="E100" t="s">
        <v>74</v>
      </c>
      <c r="F100" t="s">
        <v>2161</v>
      </c>
      <c r="G100" t="s">
        <v>74</v>
      </c>
      <c r="H100" t="s">
        <v>74</v>
      </c>
      <c r="I100" t="s">
        <v>2162</v>
      </c>
      <c r="J100" t="s">
        <v>1275</v>
      </c>
      <c r="K100" t="s">
        <v>74</v>
      </c>
      <c r="L100" t="s">
        <v>74</v>
      </c>
      <c r="M100" t="s">
        <v>78</v>
      </c>
      <c r="N100" t="s">
        <v>79</v>
      </c>
      <c r="O100" t="s">
        <v>74</v>
      </c>
      <c r="P100" t="s">
        <v>74</v>
      </c>
      <c r="Q100" t="s">
        <v>74</v>
      </c>
      <c r="R100" t="s">
        <v>74</v>
      </c>
      <c r="S100" t="s">
        <v>74</v>
      </c>
      <c r="T100" t="s">
        <v>74</v>
      </c>
      <c r="U100" t="s">
        <v>2163</v>
      </c>
      <c r="V100" t="s">
        <v>2164</v>
      </c>
      <c r="W100" t="s">
        <v>2165</v>
      </c>
      <c r="X100" t="s">
        <v>2166</v>
      </c>
      <c r="Y100" t="s">
        <v>2167</v>
      </c>
      <c r="Z100" t="s">
        <v>2168</v>
      </c>
      <c r="AA100" t="s">
        <v>2169</v>
      </c>
      <c r="AB100" t="s">
        <v>2170</v>
      </c>
      <c r="AC100" t="s">
        <v>2171</v>
      </c>
      <c r="AD100" t="s">
        <v>2172</v>
      </c>
      <c r="AE100" t="s">
        <v>2173</v>
      </c>
      <c r="AF100" t="s">
        <v>74</v>
      </c>
      <c r="AG100">
        <v>56</v>
      </c>
      <c r="AH100">
        <v>83</v>
      </c>
      <c r="AI100">
        <v>92</v>
      </c>
      <c r="AJ100">
        <v>3</v>
      </c>
      <c r="AK100">
        <v>85</v>
      </c>
      <c r="AL100" t="s">
        <v>1261</v>
      </c>
      <c r="AM100" t="s">
        <v>1262</v>
      </c>
      <c r="AN100" t="s">
        <v>1263</v>
      </c>
      <c r="AO100" t="s">
        <v>1287</v>
      </c>
      <c r="AP100" t="s">
        <v>74</v>
      </c>
      <c r="AQ100" t="s">
        <v>74</v>
      </c>
      <c r="AR100" t="s">
        <v>1275</v>
      </c>
      <c r="AS100" t="s">
        <v>1288</v>
      </c>
      <c r="AT100" t="s">
        <v>2174</v>
      </c>
      <c r="AU100">
        <v>2014</v>
      </c>
      <c r="AV100">
        <v>9</v>
      </c>
      <c r="AW100">
        <v>3</v>
      </c>
      <c r="AX100" t="s">
        <v>74</v>
      </c>
      <c r="AY100" t="s">
        <v>74</v>
      </c>
      <c r="AZ100" t="s">
        <v>74</v>
      </c>
      <c r="BA100" t="s">
        <v>74</v>
      </c>
      <c r="BB100" t="s">
        <v>74</v>
      </c>
      <c r="BC100" t="s">
        <v>74</v>
      </c>
      <c r="BD100" t="s">
        <v>2175</v>
      </c>
      <c r="BE100" t="s">
        <v>2176</v>
      </c>
      <c r="BF100" t="str">
        <f>HYPERLINK("http://dx.doi.org/10.1371/journal.pone.0091188","http://dx.doi.org/10.1371/journal.pone.0091188")</f>
        <v>http://dx.doi.org/10.1371/journal.pone.0091188</v>
      </c>
      <c r="BG100" t="s">
        <v>74</v>
      </c>
      <c r="BH100" t="s">
        <v>74</v>
      </c>
      <c r="BI100">
        <v>10</v>
      </c>
      <c r="BJ100" t="s">
        <v>1100</v>
      </c>
      <c r="BK100" t="s">
        <v>101</v>
      </c>
      <c r="BL100" t="s">
        <v>1101</v>
      </c>
      <c r="BM100" t="s">
        <v>2177</v>
      </c>
      <c r="BN100">
        <v>24621601</v>
      </c>
      <c r="BO100" t="s">
        <v>2178</v>
      </c>
      <c r="BP100" t="s">
        <v>74</v>
      </c>
      <c r="BQ100" t="s">
        <v>74</v>
      </c>
      <c r="BR100" t="s">
        <v>104</v>
      </c>
      <c r="BS100" t="s">
        <v>2179</v>
      </c>
      <c r="BT100" t="str">
        <f>HYPERLINK("https%3A%2F%2Fwww.webofscience.com%2Fwos%2Fwoscc%2Ffull-record%2FWOS:000332845300058","View Full Record in Web of Science")</f>
        <v>View Full Record in Web of Science</v>
      </c>
    </row>
    <row r="101" spans="1:72" x14ac:dyDescent="0.15">
      <c r="A101" t="s">
        <v>72</v>
      </c>
      <c r="B101" t="s">
        <v>2180</v>
      </c>
      <c r="C101" t="s">
        <v>74</v>
      </c>
      <c r="D101" t="s">
        <v>74</v>
      </c>
      <c r="E101" t="s">
        <v>74</v>
      </c>
      <c r="F101" t="s">
        <v>2181</v>
      </c>
      <c r="G101" t="s">
        <v>74</v>
      </c>
      <c r="H101" t="s">
        <v>74</v>
      </c>
      <c r="I101" t="s">
        <v>2182</v>
      </c>
      <c r="J101" t="s">
        <v>2183</v>
      </c>
      <c r="K101" t="s">
        <v>74</v>
      </c>
      <c r="L101" t="s">
        <v>74</v>
      </c>
      <c r="M101" t="s">
        <v>78</v>
      </c>
      <c r="N101" t="s">
        <v>79</v>
      </c>
      <c r="O101" t="s">
        <v>74</v>
      </c>
      <c r="P101" t="s">
        <v>74</v>
      </c>
      <c r="Q101" t="s">
        <v>74</v>
      </c>
      <c r="R101" t="s">
        <v>74</v>
      </c>
      <c r="S101" t="s">
        <v>74</v>
      </c>
      <c r="T101" t="s">
        <v>2184</v>
      </c>
      <c r="U101" t="s">
        <v>2185</v>
      </c>
      <c r="V101" t="s">
        <v>2186</v>
      </c>
      <c r="W101" t="s">
        <v>2187</v>
      </c>
      <c r="X101" t="s">
        <v>2188</v>
      </c>
      <c r="Y101" t="s">
        <v>2189</v>
      </c>
      <c r="Z101" t="s">
        <v>2190</v>
      </c>
      <c r="AA101" t="s">
        <v>2191</v>
      </c>
      <c r="AB101" t="s">
        <v>2192</v>
      </c>
      <c r="AC101" t="s">
        <v>2193</v>
      </c>
      <c r="AD101" t="s">
        <v>2194</v>
      </c>
      <c r="AE101" t="s">
        <v>2195</v>
      </c>
      <c r="AF101" t="s">
        <v>74</v>
      </c>
      <c r="AG101">
        <v>44</v>
      </c>
      <c r="AH101">
        <v>184</v>
      </c>
      <c r="AI101">
        <v>201</v>
      </c>
      <c r="AJ101">
        <v>1</v>
      </c>
      <c r="AK101">
        <v>166</v>
      </c>
      <c r="AL101" t="s">
        <v>2196</v>
      </c>
      <c r="AM101" t="s">
        <v>447</v>
      </c>
      <c r="AN101" t="s">
        <v>2197</v>
      </c>
      <c r="AO101" t="s">
        <v>2198</v>
      </c>
      <c r="AP101" t="s">
        <v>74</v>
      </c>
      <c r="AQ101" t="s">
        <v>74</v>
      </c>
      <c r="AR101" t="s">
        <v>2199</v>
      </c>
      <c r="AS101" t="s">
        <v>2200</v>
      </c>
      <c r="AT101" t="s">
        <v>2201</v>
      </c>
      <c r="AU101">
        <v>2014</v>
      </c>
      <c r="AV101">
        <v>111</v>
      </c>
      <c r="AW101">
        <v>10</v>
      </c>
      <c r="AX101" t="s">
        <v>74</v>
      </c>
      <c r="AY101" t="s">
        <v>74</v>
      </c>
      <c r="AZ101" t="s">
        <v>74</v>
      </c>
      <c r="BA101" t="s">
        <v>74</v>
      </c>
      <c r="BB101">
        <v>3775</v>
      </c>
      <c r="BC101">
        <v>3780</v>
      </c>
      <c r="BD101" t="s">
        <v>74</v>
      </c>
      <c r="BE101" t="s">
        <v>2202</v>
      </c>
      <c r="BF101" t="str">
        <f>HYPERLINK("http://dx.doi.org/10.1073/pnas.1318945111","http://dx.doi.org/10.1073/pnas.1318945111")</f>
        <v>http://dx.doi.org/10.1073/pnas.1318945111</v>
      </c>
      <c r="BG101" t="s">
        <v>74</v>
      </c>
      <c r="BH101" t="s">
        <v>74</v>
      </c>
      <c r="BI101">
        <v>6</v>
      </c>
      <c r="BJ101" t="s">
        <v>1100</v>
      </c>
      <c r="BK101" t="s">
        <v>101</v>
      </c>
      <c r="BL101" t="s">
        <v>1101</v>
      </c>
      <c r="BM101" t="s">
        <v>2203</v>
      </c>
      <c r="BN101">
        <v>24586051</v>
      </c>
      <c r="BO101" t="s">
        <v>810</v>
      </c>
      <c r="BP101" t="s">
        <v>74</v>
      </c>
      <c r="BQ101" t="s">
        <v>74</v>
      </c>
      <c r="BR101" t="s">
        <v>104</v>
      </c>
      <c r="BS101" t="s">
        <v>2204</v>
      </c>
      <c r="BT101" t="str">
        <f>HYPERLINK("https%3A%2F%2Fwww.webofscience.com%2Fwos%2Fwoscc%2Ffull-record%2FWOS:000332564800039","View Full Record in Web of Science")</f>
        <v>View Full Record in Web of Science</v>
      </c>
    </row>
    <row r="102" spans="1:72" x14ac:dyDescent="0.15">
      <c r="A102" t="s">
        <v>72</v>
      </c>
      <c r="B102" t="s">
        <v>2205</v>
      </c>
      <c r="C102" t="s">
        <v>74</v>
      </c>
      <c r="D102" t="s">
        <v>74</v>
      </c>
      <c r="E102" t="s">
        <v>74</v>
      </c>
      <c r="F102" t="s">
        <v>2206</v>
      </c>
      <c r="G102" t="s">
        <v>74</v>
      </c>
      <c r="H102" t="s">
        <v>74</v>
      </c>
      <c r="I102" t="s">
        <v>2207</v>
      </c>
      <c r="J102" t="s">
        <v>1275</v>
      </c>
      <c r="K102" t="s">
        <v>74</v>
      </c>
      <c r="L102" t="s">
        <v>74</v>
      </c>
      <c r="M102" t="s">
        <v>78</v>
      </c>
      <c r="N102" t="s">
        <v>2208</v>
      </c>
      <c r="O102" t="s">
        <v>74</v>
      </c>
      <c r="P102" t="s">
        <v>74</v>
      </c>
      <c r="Q102" t="s">
        <v>74</v>
      </c>
      <c r="R102" t="s">
        <v>74</v>
      </c>
      <c r="S102" t="s">
        <v>74</v>
      </c>
      <c r="T102" t="s">
        <v>74</v>
      </c>
      <c r="U102" t="s">
        <v>74</v>
      </c>
      <c r="V102" t="s">
        <v>74</v>
      </c>
      <c r="W102" t="s">
        <v>74</v>
      </c>
      <c r="X102" t="s">
        <v>74</v>
      </c>
      <c r="Y102" t="s">
        <v>74</v>
      </c>
      <c r="Z102" t="s">
        <v>74</v>
      </c>
      <c r="AA102" t="s">
        <v>74</v>
      </c>
      <c r="AB102" t="s">
        <v>74</v>
      </c>
      <c r="AC102" t="s">
        <v>74</v>
      </c>
      <c r="AD102" t="s">
        <v>74</v>
      </c>
      <c r="AE102" t="s">
        <v>74</v>
      </c>
      <c r="AF102" t="s">
        <v>74</v>
      </c>
      <c r="AG102">
        <v>1</v>
      </c>
      <c r="AH102">
        <v>0</v>
      </c>
      <c r="AI102">
        <v>0</v>
      </c>
      <c r="AJ102">
        <v>0</v>
      </c>
      <c r="AK102">
        <v>9</v>
      </c>
      <c r="AL102" t="s">
        <v>1261</v>
      </c>
      <c r="AM102" t="s">
        <v>1262</v>
      </c>
      <c r="AN102" t="s">
        <v>1263</v>
      </c>
      <c r="AO102" t="s">
        <v>1287</v>
      </c>
      <c r="AP102" t="s">
        <v>74</v>
      </c>
      <c r="AQ102" t="s">
        <v>74</v>
      </c>
      <c r="AR102" t="s">
        <v>1275</v>
      </c>
      <c r="AS102" t="s">
        <v>1288</v>
      </c>
      <c r="AT102" t="s">
        <v>2209</v>
      </c>
      <c r="AU102">
        <v>2014</v>
      </c>
      <c r="AV102">
        <v>9</v>
      </c>
      <c r="AW102">
        <v>3</v>
      </c>
      <c r="AX102" t="s">
        <v>74</v>
      </c>
      <c r="AY102" t="s">
        <v>74</v>
      </c>
      <c r="AZ102" t="s">
        <v>74</v>
      </c>
      <c r="BA102" t="s">
        <v>74</v>
      </c>
      <c r="BB102" t="s">
        <v>74</v>
      </c>
      <c r="BC102" t="s">
        <v>74</v>
      </c>
      <c r="BD102" t="s">
        <v>2210</v>
      </c>
      <c r="BE102" t="s">
        <v>2211</v>
      </c>
      <c r="BF102" t="str">
        <f>HYPERLINK("http://dx.doi.org/10.1371/journal.pone.0092541","http://dx.doi.org/10.1371/journal.pone.0092541")</f>
        <v>http://dx.doi.org/10.1371/journal.pone.0092541</v>
      </c>
      <c r="BG102" t="s">
        <v>74</v>
      </c>
      <c r="BH102" t="s">
        <v>74</v>
      </c>
      <c r="BI102">
        <v>1</v>
      </c>
      <c r="BJ102" t="s">
        <v>1100</v>
      </c>
      <c r="BK102" t="s">
        <v>101</v>
      </c>
      <c r="BL102" t="s">
        <v>1101</v>
      </c>
      <c r="BM102" t="s">
        <v>2212</v>
      </c>
      <c r="BN102" t="s">
        <v>74</v>
      </c>
      <c r="BO102" t="s">
        <v>2213</v>
      </c>
      <c r="BP102" t="s">
        <v>74</v>
      </c>
      <c r="BQ102" t="s">
        <v>74</v>
      </c>
      <c r="BR102" t="s">
        <v>104</v>
      </c>
      <c r="BS102" t="s">
        <v>2214</v>
      </c>
      <c r="BT102" t="str">
        <f>HYPERLINK("https%3A%2F%2Fwww.webofscience.com%2Fwos%2Fwoscc%2Ffull-record%2FWOS:000332839300173","View Full Record in Web of Science")</f>
        <v>View Full Record in Web of Science</v>
      </c>
    </row>
    <row r="103" spans="1:72" x14ac:dyDescent="0.15">
      <c r="A103" t="s">
        <v>72</v>
      </c>
      <c r="B103" t="s">
        <v>2215</v>
      </c>
      <c r="C103" t="s">
        <v>74</v>
      </c>
      <c r="D103" t="s">
        <v>74</v>
      </c>
      <c r="E103" t="s">
        <v>74</v>
      </c>
      <c r="F103" t="s">
        <v>2216</v>
      </c>
      <c r="G103" t="s">
        <v>74</v>
      </c>
      <c r="H103" t="s">
        <v>74</v>
      </c>
      <c r="I103" t="s">
        <v>2217</v>
      </c>
      <c r="J103" t="s">
        <v>1275</v>
      </c>
      <c r="K103" t="s">
        <v>74</v>
      </c>
      <c r="L103" t="s">
        <v>74</v>
      </c>
      <c r="M103" t="s">
        <v>78</v>
      </c>
      <c r="N103" t="s">
        <v>79</v>
      </c>
      <c r="O103" t="s">
        <v>74</v>
      </c>
      <c r="P103" t="s">
        <v>74</v>
      </c>
      <c r="Q103" t="s">
        <v>74</v>
      </c>
      <c r="R103" t="s">
        <v>74</v>
      </c>
      <c r="S103" t="s">
        <v>74</v>
      </c>
      <c r="T103" t="s">
        <v>74</v>
      </c>
      <c r="U103" t="s">
        <v>2218</v>
      </c>
      <c r="V103" t="s">
        <v>2219</v>
      </c>
      <c r="W103" t="s">
        <v>2220</v>
      </c>
      <c r="X103" t="s">
        <v>2221</v>
      </c>
      <c r="Y103" t="s">
        <v>2222</v>
      </c>
      <c r="Z103" t="s">
        <v>2223</v>
      </c>
      <c r="AA103" t="s">
        <v>2224</v>
      </c>
      <c r="AB103" t="s">
        <v>2225</v>
      </c>
      <c r="AC103" t="s">
        <v>2226</v>
      </c>
      <c r="AD103" t="s">
        <v>2227</v>
      </c>
      <c r="AE103" t="s">
        <v>2228</v>
      </c>
      <c r="AF103" t="s">
        <v>74</v>
      </c>
      <c r="AG103">
        <v>61</v>
      </c>
      <c r="AH103">
        <v>21</v>
      </c>
      <c r="AI103">
        <v>27</v>
      </c>
      <c r="AJ103">
        <v>0</v>
      </c>
      <c r="AK103">
        <v>20</v>
      </c>
      <c r="AL103" t="s">
        <v>1261</v>
      </c>
      <c r="AM103" t="s">
        <v>1262</v>
      </c>
      <c r="AN103" t="s">
        <v>1263</v>
      </c>
      <c r="AO103" t="s">
        <v>1287</v>
      </c>
      <c r="AP103" t="s">
        <v>74</v>
      </c>
      <c r="AQ103" t="s">
        <v>74</v>
      </c>
      <c r="AR103" t="s">
        <v>1275</v>
      </c>
      <c r="AS103" t="s">
        <v>1288</v>
      </c>
      <c r="AT103" t="s">
        <v>2209</v>
      </c>
      <c r="AU103">
        <v>2014</v>
      </c>
      <c r="AV103">
        <v>9</v>
      </c>
      <c r="AW103">
        <v>3</v>
      </c>
      <c r="AX103" t="s">
        <v>74</v>
      </c>
      <c r="AY103" t="s">
        <v>74</v>
      </c>
      <c r="AZ103" t="s">
        <v>74</v>
      </c>
      <c r="BA103" t="s">
        <v>74</v>
      </c>
      <c r="BB103" t="s">
        <v>74</v>
      </c>
      <c r="BC103" t="s">
        <v>74</v>
      </c>
      <c r="BD103" t="s">
        <v>2229</v>
      </c>
      <c r="BE103" t="s">
        <v>2230</v>
      </c>
      <c r="BF103" t="str">
        <f>HYPERLINK("http://dx.doi.org/10.1371/journal.pone.0091233","http://dx.doi.org/10.1371/journal.pone.0091233")</f>
        <v>http://dx.doi.org/10.1371/journal.pone.0091233</v>
      </c>
      <c r="BG103" t="s">
        <v>74</v>
      </c>
      <c r="BH103" t="s">
        <v>74</v>
      </c>
      <c r="BI103">
        <v>12</v>
      </c>
      <c r="BJ103" t="s">
        <v>1100</v>
      </c>
      <c r="BK103" t="s">
        <v>101</v>
      </c>
      <c r="BL103" t="s">
        <v>1101</v>
      </c>
      <c r="BM103" t="s">
        <v>2212</v>
      </c>
      <c r="BN103">
        <v>24614685</v>
      </c>
      <c r="BO103" t="s">
        <v>2213</v>
      </c>
      <c r="BP103" t="s">
        <v>74</v>
      </c>
      <c r="BQ103" t="s">
        <v>74</v>
      </c>
      <c r="BR103" t="s">
        <v>104</v>
      </c>
      <c r="BS103" t="s">
        <v>2231</v>
      </c>
      <c r="BT103" t="str">
        <f>HYPERLINK("https%3A%2F%2Fwww.webofscience.com%2Fwos%2Fwoscc%2Ffull-record%2FWOS:000332839300100","View Full Record in Web of Science")</f>
        <v>View Full Record in Web of Science</v>
      </c>
    </row>
    <row r="104" spans="1:72" x14ac:dyDescent="0.15">
      <c r="A104" t="s">
        <v>72</v>
      </c>
      <c r="B104" t="s">
        <v>2232</v>
      </c>
      <c r="C104" t="s">
        <v>74</v>
      </c>
      <c r="D104" t="s">
        <v>74</v>
      </c>
      <c r="E104" t="s">
        <v>74</v>
      </c>
      <c r="F104" t="s">
        <v>2233</v>
      </c>
      <c r="G104" t="s">
        <v>74</v>
      </c>
      <c r="H104" t="s">
        <v>74</v>
      </c>
      <c r="I104" t="s">
        <v>2234</v>
      </c>
      <c r="J104" t="s">
        <v>2235</v>
      </c>
      <c r="K104" t="s">
        <v>74</v>
      </c>
      <c r="L104" t="s">
        <v>74</v>
      </c>
      <c r="M104" t="s">
        <v>78</v>
      </c>
      <c r="N104" t="s">
        <v>79</v>
      </c>
      <c r="O104" t="s">
        <v>74</v>
      </c>
      <c r="P104" t="s">
        <v>74</v>
      </c>
      <c r="Q104" t="s">
        <v>74</v>
      </c>
      <c r="R104" t="s">
        <v>74</v>
      </c>
      <c r="S104" t="s">
        <v>74</v>
      </c>
      <c r="T104" t="s">
        <v>2236</v>
      </c>
      <c r="U104" t="s">
        <v>2237</v>
      </c>
      <c r="V104" t="s">
        <v>2238</v>
      </c>
      <c r="W104" t="s">
        <v>2239</v>
      </c>
      <c r="X104" t="s">
        <v>2240</v>
      </c>
      <c r="Y104" t="s">
        <v>2241</v>
      </c>
      <c r="Z104" t="s">
        <v>2242</v>
      </c>
      <c r="AA104" t="s">
        <v>2243</v>
      </c>
      <c r="AB104" t="s">
        <v>2244</v>
      </c>
      <c r="AC104" t="s">
        <v>2245</v>
      </c>
      <c r="AD104" t="s">
        <v>2246</v>
      </c>
      <c r="AE104" t="s">
        <v>2247</v>
      </c>
      <c r="AF104" t="s">
        <v>74</v>
      </c>
      <c r="AG104">
        <v>35</v>
      </c>
      <c r="AH104">
        <v>25</v>
      </c>
      <c r="AI104">
        <v>27</v>
      </c>
      <c r="AJ104">
        <v>1</v>
      </c>
      <c r="AK104">
        <v>65</v>
      </c>
      <c r="AL104" t="s">
        <v>902</v>
      </c>
      <c r="AM104" t="s">
        <v>653</v>
      </c>
      <c r="AN104" t="s">
        <v>903</v>
      </c>
      <c r="AO104" t="s">
        <v>2248</v>
      </c>
      <c r="AP104" t="s">
        <v>2249</v>
      </c>
      <c r="AQ104" t="s">
        <v>74</v>
      </c>
      <c r="AR104" t="s">
        <v>2250</v>
      </c>
      <c r="AS104" t="s">
        <v>2251</v>
      </c>
      <c r="AT104" t="s">
        <v>2252</v>
      </c>
      <c r="AU104">
        <v>2014</v>
      </c>
      <c r="AV104">
        <v>1332</v>
      </c>
      <c r="AW104" t="s">
        <v>74</v>
      </c>
      <c r="AX104" t="s">
        <v>74</v>
      </c>
      <c r="AY104" t="s">
        <v>74</v>
      </c>
      <c r="AZ104" t="s">
        <v>74</v>
      </c>
      <c r="BA104" t="s">
        <v>74</v>
      </c>
      <c r="BB104">
        <v>30</v>
      </c>
      <c r="BC104">
        <v>34</v>
      </c>
      <c r="BD104" t="s">
        <v>74</v>
      </c>
      <c r="BE104" t="s">
        <v>2253</v>
      </c>
      <c r="BF104" t="str">
        <f>HYPERLINK("http://dx.doi.org/10.1016/j.chroma.2014.01.032","http://dx.doi.org/10.1016/j.chroma.2014.01.032")</f>
        <v>http://dx.doi.org/10.1016/j.chroma.2014.01.032</v>
      </c>
      <c r="BG104" t="s">
        <v>74</v>
      </c>
      <c r="BH104" t="s">
        <v>74</v>
      </c>
      <c r="BI104">
        <v>5</v>
      </c>
      <c r="BJ104" t="s">
        <v>2254</v>
      </c>
      <c r="BK104" t="s">
        <v>101</v>
      </c>
      <c r="BL104" t="s">
        <v>2255</v>
      </c>
      <c r="BM104" t="s">
        <v>2256</v>
      </c>
      <c r="BN104">
        <v>24529954</v>
      </c>
      <c r="BO104" t="s">
        <v>74</v>
      </c>
      <c r="BP104" t="s">
        <v>74</v>
      </c>
      <c r="BQ104" t="s">
        <v>74</v>
      </c>
      <c r="BR104" t="s">
        <v>104</v>
      </c>
      <c r="BS104" t="s">
        <v>2257</v>
      </c>
      <c r="BT104" t="str">
        <f>HYPERLINK("https%3A%2F%2Fwww.webofscience.com%2Fwos%2Fwoscc%2Ffull-record%2FWOS:000332429500005","View Full Record in Web of Science")</f>
        <v>View Full Record in Web of Science</v>
      </c>
    </row>
    <row r="105" spans="1:72" x14ac:dyDescent="0.15">
      <c r="A105" t="s">
        <v>72</v>
      </c>
      <c r="B105" t="s">
        <v>2258</v>
      </c>
      <c r="C105" t="s">
        <v>74</v>
      </c>
      <c r="D105" t="s">
        <v>74</v>
      </c>
      <c r="E105" t="s">
        <v>74</v>
      </c>
      <c r="F105" t="s">
        <v>2259</v>
      </c>
      <c r="G105" t="s">
        <v>74</v>
      </c>
      <c r="H105" t="s">
        <v>2260</v>
      </c>
      <c r="I105" t="s">
        <v>2261</v>
      </c>
      <c r="J105" t="s">
        <v>2262</v>
      </c>
      <c r="K105" t="s">
        <v>74</v>
      </c>
      <c r="L105" t="s">
        <v>74</v>
      </c>
      <c r="M105" t="s">
        <v>78</v>
      </c>
      <c r="N105" t="s">
        <v>189</v>
      </c>
      <c r="O105" t="s">
        <v>74</v>
      </c>
      <c r="P105" t="s">
        <v>74</v>
      </c>
      <c r="Q105" t="s">
        <v>74</v>
      </c>
      <c r="R105" t="s">
        <v>74</v>
      </c>
      <c r="S105" t="s">
        <v>74</v>
      </c>
      <c r="T105" t="s">
        <v>2263</v>
      </c>
      <c r="U105" t="s">
        <v>2264</v>
      </c>
      <c r="V105" t="s">
        <v>2265</v>
      </c>
      <c r="W105" t="s">
        <v>2266</v>
      </c>
      <c r="X105" t="s">
        <v>2267</v>
      </c>
      <c r="Y105" t="s">
        <v>2268</v>
      </c>
      <c r="Z105" t="s">
        <v>2269</v>
      </c>
      <c r="AA105" t="s">
        <v>2270</v>
      </c>
      <c r="AB105" t="s">
        <v>2271</v>
      </c>
      <c r="AC105" t="s">
        <v>2272</v>
      </c>
      <c r="AD105" t="s">
        <v>2273</v>
      </c>
      <c r="AE105" t="s">
        <v>74</v>
      </c>
      <c r="AF105" t="s">
        <v>74</v>
      </c>
      <c r="AG105">
        <v>5</v>
      </c>
      <c r="AH105">
        <v>39</v>
      </c>
      <c r="AI105">
        <v>41</v>
      </c>
      <c r="AJ105">
        <v>0</v>
      </c>
      <c r="AK105">
        <v>31</v>
      </c>
      <c r="AL105" t="s">
        <v>1048</v>
      </c>
      <c r="AM105" t="s">
        <v>522</v>
      </c>
      <c r="AN105" t="s">
        <v>1049</v>
      </c>
      <c r="AO105" t="s">
        <v>2274</v>
      </c>
      <c r="AP105" t="s">
        <v>74</v>
      </c>
      <c r="AQ105" t="s">
        <v>74</v>
      </c>
      <c r="AR105" t="s">
        <v>2262</v>
      </c>
      <c r="AS105" t="s">
        <v>2275</v>
      </c>
      <c r="AT105" t="s">
        <v>2252</v>
      </c>
      <c r="AU105">
        <v>2014</v>
      </c>
      <c r="AV105">
        <v>3</v>
      </c>
      <c r="AW105" t="s">
        <v>74</v>
      </c>
      <c r="AX105" t="s">
        <v>74</v>
      </c>
      <c r="AY105" t="s">
        <v>74</v>
      </c>
      <c r="AZ105" t="s">
        <v>74</v>
      </c>
      <c r="BA105" t="s">
        <v>74</v>
      </c>
      <c r="BB105" t="s">
        <v>74</v>
      </c>
      <c r="BC105" t="s">
        <v>74</v>
      </c>
      <c r="BD105">
        <v>2</v>
      </c>
      <c r="BE105" t="s">
        <v>2276</v>
      </c>
      <c r="BF105" t="str">
        <f>HYPERLINK("http://dx.doi.org/10.1186/2047-217X-3-2","http://dx.doi.org/10.1186/2047-217X-3-2")</f>
        <v>http://dx.doi.org/10.1186/2047-217X-3-2</v>
      </c>
      <c r="BG105" t="s">
        <v>74</v>
      </c>
      <c r="BH105" t="s">
        <v>74</v>
      </c>
      <c r="BI105">
        <v>5</v>
      </c>
      <c r="BJ105" t="s">
        <v>2277</v>
      </c>
      <c r="BK105" t="s">
        <v>101</v>
      </c>
      <c r="BL105" t="s">
        <v>2278</v>
      </c>
      <c r="BM105" t="s">
        <v>2279</v>
      </c>
      <c r="BN105">
        <v>24606731</v>
      </c>
      <c r="BO105" t="s">
        <v>1826</v>
      </c>
      <c r="BP105" t="s">
        <v>74</v>
      </c>
      <c r="BQ105" t="s">
        <v>74</v>
      </c>
      <c r="BR105" t="s">
        <v>104</v>
      </c>
      <c r="BS105" t="s">
        <v>2280</v>
      </c>
      <c r="BT105" t="str">
        <f>HYPERLINK("https%3A%2F%2Fwww.webofscience.com%2Fwos%2Fwoscc%2Ffull-record%2FWOS:000365651500001","View Full Record in Web of Science")</f>
        <v>View Full Record in Web of Science</v>
      </c>
    </row>
    <row r="106" spans="1:72" x14ac:dyDescent="0.15">
      <c r="A106" t="s">
        <v>72</v>
      </c>
      <c r="B106" t="s">
        <v>2281</v>
      </c>
      <c r="C106" t="s">
        <v>74</v>
      </c>
      <c r="D106" t="s">
        <v>74</v>
      </c>
      <c r="E106" t="s">
        <v>74</v>
      </c>
      <c r="F106" t="s">
        <v>2282</v>
      </c>
      <c r="G106" t="s">
        <v>74</v>
      </c>
      <c r="H106" t="s">
        <v>74</v>
      </c>
      <c r="I106" t="s">
        <v>2283</v>
      </c>
      <c r="J106" t="s">
        <v>1831</v>
      </c>
      <c r="K106" t="s">
        <v>74</v>
      </c>
      <c r="L106" t="s">
        <v>74</v>
      </c>
      <c r="M106" t="s">
        <v>78</v>
      </c>
      <c r="N106" t="s">
        <v>79</v>
      </c>
      <c r="O106" t="s">
        <v>74</v>
      </c>
      <c r="P106" t="s">
        <v>74</v>
      </c>
      <c r="Q106" t="s">
        <v>74</v>
      </c>
      <c r="R106" t="s">
        <v>74</v>
      </c>
      <c r="S106" t="s">
        <v>74</v>
      </c>
      <c r="T106" t="s">
        <v>2284</v>
      </c>
      <c r="U106" t="s">
        <v>2285</v>
      </c>
      <c r="V106" t="s">
        <v>2286</v>
      </c>
      <c r="W106" t="s">
        <v>2287</v>
      </c>
      <c r="X106" t="s">
        <v>2288</v>
      </c>
      <c r="Y106" t="s">
        <v>2289</v>
      </c>
      <c r="Z106" t="s">
        <v>2290</v>
      </c>
      <c r="AA106" t="s">
        <v>2291</v>
      </c>
      <c r="AB106" t="s">
        <v>2292</v>
      </c>
      <c r="AC106" t="s">
        <v>2293</v>
      </c>
      <c r="AD106" t="s">
        <v>2294</v>
      </c>
      <c r="AE106" t="s">
        <v>2295</v>
      </c>
      <c r="AF106" t="s">
        <v>74</v>
      </c>
      <c r="AG106">
        <v>54</v>
      </c>
      <c r="AH106">
        <v>21</v>
      </c>
      <c r="AI106">
        <v>22</v>
      </c>
      <c r="AJ106">
        <v>3</v>
      </c>
      <c r="AK106">
        <v>41</v>
      </c>
      <c r="AL106" t="s">
        <v>1844</v>
      </c>
      <c r="AM106" t="s">
        <v>704</v>
      </c>
      <c r="AN106" t="s">
        <v>1845</v>
      </c>
      <c r="AO106" t="s">
        <v>1846</v>
      </c>
      <c r="AP106" t="s">
        <v>1847</v>
      </c>
      <c r="AQ106" t="s">
        <v>74</v>
      </c>
      <c r="AR106" t="s">
        <v>1848</v>
      </c>
      <c r="AS106" t="s">
        <v>1849</v>
      </c>
      <c r="AT106" t="s">
        <v>2252</v>
      </c>
      <c r="AU106">
        <v>2014</v>
      </c>
      <c r="AV106">
        <v>281</v>
      </c>
      <c r="AW106">
        <v>1778</v>
      </c>
      <c r="AX106" t="s">
        <v>74</v>
      </c>
      <c r="AY106" t="s">
        <v>74</v>
      </c>
      <c r="AZ106" t="s">
        <v>74</v>
      </c>
      <c r="BA106" t="s">
        <v>74</v>
      </c>
      <c r="BB106" t="s">
        <v>74</v>
      </c>
      <c r="BC106" t="s">
        <v>74</v>
      </c>
      <c r="BD106">
        <v>20132883</v>
      </c>
      <c r="BE106" t="s">
        <v>2296</v>
      </c>
      <c r="BF106" t="str">
        <f>HYPERLINK("http://dx.doi.org/10.1098/rspb.2013.2883","http://dx.doi.org/10.1098/rspb.2013.2883")</f>
        <v>http://dx.doi.org/10.1098/rspb.2013.2883</v>
      </c>
      <c r="BG106" t="s">
        <v>74</v>
      </c>
      <c r="BH106" t="s">
        <v>74</v>
      </c>
      <c r="BI106">
        <v>9</v>
      </c>
      <c r="BJ106" t="s">
        <v>1852</v>
      </c>
      <c r="BK106" t="s">
        <v>101</v>
      </c>
      <c r="BL106" t="s">
        <v>1853</v>
      </c>
      <c r="BM106" t="s">
        <v>2297</v>
      </c>
      <c r="BN106">
        <v>24430849</v>
      </c>
      <c r="BO106" t="s">
        <v>2298</v>
      </c>
      <c r="BP106" t="s">
        <v>74</v>
      </c>
      <c r="BQ106" t="s">
        <v>74</v>
      </c>
      <c r="BR106" t="s">
        <v>104</v>
      </c>
      <c r="BS106" t="s">
        <v>2299</v>
      </c>
      <c r="BT106" t="str">
        <f>HYPERLINK("https%3A%2F%2Fwww.webofscience.com%2Fwos%2Fwoscc%2Ffull-record%2FWOS:000332382300013","View Full Record in Web of Science")</f>
        <v>View Full Record in Web of Science</v>
      </c>
    </row>
    <row r="107" spans="1:72" x14ac:dyDescent="0.15">
      <c r="A107" t="s">
        <v>72</v>
      </c>
      <c r="B107" t="s">
        <v>2300</v>
      </c>
      <c r="C107" t="s">
        <v>74</v>
      </c>
      <c r="D107" t="s">
        <v>74</v>
      </c>
      <c r="E107" t="s">
        <v>74</v>
      </c>
      <c r="F107" t="s">
        <v>2301</v>
      </c>
      <c r="G107" t="s">
        <v>74</v>
      </c>
      <c r="H107" t="s">
        <v>74</v>
      </c>
      <c r="I107" t="s">
        <v>2302</v>
      </c>
      <c r="J107" t="s">
        <v>1275</v>
      </c>
      <c r="K107" t="s">
        <v>74</v>
      </c>
      <c r="L107" t="s">
        <v>74</v>
      </c>
      <c r="M107" t="s">
        <v>78</v>
      </c>
      <c r="N107" t="s">
        <v>79</v>
      </c>
      <c r="O107" t="s">
        <v>74</v>
      </c>
      <c r="P107" t="s">
        <v>74</v>
      </c>
      <c r="Q107" t="s">
        <v>74</v>
      </c>
      <c r="R107" t="s">
        <v>74</v>
      </c>
      <c r="S107" t="s">
        <v>74</v>
      </c>
      <c r="T107" t="s">
        <v>74</v>
      </c>
      <c r="U107" t="s">
        <v>2303</v>
      </c>
      <c r="V107" t="s">
        <v>2304</v>
      </c>
      <c r="W107" t="s">
        <v>2305</v>
      </c>
      <c r="X107" t="s">
        <v>2306</v>
      </c>
      <c r="Y107" t="s">
        <v>2307</v>
      </c>
      <c r="Z107" t="s">
        <v>2308</v>
      </c>
      <c r="AA107" t="s">
        <v>2309</v>
      </c>
      <c r="AB107" t="s">
        <v>2310</v>
      </c>
      <c r="AC107" t="s">
        <v>2311</v>
      </c>
      <c r="AD107" t="s">
        <v>2312</v>
      </c>
      <c r="AE107" t="s">
        <v>2313</v>
      </c>
      <c r="AF107" t="s">
        <v>74</v>
      </c>
      <c r="AG107">
        <v>58</v>
      </c>
      <c r="AH107">
        <v>38</v>
      </c>
      <c r="AI107">
        <v>44</v>
      </c>
      <c r="AJ107">
        <v>1</v>
      </c>
      <c r="AK107">
        <v>47</v>
      </c>
      <c r="AL107" t="s">
        <v>1261</v>
      </c>
      <c r="AM107" t="s">
        <v>1262</v>
      </c>
      <c r="AN107" t="s">
        <v>1263</v>
      </c>
      <c r="AO107" t="s">
        <v>1287</v>
      </c>
      <c r="AP107" t="s">
        <v>74</v>
      </c>
      <c r="AQ107" t="s">
        <v>74</v>
      </c>
      <c r="AR107" t="s">
        <v>1275</v>
      </c>
      <c r="AS107" t="s">
        <v>1288</v>
      </c>
      <c r="AT107" t="s">
        <v>2314</v>
      </c>
      <c r="AU107">
        <v>2014</v>
      </c>
      <c r="AV107">
        <v>9</v>
      </c>
      <c r="AW107">
        <v>3</v>
      </c>
      <c r="AX107" t="s">
        <v>74</v>
      </c>
      <c r="AY107" t="s">
        <v>74</v>
      </c>
      <c r="AZ107" t="s">
        <v>74</v>
      </c>
      <c r="BA107" t="s">
        <v>74</v>
      </c>
      <c r="BB107" t="s">
        <v>74</v>
      </c>
      <c r="BC107" t="s">
        <v>74</v>
      </c>
      <c r="BD107" t="s">
        <v>2315</v>
      </c>
      <c r="BE107" t="s">
        <v>2316</v>
      </c>
      <c r="BF107" t="str">
        <f>HYPERLINK("http://dx.doi.org/10.1371/journal.pone.0088503","http://dx.doi.org/10.1371/journal.pone.0088503")</f>
        <v>http://dx.doi.org/10.1371/journal.pone.0088503</v>
      </c>
      <c r="BG107" t="s">
        <v>74</v>
      </c>
      <c r="BH107" t="s">
        <v>74</v>
      </c>
      <c r="BI107">
        <v>10</v>
      </c>
      <c r="BJ107" t="s">
        <v>1100</v>
      </c>
      <c r="BK107" t="s">
        <v>101</v>
      </c>
      <c r="BL107" t="s">
        <v>1101</v>
      </c>
      <c r="BM107" t="s">
        <v>2317</v>
      </c>
      <c r="BN107">
        <v>24603534</v>
      </c>
      <c r="BO107" t="s">
        <v>2318</v>
      </c>
      <c r="BP107" t="s">
        <v>74</v>
      </c>
      <c r="BQ107" t="s">
        <v>74</v>
      </c>
      <c r="BR107" t="s">
        <v>104</v>
      </c>
      <c r="BS107" t="s">
        <v>2319</v>
      </c>
      <c r="BT107" t="str">
        <f>HYPERLINK("https%3A%2F%2Fwww.webofscience.com%2Fwos%2Fwoscc%2Ffull-record%2FWOS:000332483600006","View Full Record in Web of Science")</f>
        <v>View Full Record in Web of Science</v>
      </c>
    </row>
    <row r="108" spans="1:72" x14ac:dyDescent="0.15">
      <c r="A108" t="s">
        <v>72</v>
      </c>
      <c r="B108" t="s">
        <v>2320</v>
      </c>
      <c r="C108" t="s">
        <v>74</v>
      </c>
      <c r="D108" t="s">
        <v>74</v>
      </c>
      <c r="E108" t="s">
        <v>74</v>
      </c>
      <c r="F108" t="s">
        <v>2321</v>
      </c>
      <c r="G108" t="s">
        <v>74</v>
      </c>
      <c r="H108" t="s">
        <v>74</v>
      </c>
      <c r="I108" t="s">
        <v>2322</v>
      </c>
      <c r="J108" t="s">
        <v>1275</v>
      </c>
      <c r="K108" t="s">
        <v>74</v>
      </c>
      <c r="L108" t="s">
        <v>74</v>
      </c>
      <c r="M108" t="s">
        <v>78</v>
      </c>
      <c r="N108" t="s">
        <v>79</v>
      </c>
      <c r="O108" t="s">
        <v>74</v>
      </c>
      <c r="P108" t="s">
        <v>74</v>
      </c>
      <c r="Q108" t="s">
        <v>74</v>
      </c>
      <c r="R108" t="s">
        <v>74</v>
      </c>
      <c r="S108" t="s">
        <v>74</v>
      </c>
      <c r="T108" t="s">
        <v>74</v>
      </c>
      <c r="U108" t="s">
        <v>2323</v>
      </c>
      <c r="V108" t="s">
        <v>2324</v>
      </c>
      <c r="W108" t="s">
        <v>2325</v>
      </c>
      <c r="X108" t="s">
        <v>2326</v>
      </c>
      <c r="Y108" t="s">
        <v>2327</v>
      </c>
      <c r="Z108" t="s">
        <v>2328</v>
      </c>
      <c r="AA108" t="s">
        <v>2329</v>
      </c>
      <c r="AB108" t="s">
        <v>2330</v>
      </c>
      <c r="AC108" t="s">
        <v>2331</v>
      </c>
      <c r="AD108" t="s">
        <v>2332</v>
      </c>
      <c r="AE108" t="s">
        <v>2333</v>
      </c>
      <c r="AF108" t="s">
        <v>74</v>
      </c>
      <c r="AG108">
        <v>52</v>
      </c>
      <c r="AH108">
        <v>22</v>
      </c>
      <c r="AI108">
        <v>22</v>
      </c>
      <c r="AJ108">
        <v>3</v>
      </c>
      <c r="AK108">
        <v>18</v>
      </c>
      <c r="AL108" t="s">
        <v>1261</v>
      </c>
      <c r="AM108" t="s">
        <v>1262</v>
      </c>
      <c r="AN108" t="s">
        <v>1263</v>
      </c>
      <c r="AO108" t="s">
        <v>1287</v>
      </c>
      <c r="AP108" t="s">
        <v>74</v>
      </c>
      <c r="AQ108" t="s">
        <v>74</v>
      </c>
      <c r="AR108" t="s">
        <v>1275</v>
      </c>
      <c r="AS108" t="s">
        <v>1288</v>
      </c>
      <c r="AT108" t="s">
        <v>2334</v>
      </c>
      <c r="AU108">
        <v>2014</v>
      </c>
      <c r="AV108">
        <v>9</v>
      </c>
      <c r="AW108">
        <v>3</v>
      </c>
      <c r="AX108" t="s">
        <v>74</v>
      </c>
      <c r="AY108" t="s">
        <v>74</v>
      </c>
      <c r="AZ108" t="s">
        <v>74</v>
      </c>
      <c r="BA108" t="s">
        <v>74</v>
      </c>
      <c r="BB108" t="s">
        <v>74</v>
      </c>
      <c r="BC108" t="s">
        <v>74</v>
      </c>
      <c r="BD108" t="s">
        <v>2335</v>
      </c>
      <c r="BE108" t="s">
        <v>2336</v>
      </c>
      <c r="BF108" t="str">
        <f>HYPERLINK("http://dx.doi.org/10.1371/journal.pone.0090512","http://dx.doi.org/10.1371/journal.pone.0090512")</f>
        <v>http://dx.doi.org/10.1371/journal.pone.0090512</v>
      </c>
      <c r="BG108" t="s">
        <v>74</v>
      </c>
      <c r="BH108" t="s">
        <v>74</v>
      </c>
      <c r="BI108">
        <v>10</v>
      </c>
      <c r="BJ108" t="s">
        <v>1100</v>
      </c>
      <c r="BK108" t="s">
        <v>101</v>
      </c>
      <c r="BL108" t="s">
        <v>1101</v>
      </c>
      <c r="BM108" t="s">
        <v>2337</v>
      </c>
      <c r="BN108">
        <v>24598889</v>
      </c>
      <c r="BO108" t="s">
        <v>2213</v>
      </c>
      <c r="BP108" t="s">
        <v>74</v>
      </c>
      <c r="BQ108" t="s">
        <v>74</v>
      </c>
      <c r="BR108" t="s">
        <v>104</v>
      </c>
      <c r="BS108" t="s">
        <v>2338</v>
      </c>
      <c r="BT108" t="str">
        <f>HYPERLINK("https%3A%2F%2Fwww.webofscience.com%2Fwos%2Fwoscc%2Ffull-record%2FWOS:000332479400086","View Full Record in Web of Science")</f>
        <v>View Full Record in Web of Science</v>
      </c>
    </row>
    <row r="109" spans="1:72" x14ac:dyDescent="0.15">
      <c r="A109" t="s">
        <v>72</v>
      </c>
      <c r="B109" t="s">
        <v>2339</v>
      </c>
      <c r="C109" t="s">
        <v>74</v>
      </c>
      <c r="D109" t="s">
        <v>74</v>
      </c>
      <c r="E109" t="s">
        <v>74</v>
      </c>
      <c r="F109" t="s">
        <v>2340</v>
      </c>
      <c r="G109" t="s">
        <v>74</v>
      </c>
      <c r="H109" t="s">
        <v>74</v>
      </c>
      <c r="I109" t="s">
        <v>2341</v>
      </c>
      <c r="J109" t="s">
        <v>1275</v>
      </c>
      <c r="K109" t="s">
        <v>74</v>
      </c>
      <c r="L109" t="s">
        <v>74</v>
      </c>
      <c r="M109" t="s">
        <v>78</v>
      </c>
      <c r="N109" t="s">
        <v>79</v>
      </c>
      <c r="O109" t="s">
        <v>74</v>
      </c>
      <c r="P109" t="s">
        <v>74</v>
      </c>
      <c r="Q109" t="s">
        <v>74</v>
      </c>
      <c r="R109" t="s">
        <v>74</v>
      </c>
      <c r="S109" t="s">
        <v>74</v>
      </c>
      <c r="T109" t="s">
        <v>74</v>
      </c>
      <c r="U109" t="s">
        <v>2342</v>
      </c>
      <c r="V109" t="s">
        <v>2343</v>
      </c>
      <c r="W109" t="s">
        <v>2344</v>
      </c>
      <c r="X109" t="s">
        <v>2345</v>
      </c>
      <c r="Y109" t="s">
        <v>2346</v>
      </c>
      <c r="Z109" t="s">
        <v>2347</v>
      </c>
      <c r="AA109" t="s">
        <v>74</v>
      </c>
      <c r="AB109" t="s">
        <v>2348</v>
      </c>
      <c r="AC109" t="s">
        <v>2349</v>
      </c>
      <c r="AD109" t="s">
        <v>2350</v>
      </c>
      <c r="AE109" t="s">
        <v>2351</v>
      </c>
      <c r="AF109" t="s">
        <v>74</v>
      </c>
      <c r="AG109">
        <v>73</v>
      </c>
      <c r="AH109">
        <v>25</v>
      </c>
      <c r="AI109">
        <v>27</v>
      </c>
      <c r="AJ109">
        <v>1</v>
      </c>
      <c r="AK109">
        <v>53</v>
      </c>
      <c r="AL109" t="s">
        <v>1261</v>
      </c>
      <c r="AM109" t="s">
        <v>1262</v>
      </c>
      <c r="AN109" t="s">
        <v>1263</v>
      </c>
      <c r="AO109" t="s">
        <v>1287</v>
      </c>
      <c r="AP109" t="s">
        <v>74</v>
      </c>
      <c r="AQ109" t="s">
        <v>74</v>
      </c>
      <c r="AR109" t="s">
        <v>1275</v>
      </c>
      <c r="AS109" t="s">
        <v>1288</v>
      </c>
      <c r="AT109" t="s">
        <v>2334</v>
      </c>
      <c r="AU109">
        <v>2014</v>
      </c>
      <c r="AV109">
        <v>9</v>
      </c>
      <c r="AW109">
        <v>3</v>
      </c>
      <c r="AX109" t="s">
        <v>74</v>
      </c>
      <c r="AY109" t="s">
        <v>74</v>
      </c>
      <c r="AZ109" t="s">
        <v>74</v>
      </c>
      <c r="BA109" t="s">
        <v>74</v>
      </c>
      <c r="BB109" t="s">
        <v>74</v>
      </c>
      <c r="BC109" t="s">
        <v>74</v>
      </c>
      <c r="BD109" t="s">
        <v>2352</v>
      </c>
      <c r="BE109" t="s">
        <v>2353</v>
      </c>
      <c r="BF109" t="str">
        <f>HYPERLINK("http://dx.doi.org/10.1371/journal.pone.0090081","http://dx.doi.org/10.1371/journal.pone.0090081")</f>
        <v>http://dx.doi.org/10.1371/journal.pone.0090081</v>
      </c>
      <c r="BG109" t="s">
        <v>74</v>
      </c>
      <c r="BH109" t="s">
        <v>74</v>
      </c>
      <c r="BI109">
        <v>14</v>
      </c>
      <c r="BJ109" t="s">
        <v>1100</v>
      </c>
      <c r="BK109" t="s">
        <v>101</v>
      </c>
      <c r="BL109" t="s">
        <v>1101</v>
      </c>
      <c r="BM109" t="s">
        <v>2337</v>
      </c>
      <c r="BN109">
        <v>24599330</v>
      </c>
      <c r="BO109" t="s">
        <v>1933</v>
      </c>
      <c r="BP109" t="s">
        <v>74</v>
      </c>
      <c r="BQ109" t="s">
        <v>74</v>
      </c>
      <c r="BR109" t="s">
        <v>104</v>
      </c>
      <c r="BS109" t="s">
        <v>2354</v>
      </c>
      <c r="BT109" t="str">
        <f>HYPERLINK("https%3A%2F%2Fwww.webofscience.com%2Fwos%2Fwoscc%2Ffull-record%2FWOS:000332479400042","View Full Record in Web of Science")</f>
        <v>View Full Record in Web of Science</v>
      </c>
    </row>
    <row r="110" spans="1:72" x14ac:dyDescent="0.15">
      <c r="A110" t="s">
        <v>72</v>
      </c>
      <c r="B110" t="s">
        <v>2355</v>
      </c>
      <c r="C110" t="s">
        <v>74</v>
      </c>
      <c r="D110" t="s">
        <v>74</v>
      </c>
      <c r="E110" t="s">
        <v>74</v>
      </c>
      <c r="F110" t="s">
        <v>2356</v>
      </c>
      <c r="G110" t="s">
        <v>74</v>
      </c>
      <c r="H110" t="s">
        <v>74</v>
      </c>
      <c r="I110" t="s">
        <v>2357</v>
      </c>
      <c r="J110" t="s">
        <v>2358</v>
      </c>
      <c r="K110" t="s">
        <v>74</v>
      </c>
      <c r="L110" t="s">
        <v>74</v>
      </c>
      <c r="M110" t="s">
        <v>78</v>
      </c>
      <c r="N110" t="s">
        <v>79</v>
      </c>
      <c r="O110" t="s">
        <v>74</v>
      </c>
      <c r="P110" t="s">
        <v>74</v>
      </c>
      <c r="Q110" t="s">
        <v>74</v>
      </c>
      <c r="R110" t="s">
        <v>74</v>
      </c>
      <c r="S110" t="s">
        <v>74</v>
      </c>
      <c r="T110" t="s">
        <v>74</v>
      </c>
      <c r="U110" t="s">
        <v>2359</v>
      </c>
      <c r="V110" t="s">
        <v>2360</v>
      </c>
      <c r="W110" t="s">
        <v>2361</v>
      </c>
      <c r="X110" t="s">
        <v>2362</v>
      </c>
      <c r="Y110" t="s">
        <v>2363</v>
      </c>
      <c r="Z110" t="s">
        <v>2364</v>
      </c>
      <c r="AA110" t="s">
        <v>2365</v>
      </c>
      <c r="AB110" t="s">
        <v>74</v>
      </c>
      <c r="AC110" t="s">
        <v>2366</v>
      </c>
      <c r="AD110" t="s">
        <v>2367</v>
      </c>
      <c r="AE110" t="s">
        <v>2368</v>
      </c>
      <c r="AF110" t="s">
        <v>74</v>
      </c>
      <c r="AG110">
        <v>26</v>
      </c>
      <c r="AH110">
        <v>39</v>
      </c>
      <c r="AI110">
        <v>40</v>
      </c>
      <c r="AJ110">
        <v>0</v>
      </c>
      <c r="AK110">
        <v>7</v>
      </c>
      <c r="AL110" t="s">
        <v>2369</v>
      </c>
      <c r="AM110" t="s">
        <v>2370</v>
      </c>
      <c r="AN110" t="s">
        <v>2371</v>
      </c>
      <c r="AO110" t="s">
        <v>2372</v>
      </c>
      <c r="AP110" t="s">
        <v>2373</v>
      </c>
      <c r="AQ110" t="s">
        <v>74</v>
      </c>
      <c r="AR110" t="s">
        <v>2374</v>
      </c>
      <c r="AS110" t="s">
        <v>2375</v>
      </c>
      <c r="AT110" t="s">
        <v>2376</v>
      </c>
      <c r="AU110">
        <v>2014</v>
      </c>
      <c r="AV110">
        <v>72</v>
      </c>
      <c r="AW110">
        <v>2</v>
      </c>
      <c r="AX110" t="s">
        <v>74</v>
      </c>
      <c r="AY110" t="s">
        <v>74</v>
      </c>
      <c r="AZ110" t="s">
        <v>74</v>
      </c>
      <c r="BA110" t="s">
        <v>74</v>
      </c>
      <c r="BB110">
        <v>105</v>
      </c>
      <c r="BC110">
        <v>126</v>
      </c>
      <c r="BD110" t="s">
        <v>74</v>
      </c>
      <c r="BE110" t="s">
        <v>2377</v>
      </c>
      <c r="BF110" t="str">
        <f>HYPERLINK("http://dx.doi.org/10.1357/002224014813758959","http://dx.doi.org/10.1357/002224014813758959")</f>
        <v>http://dx.doi.org/10.1357/002224014813758959</v>
      </c>
      <c r="BG110" t="s">
        <v>74</v>
      </c>
      <c r="BH110" t="s">
        <v>74</v>
      </c>
      <c r="BI110">
        <v>22</v>
      </c>
      <c r="BJ110" t="s">
        <v>785</v>
      </c>
      <c r="BK110" t="s">
        <v>101</v>
      </c>
      <c r="BL110" t="s">
        <v>785</v>
      </c>
      <c r="BM110" t="s">
        <v>2378</v>
      </c>
      <c r="BN110" t="s">
        <v>74</v>
      </c>
      <c r="BO110" t="s">
        <v>270</v>
      </c>
      <c r="BP110" t="s">
        <v>74</v>
      </c>
      <c r="BQ110" t="s">
        <v>74</v>
      </c>
      <c r="BR110" t="s">
        <v>104</v>
      </c>
      <c r="BS110" t="s">
        <v>2379</v>
      </c>
      <c r="BT110" t="str">
        <f>HYPERLINK("https%3A%2F%2Fwww.webofscience.com%2Fwos%2Fwoscc%2Ffull-record%2FWOS:000347185800004","View Full Record in Web of Science")</f>
        <v>View Full Record in Web of Science</v>
      </c>
    </row>
    <row r="111" spans="1:72" x14ac:dyDescent="0.15">
      <c r="A111" t="s">
        <v>72</v>
      </c>
      <c r="B111" t="s">
        <v>2380</v>
      </c>
      <c r="C111" t="s">
        <v>74</v>
      </c>
      <c r="D111" t="s">
        <v>74</v>
      </c>
      <c r="E111" t="s">
        <v>74</v>
      </c>
      <c r="F111" t="s">
        <v>2381</v>
      </c>
      <c r="G111" t="s">
        <v>74</v>
      </c>
      <c r="H111" t="s">
        <v>74</v>
      </c>
      <c r="I111" t="s">
        <v>2382</v>
      </c>
      <c r="J111" t="s">
        <v>2383</v>
      </c>
      <c r="K111" t="s">
        <v>74</v>
      </c>
      <c r="L111" t="s">
        <v>74</v>
      </c>
      <c r="M111" t="s">
        <v>78</v>
      </c>
      <c r="N111" t="s">
        <v>79</v>
      </c>
      <c r="O111" t="s">
        <v>74</v>
      </c>
      <c r="P111" t="s">
        <v>74</v>
      </c>
      <c r="Q111" t="s">
        <v>74</v>
      </c>
      <c r="R111" t="s">
        <v>74</v>
      </c>
      <c r="S111" t="s">
        <v>74</v>
      </c>
      <c r="T111" t="s">
        <v>74</v>
      </c>
      <c r="U111" t="s">
        <v>2384</v>
      </c>
      <c r="V111" t="s">
        <v>2385</v>
      </c>
      <c r="W111" t="s">
        <v>2386</v>
      </c>
      <c r="X111" t="s">
        <v>2387</v>
      </c>
      <c r="Y111" t="s">
        <v>2388</v>
      </c>
      <c r="Z111" t="s">
        <v>2389</v>
      </c>
      <c r="AA111" t="s">
        <v>2390</v>
      </c>
      <c r="AB111" t="s">
        <v>2391</v>
      </c>
      <c r="AC111" t="s">
        <v>2392</v>
      </c>
      <c r="AD111" t="s">
        <v>2393</v>
      </c>
      <c r="AE111" t="s">
        <v>2394</v>
      </c>
      <c r="AF111" t="s">
        <v>74</v>
      </c>
      <c r="AG111">
        <v>66</v>
      </c>
      <c r="AH111">
        <v>79</v>
      </c>
      <c r="AI111">
        <v>84</v>
      </c>
      <c r="AJ111">
        <v>2</v>
      </c>
      <c r="AK111">
        <v>76</v>
      </c>
      <c r="AL111" t="s">
        <v>403</v>
      </c>
      <c r="AM111" t="s">
        <v>404</v>
      </c>
      <c r="AN111" t="s">
        <v>405</v>
      </c>
      <c r="AO111" t="s">
        <v>2395</v>
      </c>
      <c r="AP111" t="s">
        <v>2396</v>
      </c>
      <c r="AQ111" t="s">
        <v>74</v>
      </c>
      <c r="AR111" t="s">
        <v>2397</v>
      </c>
      <c r="AS111" t="s">
        <v>2398</v>
      </c>
      <c r="AT111" t="s">
        <v>2376</v>
      </c>
      <c r="AU111">
        <v>2014</v>
      </c>
      <c r="AV111">
        <v>59</v>
      </c>
      <c r="AW111">
        <v>2</v>
      </c>
      <c r="AX111" t="s">
        <v>74</v>
      </c>
      <c r="AY111" t="s">
        <v>74</v>
      </c>
      <c r="AZ111" t="s">
        <v>74</v>
      </c>
      <c r="BA111" t="s">
        <v>74</v>
      </c>
      <c r="BB111">
        <v>385</v>
      </c>
      <c r="BC111">
        <v>399</v>
      </c>
      <c r="BD111" t="s">
        <v>74</v>
      </c>
      <c r="BE111" t="s">
        <v>2399</v>
      </c>
      <c r="BF111" t="str">
        <f>HYPERLINK("http://dx.doi.org/10.4319/lo.2014.59.2.0385","http://dx.doi.org/10.4319/lo.2014.59.2.0385")</f>
        <v>http://dx.doi.org/10.4319/lo.2014.59.2.0385</v>
      </c>
      <c r="BG111" t="s">
        <v>74</v>
      </c>
      <c r="BH111" t="s">
        <v>74</v>
      </c>
      <c r="BI111">
        <v>15</v>
      </c>
      <c r="BJ111" t="s">
        <v>2400</v>
      </c>
      <c r="BK111" t="s">
        <v>101</v>
      </c>
      <c r="BL111" t="s">
        <v>909</v>
      </c>
      <c r="BM111" t="s">
        <v>2401</v>
      </c>
      <c r="BN111" t="s">
        <v>74</v>
      </c>
      <c r="BO111" t="s">
        <v>2402</v>
      </c>
      <c r="BP111" t="s">
        <v>74</v>
      </c>
      <c r="BQ111" t="s">
        <v>74</v>
      </c>
      <c r="BR111" t="s">
        <v>104</v>
      </c>
      <c r="BS111" t="s">
        <v>2403</v>
      </c>
      <c r="BT111" t="str">
        <f>HYPERLINK("https%3A%2F%2Fwww.webofscience.com%2Fwos%2Fwoscc%2Ffull-record%2FWOS:000339902800008","View Full Record in Web of Science")</f>
        <v>View Full Record in Web of Science</v>
      </c>
    </row>
    <row r="112" spans="1:72" x14ac:dyDescent="0.15">
      <c r="A112" t="s">
        <v>72</v>
      </c>
      <c r="B112" t="s">
        <v>2404</v>
      </c>
      <c r="C112" t="s">
        <v>74</v>
      </c>
      <c r="D112" t="s">
        <v>74</v>
      </c>
      <c r="E112" t="s">
        <v>74</v>
      </c>
      <c r="F112" t="s">
        <v>2405</v>
      </c>
      <c r="G112" t="s">
        <v>74</v>
      </c>
      <c r="H112" t="s">
        <v>74</v>
      </c>
      <c r="I112" t="s">
        <v>2406</v>
      </c>
      <c r="J112" t="s">
        <v>2407</v>
      </c>
      <c r="K112" t="s">
        <v>74</v>
      </c>
      <c r="L112" t="s">
        <v>74</v>
      </c>
      <c r="M112" t="s">
        <v>78</v>
      </c>
      <c r="N112" t="s">
        <v>79</v>
      </c>
      <c r="O112" t="s">
        <v>74</v>
      </c>
      <c r="P112" t="s">
        <v>74</v>
      </c>
      <c r="Q112" t="s">
        <v>74</v>
      </c>
      <c r="R112" t="s">
        <v>74</v>
      </c>
      <c r="S112" t="s">
        <v>74</v>
      </c>
      <c r="T112" t="s">
        <v>74</v>
      </c>
      <c r="U112" t="s">
        <v>2408</v>
      </c>
      <c r="V112" t="s">
        <v>2409</v>
      </c>
      <c r="W112" t="s">
        <v>2410</v>
      </c>
      <c r="X112" t="s">
        <v>2411</v>
      </c>
      <c r="Y112" t="s">
        <v>2412</v>
      </c>
      <c r="Z112" t="s">
        <v>2413</v>
      </c>
      <c r="AA112" t="s">
        <v>2414</v>
      </c>
      <c r="AB112" t="s">
        <v>2415</v>
      </c>
      <c r="AC112" t="s">
        <v>74</v>
      </c>
      <c r="AD112" t="s">
        <v>74</v>
      </c>
      <c r="AE112" t="s">
        <v>74</v>
      </c>
      <c r="AF112" t="s">
        <v>74</v>
      </c>
      <c r="AG112">
        <v>31</v>
      </c>
      <c r="AH112">
        <v>30</v>
      </c>
      <c r="AI112">
        <v>33</v>
      </c>
      <c r="AJ112">
        <v>1</v>
      </c>
      <c r="AK112">
        <v>32</v>
      </c>
      <c r="AL112" t="s">
        <v>2416</v>
      </c>
      <c r="AM112" t="s">
        <v>2417</v>
      </c>
      <c r="AN112" t="s">
        <v>2418</v>
      </c>
      <c r="AO112" t="s">
        <v>2419</v>
      </c>
      <c r="AP112" t="s">
        <v>2420</v>
      </c>
      <c r="AQ112" t="s">
        <v>74</v>
      </c>
      <c r="AR112" t="s">
        <v>2421</v>
      </c>
      <c r="AS112" t="s">
        <v>2422</v>
      </c>
      <c r="AT112" t="s">
        <v>2376</v>
      </c>
      <c r="AU112">
        <v>2014</v>
      </c>
      <c r="AV112">
        <v>135</v>
      </c>
      <c r="AW112">
        <v>3</v>
      </c>
      <c r="AX112" t="s">
        <v>74</v>
      </c>
      <c r="AY112" t="s">
        <v>74</v>
      </c>
      <c r="AZ112" t="s">
        <v>74</v>
      </c>
      <c r="BA112" t="s">
        <v>74</v>
      </c>
      <c r="BB112">
        <v>1616</v>
      </c>
      <c r="BC112">
        <v>1623</v>
      </c>
      <c r="BD112" t="s">
        <v>74</v>
      </c>
      <c r="BE112" t="s">
        <v>2423</v>
      </c>
      <c r="BF112" t="str">
        <f>HYPERLINK("http://dx.doi.org/10.1121/1.4863647","http://dx.doi.org/10.1121/1.4863647")</f>
        <v>http://dx.doi.org/10.1121/1.4863647</v>
      </c>
      <c r="BG112" t="s">
        <v>74</v>
      </c>
      <c r="BH112" t="s">
        <v>74</v>
      </c>
      <c r="BI112">
        <v>8</v>
      </c>
      <c r="BJ112" t="s">
        <v>2424</v>
      </c>
      <c r="BK112" t="s">
        <v>101</v>
      </c>
      <c r="BL112" t="s">
        <v>2424</v>
      </c>
      <c r="BM112" t="s">
        <v>2425</v>
      </c>
      <c r="BN112">
        <v>24606296</v>
      </c>
      <c r="BO112" t="s">
        <v>74</v>
      </c>
      <c r="BP112" t="s">
        <v>74</v>
      </c>
      <c r="BQ112" t="s">
        <v>74</v>
      </c>
      <c r="BR112" t="s">
        <v>104</v>
      </c>
      <c r="BS112" t="s">
        <v>2426</v>
      </c>
      <c r="BT112" t="str">
        <f>HYPERLINK("https%3A%2F%2Fwww.webofscience.com%2Fwos%2Fwoscc%2Ffull-record%2FWOS:000337897400063","View Full Record in Web of Science")</f>
        <v>View Full Record in Web of Science</v>
      </c>
    </row>
    <row r="113" spans="1:72" x14ac:dyDescent="0.15">
      <c r="A113" t="s">
        <v>72</v>
      </c>
      <c r="B113" t="s">
        <v>2427</v>
      </c>
      <c r="C113" t="s">
        <v>74</v>
      </c>
      <c r="D113" t="s">
        <v>74</v>
      </c>
      <c r="E113" t="s">
        <v>74</v>
      </c>
      <c r="F113" t="s">
        <v>2428</v>
      </c>
      <c r="G113" t="s">
        <v>74</v>
      </c>
      <c r="H113" t="s">
        <v>74</v>
      </c>
      <c r="I113" t="s">
        <v>2429</v>
      </c>
      <c r="J113" t="s">
        <v>2430</v>
      </c>
      <c r="K113" t="s">
        <v>74</v>
      </c>
      <c r="L113" t="s">
        <v>74</v>
      </c>
      <c r="M113" t="s">
        <v>78</v>
      </c>
      <c r="N113" t="s">
        <v>79</v>
      </c>
      <c r="O113" t="s">
        <v>74</v>
      </c>
      <c r="P113" t="s">
        <v>74</v>
      </c>
      <c r="Q113" t="s">
        <v>74</v>
      </c>
      <c r="R113" t="s">
        <v>74</v>
      </c>
      <c r="S113" t="s">
        <v>74</v>
      </c>
      <c r="T113" t="s">
        <v>2431</v>
      </c>
      <c r="U113" t="s">
        <v>2432</v>
      </c>
      <c r="V113" t="s">
        <v>2433</v>
      </c>
      <c r="W113" t="s">
        <v>2434</v>
      </c>
      <c r="X113" t="s">
        <v>2435</v>
      </c>
      <c r="Y113" t="s">
        <v>2436</v>
      </c>
      <c r="Z113" t="s">
        <v>2437</v>
      </c>
      <c r="AA113" t="s">
        <v>2438</v>
      </c>
      <c r="AB113" t="s">
        <v>2439</v>
      </c>
      <c r="AC113" t="s">
        <v>2440</v>
      </c>
      <c r="AD113" t="s">
        <v>2441</v>
      </c>
      <c r="AE113" t="s">
        <v>2442</v>
      </c>
      <c r="AF113" t="s">
        <v>74</v>
      </c>
      <c r="AG113">
        <v>38</v>
      </c>
      <c r="AH113">
        <v>12</v>
      </c>
      <c r="AI113">
        <v>12</v>
      </c>
      <c r="AJ113">
        <v>1</v>
      </c>
      <c r="AK113">
        <v>27</v>
      </c>
      <c r="AL113" t="s">
        <v>1048</v>
      </c>
      <c r="AM113" t="s">
        <v>522</v>
      </c>
      <c r="AN113" t="s">
        <v>1049</v>
      </c>
      <c r="AO113" t="s">
        <v>2443</v>
      </c>
      <c r="AP113" t="s">
        <v>2444</v>
      </c>
      <c r="AQ113" t="s">
        <v>74</v>
      </c>
      <c r="AR113" t="s">
        <v>2445</v>
      </c>
      <c r="AS113" t="s">
        <v>2446</v>
      </c>
      <c r="AT113" t="s">
        <v>2447</v>
      </c>
      <c r="AU113">
        <v>2014</v>
      </c>
      <c r="AV113">
        <v>36</v>
      </c>
      <c r="AW113">
        <v>2</v>
      </c>
      <c r="AX113" t="s">
        <v>74</v>
      </c>
      <c r="AY113" t="s">
        <v>74</v>
      </c>
      <c r="AZ113" t="s">
        <v>74</v>
      </c>
      <c r="BA113" t="s">
        <v>74</v>
      </c>
      <c r="BB113">
        <v>503</v>
      </c>
      <c r="BC113">
        <v>512</v>
      </c>
      <c r="BD113" t="s">
        <v>74</v>
      </c>
      <c r="BE113" t="s">
        <v>2448</v>
      </c>
      <c r="BF113" t="str">
        <f>HYPERLINK("http://dx.doi.org/10.1093/plankt/fbt112","http://dx.doi.org/10.1093/plankt/fbt112")</f>
        <v>http://dx.doi.org/10.1093/plankt/fbt112</v>
      </c>
      <c r="BG113" t="s">
        <v>74</v>
      </c>
      <c r="BH113" t="s">
        <v>74</v>
      </c>
      <c r="BI113">
        <v>10</v>
      </c>
      <c r="BJ113" t="s">
        <v>909</v>
      </c>
      <c r="BK113" t="s">
        <v>101</v>
      </c>
      <c r="BL113" t="s">
        <v>909</v>
      </c>
      <c r="BM113" t="s">
        <v>2449</v>
      </c>
      <c r="BN113">
        <v>24616550</v>
      </c>
      <c r="BO113" t="s">
        <v>1030</v>
      </c>
      <c r="BP113" t="s">
        <v>74</v>
      </c>
      <c r="BQ113" t="s">
        <v>74</v>
      </c>
      <c r="BR113" t="s">
        <v>104</v>
      </c>
      <c r="BS113" t="s">
        <v>2450</v>
      </c>
      <c r="BT113" t="str">
        <f>HYPERLINK("https%3A%2F%2Fwww.webofscience.com%2Fwos%2Fwoscc%2Ffull-record%2FWOS:000336489800017","View Full Record in Web of Science")</f>
        <v>View Full Record in Web of Science</v>
      </c>
    </row>
    <row r="114" spans="1:72" x14ac:dyDescent="0.15">
      <c r="A114" t="s">
        <v>72</v>
      </c>
      <c r="B114" t="s">
        <v>2451</v>
      </c>
      <c r="C114" t="s">
        <v>74</v>
      </c>
      <c r="D114" t="s">
        <v>74</v>
      </c>
      <c r="E114" t="s">
        <v>74</v>
      </c>
      <c r="F114" t="s">
        <v>2452</v>
      </c>
      <c r="G114" t="s">
        <v>74</v>
      </c>
      <c r="H114" t="s">
        <v>74</v>
      </c>
      <c r="I114" t="s">
        <v>2453</v>
      </c>
      <c r="J114" t="s">
        <v>2454</v>
      </c>
      <c r="K114" t="s">
        <v>74</v>
      </c>
      <c r="L114" t="s">
        <v>74</v>
      </c>
      <c r="M114" t="s">
        <v>78</v>
      </c>
      <c r="N114" t="s">
        <v>79</v>
      </c>
      <c r="O114" t="s">
        <v>74</v>
      </c>
      <c r="P114" t="s">
        <v>74</v>
      </c>
      <c r="Q114" t="s">
        <v>74</v>
      </c>
      <c r="R114" t="s">
        <v>74</v>
      </c>
      <c r="S114" t="s">
        <v>74</v>
      </c>
      <c r="T114" t="s">
        <v>2455</v>
      </c>
      <c r="U114" t="s">
        <v>2456</v>
      </c>
      <c r="V114" t="s">
        <v>2457</v>
      </c>
      <c r="W114" t="s">
        <v>2458</v>
      </c>
      <c r="X114" t="s">
        <v>2459</v>
      </c>
      <c r="Y114" t="s">
        <v>2460</v>
      </c>
      <c r="Z114" t="s">
        <v>2461</v>
      </c>
      <c r="AA114" t="s">
        <v>2462</v>
      </c>
      <c r="AB114" t="s">
        <v>2463</v>
      </c>
      <c r="AC114" t="s">
        <v>2464</v>
      </c>
      <c r="AD114" t="s">
        <v>2465</v>
      </c>
      <c r="AE114" t="s">
        <v>2466</v>
      </c>
      <c r="AF114" t="s">
        <v>74</v>
      </c>
      <c r="AG114">
        <v>42</v>
      </c>
      <c r="AH114">
        <v>6</v>
      </c>
      <c r="AI114">
        <v>6</v>
      </c>
      <c r="AJ114">
        <v>0</v>
      </c>
      <c r="AK114">
        <v>4</v>
      </c>
      <c r="AL114" t="s">
        <v>2454</v>
      </c>
      <c r="AM114" t="s">
        <v>2467</v>
      </c>
      <c r="AN114" t="s">
        <v>2468</v>
      </c>
      <c r="AO114" t="s">
        <v>2469</v>
      </c>
      <c r="AP114" t="s">
        <v>2470</v>
      </c>
      <c r="AQ114" t="s">
        <v>74</v>
      </c>
      <c r="AR114" t="s">
        <v>2471</v>
      </c>
      <c r="AS114" t="s">
        <v>2472</v>
      </c>
      <c r="AT114" t="s">
        <v>2376</v>
      </c>
      <c r="AU114">
        <v>2014</v>
      </c>
      <c r="AV114">
        <v>62</v>
      </c>
      <c r="AW114">
        <v>1</v>
      </c>
      <c r="AX114" t="s">
        <v>74</v>
      </c>
      <c r="AY114" t="s">
        <v>74</v>
      </c>
      <c r="AZ114" t="s">
        <v>74</v>
      </c>
      <c r="BA114" t="s">
        <v>74</v>
      </c>
      <c r="BB114">
        <v>15</v>
      </c>
      <c r="BC114">
        <v>32</v>
      </c>
      <c r="BD114" t="s">
        <v>74</v>
      </c>
      <c r="BE114" t="s">
        <v>2473</v>
      </c>
      <c r="BF114" t="str">
        <f>HYPERLINK("http://dx.doi.org/10.15517/rbt.v62i1.11796","http://dx.doi.org/10.15517/rbt.v62i1.11796")</f>
        <v>http://dx.doi.org/10.15517/rbt.v62i1.11796</v>
      </c>
      <c r="BG114" t="s">
        <v>74</v>
      </c>
      <c r="BH114" t="s">
        <v>74</v>
      </c>
      <c r="BI114">
        <v>18</v>
      </c>
      <c r="BJ114" t="s">
        <v>2474</v>
      </c>
      <c r="BK114" t="s">
        <v>101</v>
      </c>
      <c r="BL114" t="s">
        <v>2475</v>
      </c>
      <c r="BM114" t="s">
        <v>2476</v>
      </c>
      <c r="BN114">
        <v>24912340</v>
      </c>
      <c r="BO114" t="s">
        <v>1472</v>
      </c>
      <c r="BP114" t="s">
        <v>74</v>
      </c>
      <c r="BQ114" t="s">
        <v>74</v>
      </c>
      <c r="BR114" t="s">
        <v>104</v>
      </c>
      <c r="BS114" t="s">
        <v>2477</v>
      </c>
      <c r="BT114" t="str">
        <f>HYPERLINK("https%3A%2F%2Fwww.webofscience.com%2Fwos%2Fwoscc%2Ffull-record%2FWOS:000336414800003","View Full Record in Web of Science")</f>
        <v>View Full Record in Web of Science</v>
      </c>
    </row>
    <row r="115" spans="1:72" x14ac:dyDescent="0.15">
      <c r="A115" t="s">
        <v>72</v>
      </c>
      <c r="B115" t="s">
        <v>2478</v>
      </c>
      <c r="C115" t="s">
        <v>74</v>
      </c>
      <c r="D115" t="s">
        <v>74</v>
      </c>
      <c r="E115" t="s">
        <v>74</v>
      </c>
      <c r="F115" t="s">
        <v>2479</v>
      </c>
      <c r="G115" t="s">
        <v>74</v>
      </c>
      <c r="H115" t="s">
        <v>74</v>
      </c>
      <c r="I115" t="s">
        <v>2480</v>
      </c>
      <c r="J115" t="s">
        <v>2481</v>
      </c>
      <c r="K115" t="s">
        <v>74</v>
      </c>
      <c r="L115" t="s">
        <v>74</v>
      </c>
      <c r="M115" t="s">
        <v>78</v>
      </c>
      <c r="N115" t="s">
        <v>79</v>
      </c>
      <c r="O115" t="s">
        <v>74</v>
      </c>
      <c r="P115" t="s">
        <v>74</v>
      </c>
      <c r="Q115" t="s">
        <v>74</v>
      </c>
      <c r="R115" t="s">
        <v>74</v>
      </c>
      <c r="S115" t="s">
        <v>74</v>
      </c>
      <c r="T115" t="s">
        <v>2482</v>
      </c>
      <c r="U115" t="s">
        <v>2483</v>
      </c>
      <c r="V115" t="s">
        <v>2484</v>
      </c>
      <c r="W115" t="s">
        <v>2485</v>
      </c>
      <c r="X115" t="s">
        <v>2486</v>
      </c>
      <c r="Y115" t="s">
        <v>2487</v>
      </c>
      <c r="Z115" t="s">
        <v>2488</v>
      </c>
      <c r="AA115" t="s">
        <v>74</v>
      </c>
      <c r="AB115" t="s">
        <v>2489</v>
      </c>
      <c r="AC115" t="s">
        <v>2490</v>
      </c>
      <c r="AD115" t="s">
        <v>2491</v>
      </c>
      <c r="AE115" t="s">
        <v>2492</v>
      </c>
      <c r="AF115" t="s">
        <v>74</v>
      </c>
      <c r="AG115">
        <v>36</v>
      </c>
      <c r="AH115">
        <v>19</v>
      </c>
      <c r="AI115">
        <v>22</v>
      </c>
      <c r="AJ115">
        <v>1</v>
      </c>
      <c r="AK115">
        <v>6</v>
      </c>
      <c r="AL115" t="s">
        <v>876</v>
      </c>
      <c r="AM115" t="s">
        <v>877</v>
      </c>
      <c r="AN115" t="s">
        <v>878</v>
      </c>
      <c r="AO115" t="s">
        <v>2493</v>
      </c>
      <c r="AP115" t="s">
        <v>2494</v>
      </c>
      <c r="AQ115" t="s">
        <v>74</v>
      </c>
      <c r="AR115" t="s">
        <v>2495</v>
      </c>
      <c r="AS115" t="s">
        <v>2496</v>
      </c>
      <c r="AT115" t="s">
        <v>2376</v>
      </c>
      <c r="AU115">
        <v>2014</v>
      </c>
      <c r="AV115">
        <v>31</v>
      </c>
      <c r="AW115">
        <v>3</v>
      </c>
      <c r="AX115" t="s">
        <v>74</v>
      </c>
      <c r="AY115" t="s">
        <v>74</v>
      </c>
      <c r="AZ115" t="s">
        <v>74</v>
      </c>
      <c r="BA115" t="s">
        <v>74</v>
      </c>
      <c r="BB115">
        <v>656</v>
      </c>
      <c r="BC115">
        <v>680</v>
      </c>
      <c r="BD115" t="s">
        <v>74</v>
      </c>
      <c r="BE115" t="s">
        <v>2497</v>
      </c>
      <c r="BF115" t="str">
        <f>HYPERLINK("http://dx.doi.org/10.1175/JTECH-D-13-00142.1","http://dx.doi.org/10.1175/JTECH-D-13-00142.1")</f>
        <v>http://dx.doi.org/10.1175/JTECH-D-13-00142.1</v>
      </c>
      <c r="BG115" t="s">
        <v>74</v>
      </c>
      <c r="BH115" t="s">
        <v>74</v>
      </c>
      <c r="BI115">
        <v>25</v>
      </c>
      <c r="BJ115" t="s">
        <v>2498</v>
      </c>
      <c r="BK115" t="s">
        <v>101</v>
      </c>
      <c r="BL115" t="s">
        <v>2499</v>
      </c>
      <c r="BM115" t="s">
        <v>2500</v>
      </c>
      <c r="BN115" t="s">
        <v>74</v>
      </c>
      <c r="BO115" t="s">
        <v>2501</v>
      </c>
      <c r="BP115" t="s">
        <v>74</v>
      </c>
      <c r="BQ115" t="s">
        <v>74</v>
      </c>
      <c r="BR115" t="s">
        <v>104</v>
      </c>
      <c r="BS115" t="s">
        <v>2502</v>
      </c>
      <c r="BT115" t="str">
        <f>HYPERLINK("https%3A%2F%2Fwww.webofscience.com%2Fwos%2Fwoscc%2Ffull-record%2FWOS:000336222800008","View Full Record in Web of Science")</f>
        <v>View Full Record in Web of Science</v>
      </c>
    </row>
    <row r="116" spans="1:72" x14ac:dyDescent="0.15">
      <c r="A116" t="s">
        <v>72</v>
      </c>
      <c r="B116" t="s">
        <v>2503</v>
      </c>
      <c r="C116" t="s">
        <v>74</v>
      </c>
      <c r="D116" t="s">
        <v>74</v>
      </c>
      <c r="E116" t="s">
        <v>74</v>
      </c>
      <c r="F116" t="s">
        <v>2504</v>
      </c>
      <c r="G116" t="s">
        <v>74</v>
      </c>
      <c r="H116" t="s">
        <v>74</v>
      </c>
      <c r="I116" t="s">
        <v>2505</v>
      </c>
      <c r="J116" t="s">
        <v>2506</v>
      </c>
      <c r="K116" t="s">
        <v>74</v>
      </c>
      <c r="L116" t="s">
        <v>74</v>
      </c>
      <c r="M116" t="s">
        <v>78</v>
      </c>
      <c r="N116" t="s">
        <v>79</v>
      </c>
      <c r="O116" t="s">
        <v>74</v>
      </c>
      <c r="P116" t="s">
        <v>74</v>
      </c>
      <c r="Q116" t="s">
        <v>74</v>
      </c>
      <c r="R116" t="s">
        <v>74</v>
      </c>
      <c r="S116" t="s">
        <v>74</v>
      </c>
      <c r="T116" t="s">
        <v>2507</v>
      </c>
      <c r="U116" t="s">
        <v>2508</v>
      </c>
      <c r="V116" t="s">
        <v>2509</v>
      </c>
      <c r="W116" t="s">
        <v>2510</v>
      </c>
      <c r="X116" t="s">
        <v>2511</v>
      </c>
      <c r="Y116" t="s">
        <v>2512</v>
      </c>
      <c r="Z116" t="s">
        <v>2513</v>
      </c>
      <c r="AA116" t="s">
        <v>2514</v>
      </c>
      <c r="AB116" t="s">
        <v>2515</v>
      </c>
      <c r="AC116" t="s">
        <v>2516</v>
      </c>
      <c r="AD116" t="s">
        <v>2517</v>
      </c>
      <c r="AE116" t="s">
        <v>2518</v>
      </c>
      <c r="AF116" t="s">
        <v>74</v>
      </c>
      <c r="AG116">
        <v>26</v>
      </c>
      <c r="AH116">
        <v>20</v>
      </c>
      <c r="AI116">
        <v>31</v>
      </c>
      <c r="AJ116">
        <v>0</v>
      </c>
      <c r="AK116">
        <v>8</v>
      </c>
      <c r="AL116" t="s">
        <v>91</v>
      </c>
      <c r="AM116" t="s">
        <v>1948</v>
      </c>
      <c r="AN116" t="s">
        <v>2519</v>
      </c>
      <c r="AO116" t="s">
        <v>2520</v>
      </c>
      <c r="AP116" t="s">
        <v>2521</v>
      </c>
      <c r="AQ116" t="s">
        <v>74</v>
      </c>
      <c r="AR116" t="s">
        <v>2506</v>
      </c>
      <c r="AS116" t="s">
        <v>2522</v>
      </c>
      <c r="AT116" t="s">
        <v>2376</v>
      </c>
      <c r="AU116">
        <v>2014</v>
      </c>
      <c r="AV116">
        <v>46</v>
      </c>
      <c r="AW116">
        <v>2</v>
      </c>
      <c r="AX116" t="s">
        <v>74</v>
      </c>
      <c r="AY116" t="s">
        <v>74</v>
      </c>
      <c r="AZ116" t="s">
        <v>74</v>
      </c>
      <c r="BA116" t="s">
        <v>74</v>
      </c>
      <c r="BB116">
        <v>175</v>
      </c>
      <c r="BC116">
        <v>187</v>
      </c>
      <c r="BD116" t="s">
        <v>74</v>
      </c>
      <c r="BE116" t="s">
        <v>2523</v>
      </c>
      <c r="BF116" t="str">
        <f>HYPERLINK("http://dx.doi.org/10.1017/S002428291300087X","http://dx.doi.org/10.1017/S002428291300087X")</f>
        <v>http://dx.doi.org/10.1017/S002428291300087X</v>
      </c>
      <c r="BG116" t="s">
        <v>74</v>
      </c>
      <c r="BH116" t="s">
        <v>74</v>
      </c>
      <c r="BI116">
        <v>13</v>
      </c>
      <c r="BJ116" t="s">
        <v>2524</v>
      </c>
      <c r="BK116" t="s">
        <v>101</v>
      </c>
      <c r="BL116" t="s">
        <v>2524</v>
      </c>
      <c r="BM116" t="s">
        <v>2525</v>
      </c>
      <c r="BN116" t="s">
        <v>74</v>
      </c>
      <c r="BO116" t="s">
        <v>74</v>
      </c>
      <c r="BP116" t="s">
        <v>74</v>
      </c>
      <c r="BQ116" t="s">
        <v>74</v>
      </c>
      <c r="BR116" t="s">
        <v>104</v>
      </c>
      <c r="BS116" t="s">
        <v>2526</v>
      </c>
      <c r="BT116" t="str">
        <f>HYPERLINK("https%3A%2F%2Fwww.webofscience.com%2Fwos%2Fwoscc%2Ffull-record%2FWOS:000332686400005","View Full Record in Web of Science")</f>
        <v>View Full Record in Web of Science</v>
      </c>
    </row>
    <row r="117" spans="1:72" x14ac:dyDescent="0.15">
      <c r="A117" t="s">
        <v>72</v>
      </c>
      <c r="B117" t="s">
        <v>2527</v>
      </c>
      <c r="C117" t="s">
        <v>74</v>
      </c>
      <c r="D117" t="s">
        <v>74</v>
      </c>
      <c r="E117" t="s">
        <v>74</v>
      </c>
      <c r="F117" t="s">
        <v>2528</v>
      </c>
      <c r="G117" t="s">
        <v>74</v>
      </c>
      <c r="H117" t="s">
        <v>74</v>
      </c>
      <c r="I117" t="s">
        <v>2529</v>
      </c>
      <c r="J117" t="s">
        <v>2530</v>
      </c>
      <c r="K117" t="s">
        <v>74</v>
      </c>
      <c r="L117" t="s">
        <v>74</v>
      </c>
      <c r="M117" t="s">
        <v>78</v>
      </c>
      <c r="N117" t="s">
        <v>79</v>
      </c>
      <c r="O117" t="s">
        <v>74</v>
      </c>
      <c r="P117" t="s">
        <v>74</v>
      </c>
      <c r="Q117" t="s">
        <v>74</v>
      </c>
      <c r="R117" t="s">
        <v>74</v>
      </c>
      <c r="S117" t="s">
        <v>74</v>
      </c>
      <c r="T117" t="s">
        <v>74</v>
      </c>
      <c r="U117" t="s">
        <v>2531</v>
      </c>
      <c r="V117" t="s">
        <v>2532</v>
      </c>
      <c r="W117" t="s">
        <v>2533</v>
      </c>
      <c r="X117" t="s">
        <v>2534</v>
      </c>
      <c r="Y117" t="s">
        <v>2535</v>
      </c>
      <c r="Z117" t="s">
        <v>2536</v>
      </c>
      <c r="AA117" t="s">
        <v>74</v>
      </c>
      <c r="AB117" t="s">
        <v>2537</v>
      </c>
      <c r="AC117" t="s">
        <v>2538</v>
      </c>
      <c r="AD117" t="s">
        <v>2539</v>
      </c>
      <c r="AE117" t="s">
        <v>2540</v>
      </c>
      <c r="AF117" t="s">
        <v>74</v>
      </c>
      <c r="AG117">
        <v>28</v>
      </c>
      <c r="AH117">
        <v>20</v>
      </c>
      <c r="AI117">
        <v>22</v>
      </c>
      <c r="AJ117">
        <v>1</v>
      </c>
      <c r="AK117">
        <v>71</v>
      </c>
      <c r="AL117" t="s">
        <v>2541</v>
      </c>
      <c r="AM117" t="s">
        <v>2542</v>
      </c>
      <c r="AN117" t="s">
        <v>2543</v>
      </c>
      <c r="AO117" t="s">
        <v>2544</v>
      </c>
      <c r="AP117" t="s">
        <v>2545</v>
      </c>
      <c r="AQ117" t="s">
        <v>74</v>
      </c>
      <c r="AR117" t="s">
        <v>2546</v>
      </c>
      <c r="AS117" t="s">
        <v>2547</v>
      </c>
      <c r="AT117" t="s">
        <v>2447</v>
      </c>
      <c r="AU117">
        <v>2014</v>
      </c>
      <c r="AV117">
        <v>35</v>
      </c>
      <c r="AW117">
        <v>2</v>
      </c>
      <c r="AX117" t="s">
        <v>74</v>
      </c>
      <c r="AY117" t="s">
        <v>74</v>
      </c>
      <c r="AZ117" t="s">
        <v>74</v>
      </c>
      <c r="BA117" t="s">
        <v>74</v>
      </c>
      <c r="BB117">
        <v>65</v>
      </c>
      <c r="BC117">
        <v>78</v>
      </c>
      <c r="BD117" t="s">
        <v>74</v>
      </c>
      <c r="BE117" t="s">
        <v>2548</v>
      </c>
      <c r="BF117" t="str">
        <f>HYPERLINK("http://dx.doi.org/10.46770/AS.2014.02.003","http://dx.doi.org/10.46770/AS.2014.02.003")</f>
        <v>http://dx.doi.org/10.46770/AS.2014.02.003</v>
      </c>
      <c r="BG117" t="s">
        <v>74</v>
      </c>
      <c r="BH117" t="s">
        <v>74</v>
      </c>
      <c r="BI117">
        <v>14</v>
      </c>
      <c r="BJ117" t="s">
        <v>2549</v>
      </c>
      <c r="BK117" t="s">
        <v>101</v>
      </c>
      <c r="BL117" t="s">
        <v>2549</v>
      </c>
      <c r="BM117" t="s">
        <v>2550</v>
      </c>
      <c r="BN117" t="s">
        <v>74</v>
      </c>
      <c r="BO117" t="s">
        <v>200</v>
      </c>
      <c r="BP117" t="s">
        <v>74</v>
      </c>
      <c r="BQ117" t="s">
        <v>74</v>
      </c>
      <c r="BR117" t="s">
        <v>104</v>
      </c>
      <c r="BS117" t="s">
        <v>2551</v>
      </c>
      <c r="BT117" t="str">
        <f>HYPERLINK("https%3A%2F%2Fwww.webofscience.com%2Fwos%2Fwoscc%2Ffull-record%2FWOS:000335717900003","View Full Record in Web of Science")</f>
        <v>View Full Record in Web of Science</v>
      </c>
    </row>
    <row r="118" spans="1:72" x14ac:dyDescent="0.15">
      <c r="A118" t="s">
        <v>72</v>
      </c>
      <c r="B118" t="s">
        <v>2552</v>
      </c>
      <c r="C118" t="s">
        <v>74</v>
      </c>
      <c r="D118" t="s">
        <v>74</v>
      </c>
      <c r="E118" t="s">
        <v>74</v>
      </c>
      <c r="F118" t="s">
        <v>2553</v>
      </c>
      <c r="G118" t="s">
        <v>74</v>
      </c>
      <c r="H118" t="s">
        <v>74</v>
      </c>
      <c r="I118" t="s">
        <v>2554</v>
      </c>
      <c r="J118" t="s">
        <v>2555</v>
      </c>
      <c r="K118" t="s">
        <v>74</v>
      </c>
      <c r="L118" t="s">
        <v>74</v>
      </c>
      <c r="M118" t="s">
        <v>78</v>
      </c>
      <c r="N118" t="s">
        <v>79</v>
      </c>
      <c r="O118" t="s">
        <v>74</v>
      </c>
      <c r="P118" t="s">
        <v>74</v>
      </c>
      <c r="Q118" t="s">
        <v>74</v>
      </c>
      <c r="R118" t="s">
        <v>74</v>
      </c>
      <c r="S118" t="s">
        <v>74</v>
      </c>
      <c r="T118" t="s">
        <v>2556</v>
      </c>
      <c r="U118" t="s">
        <v>2557</v>
      </c>
      <c r="V118" t="s">
        <v>2558</v>
      </c>
      <c r="W118" t="s">
        <v>2559</v>
      </c>
      <c r="X118" t="s">
        <v>2560</v>
      </c>
      <c r="Y118" t="s">
        <v>2561</v>
      </c>
      <c r="Z118" t="s">
        <v>2562</v>
      </c>
      <c r="AA118" t="s">
        <v>2563</v>
      </c>
      <c r="AB118" t="s">
        <v>2564</v>
      </c>
      <c r="AC118" t="s">
        <v>2565</v>
      </c>
      <c r="AD118" t="s">
        <v>2566</v>
      </c>
      <c r="AE118" t="s">
        <v>2567</v>
      </c>
      <c r="AF118" t="s">
        <v>74</v>
      </c>
      <c r="AG118">
        <v>33</v>
      </c>
      <c r="AH118">
        <v>6</v>
      </c>
      <c r="AI118">
        <v>7</v>
      </c>
      <c r="AJ118">
        <v>1</v>
      </c>
      <c r="AK118">
        <v>25</v>
      </c>
      <c r="AL118" t="s">
        <v>2568</v>
      </c>
      <c r="AM118" t="s">
        <v>2569</v>
      </c>
      <c r="AN118" t="s">
        <v>2570</v>
      </c>
      <c r="AO118" t="s">
        <v>2571</v>
      </c>
      <c r="AP118" t="s">
        <v>2572</v>
      </c>
      <c r="AQ118" t="s">
        <v>74</v>
      </c>
      <c r="AR118" t="s">
        <v>2555</v>
      </c>
      <c r="AS118" t="s">
        <v>2573</v>
      </c>
      <c r="AT118" t="s">
        <v>2574</v>
      </c>
      <c r="AU118">
        <v>2014</v>
      </c>
      <c r="AV118">
        <v>117</v>
      </c>
      <c r="AW118">
        <v>1</v>
      </c>
      <c r="AX118" t="s">
        <v>74</v>
      </c>
      <c r="AY118" t="s">
        <v>74</v>
      </c>
      <c r="AZ118" t="s">
        <v>74</v>
      </c>
      <c r="BA118" t="s">
        <v>74</v>
      </c>
      <c r="BB118">
        <v>1</v>
      </c>
      <c r="BC118">
        <v>9</v>
      </c>
      <c r="BD118" t="s">
        <v>74</v>
      </c>
      <c r="BE118" t="s">
        <v>2575</v>
      </c>
      <c r="BF118" t="str">
        <f>HYPERLINK("http://dx.doi.org/10.1639/0007-2745-117.1.001","http://dx.doi.org/10.1639/0007-2745-117.1.001")</f>
        <v>http://dx.doi.org/10.1639/0007-2745-117.1.001</v>
      </c>
      <c r="BG118" t="s">
        <v>74</v>
      </c>
      <c r="BH118" t="s">
        <v>74</v>
      </c>
      <c r="BI118">
        <v>9</v>
      </c>
      <c r="BJ118" t="s">
        <v>181</v>
      </c>
      <c r="BK118" t="s">
        <v>101</v>
      </c>
      <c r="BL118" t="s">
        <v>181</v>
      </c>
      <c r="BM118" t="s">
        <v>2576</v>
      </c>
      <c r="BN118" t="s">
        <v>74</v>
      </c>
      <c r="BO118" t="s">
        <v>270</v>
      </c>
      <c r="BP118" t="s">
        <v>74</v>
      </c>
      <c r="BQ118" t="s">
        <v>74</v>
      </c>
      <c r="BR118" t="s">
        <v>104</v>
      </c>
      <c r="BS118" t="s">
        <v>2577</v>
      </c>
      <c r="BT118" t="str">
        <f>HYPERLINK("https%3A%2F%2Fwww.webofscience.com%2Fwos%2Fwoscc%2Ffull-record%2FWOS:000335285900001","View Full Record in Web of Science")</f>
        <v>View Full Record in Web of Science</v>
      </c>
    </row>
    <row r="119" spans="1:72" x14ac:dyDescent="0.15">
      <c r="A119" t="s">
        <v>72</v>
      </c>
      <c r="B119" t="s">
        <v>2578</v>
      </c>
      <c r="C119" t="s">
        <v>74</v>
      </c>
      <c r="D119" t="s">
        <v>74</v>
      </c>
      <c r="E119" t="s">
        <v>74</v>
      </c>
      <c r="F119" t="s">
        <v>2579</v>
      </c>
      <c r="G119" t="s">
        <v>74</v>
      </c>
      <c r="H119" t="s">
        <v>74</v>
      </c>
      <c r="I119" t="s">
        <v>2580</v>
      </c>
      <c r="J119" t="s">
        <v>2581</v>
      </c>
      <c r="K119" t="s">
        <v>74</v>
      </c>
      <c r="L119" t="s">
        <v>74</v>
      </c>
      <c r="M119" t="s">
        <v>78</v>
      </c>
      <c r="N119" t="s">
        <v>639</v>
      </c>
      <c r="O119" t="s">
        <v>2582</v>
      </c>
      <c r="P119" t="s">
        <v>2583</v>
      </c>
      <c r="Q119" t="s">
        <v>2584</v>
      </c>
      <c r="R119" t="s">
        <v>74</v>
      </c>
      <c r="S119" t="s">
        <v>74</v>
      </c>
      <c r="T119" t="s">
        <v>2585</v>
      </c>
      <c r="U119" t="s">
        <v>2586</v>
      </c>
      <c r="V119" t="s">
        <v>2587</v>
      </c>
      <c r="W119" t="s">
        <v>2588</v>
      </c>
      <c r="X119" t="s">
        <v>2589</v>
      </c>
      <c r="Y119" t="s">
        <v>2590</v>
      </c>
      <c r="Z119" t="s">
        <v>2591</v>
      </c>
      <c r="AA119" t="s">
        <v>2592</v>
      </c>
      <c r="AB119" t="s">
        <v>2593</v>
      </c>
      <c r="AC119" t="s">
        <v>2594</v>
      </c>
      <c r="AD119" t="s">
        <v>2595</v>
      </c>
      <c r="AE119" t="s">
        <v>2596</v>
      </c>
      <c r="AF119" t="s">
        <v>74</v>
      </c>
      <c r="AG119">
        <v>51</v>
      </c>
      <c r="AH119">
        <v>0</v>
      </c>
      <c r="AI119">
        <v>0</v>
      </c>
      <c r="AJ119">
        <v>0</v>
      </c>
      <c r="AK119">
        <v>26</v>
      </c>
      <c r="AL119" t="s">
        <v>2597</v>
      </c>
      <c r="AM119" t="s">
        <v>2598</v>
      </c>
      <c r="AN119" t="s">
        <v>2599</v>
      </c>
      <c r="AO119" t="s">
        <v>2600</v>
      </c>
      <c r="AP119" t="s">
        <v>2601</v>
      </c>
      <c r="AQ119" t="s">
        <v>74</v>
      </c>
      <c r="AR119" t="s">
        <v>2602</v>
      </c>
      <c r="AS119" t="s">
        <v>2603</v>
      </c>
      <c r="AT119" t="s">
        <v>2376</v>
      </c>
      <c r="AU119">
        <v>2014</v>
      </c>
      <c r="AV119">
        <v>7</v>
      </c>
      <c r="AW119">
        <v>3</v>
      </c>
      <c r="AX119" t="s">
        <v>74</v>
      </c>
      <c r="AY119" t="s">
        <v>74</v>
      </c>
      <c r="AZ119" t="s">
        <v>74</v>
      </c>
      <c r="BA119" t="s">
        <v>74</v>
      </c>
      <c r="BB119">
        <v>863</v>
      </c>
      <c r="BC119">
        <v>871</v>
      </c>
      <c r="BD119" t="s">
        <v>74</v>
      </c>
      <c r="BE119" t="s">
        <v>2604</v>
      </c>
      <c r="BF119" t="str">
        <f>HYPERLINK("http://dx.doi.org/10.1109/JSTARS.2013.2264160","http://dx.doi.org/10.1109/JSTARS.2013.2264160")</f>
        <v>http://dx.doi.org/10.1109/JSTARS.2013.2264160</v>
      </c>
      <c r="BG119" t="s">
        <v>74</v>
      </c>
      <c r="BH119" t="s">
        <v>74</v>
      </c>
      <c r="BI119">
        <v>9</v>
      </c>
      <c r="BJ119" t="s">
        <v>2605</v>
      </c>
      <c r="BK119" t="s">
        <v>663</v>
      </c>
      <c r="BL119" t="s">
        <v>2606</v>
      </c>
      <c r="BM119" t="s">
        <v>2607</v>
      </c>
      <c r="BN119" t="s">
        <v>74</v>
      </c>
      <c r="BO119" t="s">
        <v>74</v>
      </c>
      <c r="BP119" t="s">
        <v>74</v>
      </c>
      <c r="BQ119" t="s">
        <v>74</v>
      </c>
      <c r="BR119" t="s">
        <v>104</v>
      </c>
      <c r="BS119" t="s">
        <v>2608</v>
      </c>
      <c r="BT119" t="str">
        <f>HYPERLINK("https%3A%2F%2Fwww.webofscience.com%2Fwos%2Fwoscc%2Ffull-record%2FWOS:000335387900016","View Full Record in Web of Science")</f>
        <v>View Full Record in Web of Science</v>
      </c>
    </row>
    <row r="120" spans="1:72" x14ac:dyDescent="0.15">
      <c r="A120" t="s">
        <v>72</v>
      </c>
      <c r="B120" t="s">
        <v>2609</v>
      </c>
      <c r="C120" t="s">
        <v>74</v>
      </c>
      <c r="D120" t="s">
        <v>74</v>
      </c>
      <c r="E120" t="s">
        <v>74</v>
      </c>
      <c r="F120" t="s">
        <v>2610</v>
      </c>
      <c r="G120" t="s">
        <v>74</v>
      </c>
      <c r="H120" t="s">
        <v>74</v>
      </c>
      <c r="I120" t="s">
        <v>2611</v>
      </c>
      <c r="J120" t="s">
        <v>2581</v>
      </c>
      <c r="K120" t="s">
        <v>74</v>
      </c>
      <c r="L120" t="s">
        <v>74</v>
      </c>
      <c r="M120" t="s">
        <v>78</v>
      </c>
      <c r="N120" t="s">
        <v>639</v>
      </c>
      <c r="O120" t="s">
        <v>2582</v>
      </c>
      <c r="P120" t="s">
        <v>2583</v>
      </c>
      <c r="Q120" t="s">
        <v>2584</v>
      </c>
      <c r="R120" t="s">
        <v>74</v>
      </c>
      <c r="S120" t="s">
        <v>74</v>
      </c>
      <c r="T120" t="s">
        <v>2612</v>
      </c>
      <c r="U120" t="s">
        <v>74</v>
      </c>
      <c r="V120" t="s">
        <v>2613</v>
      </c>
      <c r="W120" t="s">
        <v>2614</v>
      </c>
      <c r="X120" t="s">
        <v>2615</v>
      </c>
      <c r="Y120" t="s">
        <v>2616</v>
      </c>
      <c r="Z120" t="s">
        <v>74</v>
      </c>
      <c r="AA120" t="s">
        <v>2617</v>
      </c>
      <c r="AB120" t="s">
        <v>2618</v>
      </c>
      <c r="AC120" t="s">
        <v>2619</v>
      </c>
      <c r="AD120" t="s">
        <v>2620</v>
      </c>
      <c r="AE120" t="s">
        <v>2621</v>
      </c>
      <c r="AF120" t="s">
        <v>74</v>
      </c>
      <c r="AG120">
        <v>15</v>
      </c>
      <c r="AH120">
        <v>14</v>
      </c>
      <c r="AI120">
        <v>14</v>
      </c>
      <c r="AJ120">
        <v>0</v>
      </c>
      <c r="AK120">
        <v>11</v>
      </c>
      <c r="AL120" t="s">
        <v>2597</v>
      </c>
      <c r="AM120" t="s">
        <v>2598</v>
      </c>
      <c r="AN120" t="s">
        <v>2599</v>
      </c>
      <c r="AO120" t="s">
        <v>2600</v>
      </c>
      <c r="AP120" t="s">
        <v>2601</v>
      </c>
      <c r="AQ120" t="s">
        <v>74</v>
      </c>
      <c r="AR120" t="s">
        <v>2602</v>
      </c>
      <c r="AS120" t="s">
        <v>2603</v>
      </c>
      <c r="AT120" t="s">
        <v>2376</v>
      </c>
      <c r="AU120">
        <v>2014</v>
      </c>
      <c r="AV120">
        <v>7</v>
      </c>
      <c r="AW120">
        <v>3</v>
      </c>
      <c r="AX120" t="s">
        <v>74</v>
      </c>
      <c r="AY120" t="s">
        <v>74</v>
      </c>
      <c r="AZ120" t="s">
        <v>74</v>
      </c>
      <c r="BA120" t="s">
        <v>74</v>
      </c>
      <c r="BB120">
        <v>881</v>
      </c>
      <c r="BC120">
        <v>887</v>
      </c>
      <c r="BD120" t="s">
        <v>74</v>
      </c>
      <c r="BE120" t="s">
        <v>2622</v>
      </c>
      <c r="BF120" t="str">
        <f>HYPERLINK("http://dx.doi.org/10.1109/JSTARS.2013.2264391","http://dx.doi.org/10.1109/JSTARS.2013.2264391")</f>
        <v>http://dx.doi.org/10.1109/JSTARS.2013.2264391</v>
      </c>
      <c r="BG120" t="s">
        <v>74</v>
      </c>
      <c r="BH120" t="s">
        <v>74</v>
      </c>
      <c r="BI120">
        <v>7</v>
      </c>
      <c r="BJ120" t="s">
        <v>2605</v>
      </c>
      <c r="BK120" t="s">
        <v>663</v>
      </c>
      <c r="BL120" t="s">
        <v>2606</v>
      </c>
      <c r="BM120" t="s">
        <v>2607</v>
      </c>
      <c r="BN120" t="s">
        <v>74</v>
      </c>
      <c r="BO120" t="s">
        <v>234</v>
      </c>
      <c r="BP120" t="s">
        <v>74</v>
      </c>
      <c r="BQ120" t="s">
        <v>74</v>
      </c>
      <c r="BR120" t="s">
        <v>104</v>
      </c>
      <c r="BS120" t="s">
        <v>2623</v>
      </c>
      <c r="BT120" t="str">
        <f>HYPERLINK("https%3A%2F%2Fwww.webofscience.com%2Fwos%2Fwoscc%2Ffull-record%2FWOS:000335387900018","View Full Record in Web of Science")</f>
        <v>View Full Record in Web of Science</v>
      </c>
    </row>
    <row r="121" spans="1:72" x14ac:dyDescent="0.15">
      <c r="A121" t="s">
        <v>72</v>
      </c>
      <c r="B121" t="s">
        <v>2624</v>
      </c>
      <c r="C121" t="s">
        <v>74</v>
      </c>
      <c r="D121" t="s">
        <v>74</v>
      </c>
      <c r="E121" t="s">
        <v>74</v>
      </c>
      <c r="F121" t="s">
        <v>2625</v>
      </c>
      <c r="G121" t="s">
        <v>74</v>
      </c>
      <c r="H121" t="s">
        <v>74</v>
      </c>
      <c r="I121" t="s">
        <v>2626</v>
      </c>
      <c r="J121" t="s">
        <v>2627</v>
      </c>
      <c r="K121" t="s">
        <v>74</v>
      </c>
      <c r="L121" t="s">
        <v>74</v>
      </c>
      <c r="M121" t="s">
        <v>78</v>
      </c>
      <c r="N121" t="s">
        <v>79</v>
      </c>
      <c r="O121" t="s">
        <v>74</v>
      </c>
      <c r="P121" t="s">
        <v>74</v>
      </c>
      <c r="Q121" t="s">
        <v>74</v>
      </c>
      <c r="R121" t="s">
        <v>74</v>
      </c>
      <c r="S121" t="s">
        <v>74</v>
      </c>
      <c r="T121" t="s">
        <v>2628</v>
      </c>
      <c r="U121" t="s">
        <v>2629</v>
      </c>
      <c r="V121" t="s">
        <v>2630</v>
      </c>
      <c r="W121" t="s">
        <v>2631</v>
      </c>
      <c r="X121" t="s">
        <v>2632</v>
      </c>
      <c r="Y121" t="s">
        <v>2633</v>
      </c>
      <c r="Z121" t="s">
        <v>2634</v>
      </c>
      <c r="AA121" t="s">
        <v>2635</v>
      </c>
      <c r="AB121" t="s">
        <v>2636</v>
      </c>
      <c r="AC121" t="s">
        <v>2637</v>
      </c>
      <c r="AD121" t="s">
        <v>2638</v>
      </c>
      <c r="AE121" t="s">
        <v>2639</v>
      </c>
      <c r="AF121" t="s">
        <v>74</v>
      </c>
      <c r="AG121">
        <v>82</v>
      </c>
      <c r="AH121">
        <v>25</v>
      </c>
      <c r="AI121">
        <v>28</v>
      </c>
      <c r="AJ121">
        <v>0</v>
      </c>
      <c r="AK121">
        <v>28</v>
      </c>
      <c r="AL121" t="s">
        <v>652</v>
      </c>
      <c r="AM121" t="s">
        <v>653</v>
      </c>
      <c r="AN121" t="s">
        <v>654</v>
      </c>
      <c r="AO121" t="s">
        <v>2640</v>
      </c>
      <c r="AP121" t="s">
        <v>2641</v>
      </c>
      <c r="AQ121" t="s">
        <v>74</v>
      </c>
      <c r="AR121" t="s">
        <v>2642</v>
      </c>
      <c r="AS121" t="s">
        <v>2643</v>
      </c>
      <c r="AT121" t="s">
        <v>2644</v>
      </c>
      <c r="AU121">
        <v>2014</v>
      </c>
      <c r="AV121">
        <v>349</v>
      </c>
      <c r="AW121" t="s">
        <v>74</v>
      </c>
      <c r="AX121" t="s">
        <v>74</v>
      </c>
      <c r="AY121" t="s">
        <v>74</v>
      </c>
      <c r="AZ121" t="s">
        <v>74</v>
      </c>
      <c r="BA121" t="s">
        <v>74</v>
      </c>
      <c r="BB121">
        <v>136</v>
      </c>
      <c r="BC121">
        <v>151</v>
      </c>
      <c r="BD121" t="s">
        <v>74</v>
      </c>
      <c r="BE121" t="s">
        <v>2645</v>
      </c>
      <c r="BF121" t="str">
        <f>HYPERLINK("http://dx.doi.org/10.1016/j.margeo.2014.01.007","http://dx.doi.org/10.1016/j.margeo.2014.01.007")</f>
        <v>http://dx.doi.org/10.1016/j.margeo.2014.01.007</v>
      </c>
      <c r="BG121" t="s">
        <v>74</v>
      </c>
      <c r="BH121" t="s">
        <v>74</v>
      </c>
      <c r="BI121">
        <v>16</v>
      </c>
      <c r="BJ121" t="s">
        <v>2646</v>
      </c>
      <c r="BK121" t="s">
        <v>101</v>
      </c>
      <c r="BL121" t="s">
        <v>2647</v>
      </c>
      <c r="BM121" t="s">
        <v>2648</v>
      </c>
      <c r="BN121" t="s">
        <v>74</v>
      </c>
      <c r="BO121" t="s">
        <v>2649</v>
      </c>
      <c r="BP121" t="s">
        <v>74</v>
      </c>
      <c r="BQ121" t="s">
        <v>74</v>
      </c>
      <c r="BR121" t="s">
        <v>104</v>
      </c>
      <c r="BS121" t="s">
        <v>2650</v>
      </c>
      <c r="BT121" t="str">
        <f>HYPERLINK("https%3A%2F%2Fwww.webofscience.com%2Fwos%2Fwoscc%2Ffull-record%2FWOS:000335277500011","View Full Record in Web of Science")</f>
        <v>View Full Record in Web of Science</v>
      </c>
    </row>
    <row r="122" spans="1:72" x14ac:dyDescent="0.15">
      <c r="A122" t="s">
        <v>72</v>
      </c>
      <c r="B122" t="s">
        <v>2651</v>
      </c>
      <c r="C122" t="s">
        <v>74</v>
      </c>
      <c r="D122" t="s">
        <v>74</v>
      </c>
      <c r="E122" t="s">
        <v>74</v>
      </c>
      <c r="F122" t="s">
        <v>2652</v>
      </c>
      <c r="G122" t="s">
        <v>74</v>
      </c>
      <c r="H122" t="s">
        <v>74</v>
      </c>
      <c r="I122" t="s">
        <v>2653</v>
      </c>
      <c r="J122" t="s">
        <v>2654</v>
      </c>
      <c r="K122" t="s">
        <v>74</v>
      </c>
      <c r="L122" t="s">
        <v>74</v>
      </c>
      <c r="M122" t="s">
        <v>78</v>
      </c>
      <c r="N122" t="s">
        <v>79</v>
      </c>
      <c r="O122" t="s">
        <v>74</v>
      </c>
      <c r="P122" t="s">
        <v>74</v>
      </c>
      <c r="Q122" t="s">
        <v>74</v>
      </c>
      <c r="R122" t="s">
        <v>74</v>
      </c>
      <c r="S122" t="s">
        <v>74</v>
      </c>
      <c r="T122" t="s">
        <v>74</v>
      </c>
      <c r="U122" t="s">
        <v>2655</v>
      </c>
      <c r="V122" t="s">
        <v>2656</v>
      </c>
      <c r="W122" t="s">
        <v>2657</v>
      </c>
      <c r="X122" t="s">
        <v>2658</v>
      </c>
      <c r="Y122" t="s">
        <v>2659</v>
      </c>
      <c r="Z122" t="s">
        <v>2660</v>
      </c>
      <c r="AA122" t="s">
        <v>2661</v>
      </c>
      <c r="AB122" t="s">
        <v>2662</v>
      </c>
      <c r="AC122" t="s">
        <v>2663</v>
      </c>
      <c r="AD122" t="s">
        <v>2664</v>
      </c>
      <c r="AE122" t="s">
        <v>2665</v>
      </c>
      <c r="AF122" t="s">
        <v>74</v>
      </c>
      <c r="AG122">
        <v>15</v>
      </c>
      <c r="AH122">
        <v>4</v>
      </c>
      <c r="AI122">
        <v>4</v>
      </c>
      <c r="AJ122">
        <v>1</v>
      </c>
      <c r="AK122">
        <v>5</v>
      </c>
      <c r="AL122" t="s">
        <v>2666</v>
      </c>
      <c r="AM122" t="s">
        <v>92</v>
      </c>
      <c r="AN122" t="s">
        <v>2667</v>
      </c>
      <c r="AO122" t="s">
        <v>2668</v>
      </c>
      <c r="AP122" t="s">
        <v>2669</v>
      </c>
      <c r="AQ122" t="s">
        <v>74</v>
      </c>
      <c r="AR122" t="s">
        <v>2670</v>
      </c>
      <c r="AS122" t="s">
        <v>2671</v>
      </c>
      <c r="AT122" t="s">
        <v>2376</v>
      </c>
      <c r="AU122">
        <v>2014</v>
      </c>
      <c r="AV122">
        <v>54</v>
      </c>
      <c r="AW122">
        <v>2</v>
      </c>
      <c r="AX122" t="s">
        <v>74</v>
      </c>
      <c r="AY122" t="s">
        <v>74</v>
      </c>
      <c r="AZ122" t="s">
        <v>74</v>
      </c>
      <c r="BA122" t="s">
        <v>74</v>
      </c>
      <c r="BB122">
        <v>152</v>
      </c>
      <c r="BC122">
        <v>159</v>
      </c>
      <c r="BD122" t="s">
        <v>74</v>
      </c>
      <c r="BE122" t="s">
        <v>2672</v>
      </c>
      <c r="BF122" t="str">
        <f>HYPERLINK("http://dx.doi.org/10.1134/S0001437014020039","http://dx.doi.org/10.1134/S0001437014020039")</f>
        <v>http://dx.doi.org/10.1134/S0001437014020039</v>
      </c>
      <c r="BG122" t="s">
        <v>74</v>
      </c>
      <c r="BH122" t="s">
        <v>74</v>
      </c>
      <c r="BI122">
        <v>8</v>
      </c>
      <c r="BJ122" t="s">
        <v>785</v>
      </c>
      <c r="BK122" t="s">
        <v>101</v>
      </c>
      <c r="BL122" t="s">
        <v>785</v>
      </c>
      <c r="BM122" t="s">
        <v>2673</v>
      </c>
      <c r="BN122" t="s">
        <v>74</v>
      </c>
      <c r="BO122" t="s">
        <v>74</v>
      </c>
      <c r="BP122" t="s">
        <v>74</v>
      </c>
      <c r="BQ122" t="s">
        <v>74</v>
      </c>
      <c r="BR122" t="s">
        <v>104</v>
      </c>
      <c r="BS122" t="s">
        <v>2674</v>
      </c>
      <c r="BT122" t="str">
        <f>HYPERLINK("https%3A%2F%2Fwww.webofscience.com%2Fwos%2Fwoscc%2Ffull-record%2FWOS:000335243900004","View Full Record in Web of Science")</f>
        <v>View Full Record in Web of Science</v>
      </c>
    </row>
    <row r="123" spans="1:72" x14ac:dyDescent="0.15">
      <c r="A123" t="s">
        <v>72</v>
      </c>
      <c r="B123" t="s">
        <v>2675</v>
      </c>
      <c r="C123" t="s">
        <v>74</v>
      </c>
      <c r="D123" t="s">
        <v>74</v>
      </c>
      <c r="E123" t="s">
        <v>74</v>
      </c>
      <c r="F123" t="s">
        <v>2676</v>
      </c>
      <c r="G123" t="s">
        <v>74</v>
      </c>
      <c r="H123" t="s">
        <v>74</v>
      </c>
      <c r="I123" t="s">
        <v>2677</v>
      </c>
      <c r="J123" t="s">
        <v>2678</v>
      </c>
      <c r="K123" t="s">
        <v>74</v>
      </c>
      <c r="L123" t="s">
        <v>74</v>
      </c>
      <c r="M123" t="s">
        <v>78</v>
      </c>
      <c r="N123" t="s">
        <v>79</v>
      </c>
      <c r="O123" t="s">
        <v>74</v>
      </c>
      <c r="P123" t="s">
        <v>74</v>
      </c>
      <c r="Q123" t="s">
        <v>74</v>
      </c>
      <c r="R123" t="s">
        <v>74</v>
      </c>
      <c r="S123" t="s">
        <v>74</v>
      </c>
      <c r="T123" t="s">
        <v>2679</v>
      </c>
      <c r="U123" t="s">
        <v>2680</v>
      </c>
      <c r="V123" t="s">
        <v>2681</v>
      </c>
      <c r="W123" t="s">
        <v>2682</v>
      </c>
      <c r="X123" t="s">
        <v>2683</v>
      </c>
      <c r="Y123" t="s">
        <v>2684</v>
      </c>
      <c r="Z123" t="s">
        <v>2685</v>
      </c>
      <c r="AA123" t="s">
        <v>2686</v>
      </c>
      <c r="AB123" t="s">
        <v>2687</v>
      </c>
      <c r="AC123" t="s">
        <v>2688</v>
      </c>
      <c r="AD123" t="s">
        <v>2689</v>
      </c>
      <c r="AE123" t="s">
        <v>2690</v>
      </c>
      <c r="AF123" t="s">
        <v>74</v>
      </c>
      <c r="AG123">
        <v>71</v>
      </c>
      <c r="AH123">
        <v>12</v>
      </c>
      <c r="AI123">
        <v>13</v>
      </c>
      <c r="AJ123">
        <v>0</v>
      </c>
      <c r="AK123">
        <v>20</v>
      </c>
      <c r="AL123" t="s">
        <v>568</v>
      </c>
      <c r="AM123" t="s">
        <v>447</v>
      </c>
      <c r="AN123" t="s">
        <v>569</v>
      </c>
      <c r="AO123" t="s">
        <v>2691</v>
      </c>
      <c r="AP123" t="s">
        <v>2692</v>
      </c>
      <c r="AQ123" t="s">
        <v>74</v>
      </c>
      <c r="AR123" t="s">
        <v>2693</v>
      </c>
      <c r="AS123" t="s">
        <v>2694</v>
      </c>
      <c r="AT123" t="s">
        <v>2376</v>
      </c>
      <c r="AU123">
        <v>2014</v>
      </c>
      <c r="AV123">
        <v>119</v>
      </c>
      <c r="AW123">
        <v>3</v>
      </c>
      <c r="AX123" t="s">
        <v>74</v>
      </c>
      <c r="AY123" t="s">
        <v>74</v>
      </c>
      <c r="AZ123" t="s">
        <v>74</v>
      </c>
      <c r="BA123" t="s">
        <v>74</v>
      </c>
      <c r="BB123">
        <v>401</v>
      </c>
      <c r="BC123">
        <v>413</v>
      </c>
      <c r="BD123" t="s">
        <v>74</v>
      </c>
      <c r="BE123" t="s">
        <v>2695</v>
      </c>
      <c r="BF123" t="str">
        <f>HYPERLINK("http://dx.doi.org/10.1002/2013JF002870","http://dx.doi.org/10.1002/2013JF002870")</f>
        <v>http://dx.doi.org/10.1002/2013JF002870</v>
      </c>
      <c r="BG123" t="s">
        <v>74</v>
      </c>
      <c r="BH123" t="s">
        <v>74</v>
      </c>
      <c r="BI123">
        <v>13</v>
      </c>
      <c r="BJ123" t="s">
        <v>952</v>
      </c>
      <c r="BK123" t="s">
        <v>101</v>
      </c>
      <c r="BL123" t="s">
        <v>597</v>
      </c>
      <c r="BM123" t="s">
        <v>2696</v>
      </c>
      <c r="BN123" t="s">
        <v>74</v>
      </c>
      <c r="BO123" t="s">
        <v>200</v>
      </c>
      <c r="BP123" t="s">
        <v>74</v>
      </c>
      <c r="BQ123" t="s">
        <v>74</v>
      </c>
      <c r="BR123" t="s">
        <v>104</v>
      </c>
      <c r="BS123" t="s">
        <v>2697</v>
      </c>
      <c r="BT123" t="str">
        <f>HYPERLINK("https%3A%2F%2Fwww.webofscience.com%2Fwos%2Fwoscc%2Ffull-record%2FWOS:000334362800001","View Full Record in Web of Science")</f>
        <v>View Full Record in Web of Science</v>
      </c>
    </row>
    <row r="124" spans="1:72" x14ac:dyDescent="0.15">
      <c r="A124" t="s">
        <v>72</v>
      </c>
      <c r="B124" t="s">
        <v>2698</v>
      </c>
      <c r="C124" t="s">
        <v>74</v>
      </c>
      <c r="D124" t="s">
        <v>74</v>
      </c>
      <c r="E124" t="s">
        <v>74</v>
      </c>
      <c r="F124" t="s">
        <v>2699</v>
      </c>
      <c r="G124" t="s">
        <v>74</v>
      </c>
      <c r="H124" t="s">
        <v>74</v>
      </c>
      <c r="I124" t="s">
        <v>2700</v>
      </c>
      <c r="J124" t="s">
        <v>2701</v>
      </c>
      <c r="K124" t="s">
        <v>74</v>
      </c>
      <c r="L124" t="s">
        <v>74</v>
      </c>
      <c r="M124" t="s">
        <v>78</v>
      </c>
      <c r="N124" t="s">
        <v>79</v>
      </c>
      <c r="O124" t="s">
        <v>74</v>
      </c>
      <c r="P124" t="s">
        <v>74</v>
      </c>
      <c r="Q124" t="s">
        <v>74</v>
      </c>
      <c r="R124" t="s">
        <v>74</v>
      </c>
      <c r="S124" t="s">
        <v>74</v>
      </c>
      <c r="T124" t="s">
        <v>2702</v>
      </c>
      <c r="U124" t="s">
        <v>2703</v>
      </c>
      <c r="V124" t="s">
        <v>2704</v>
      </c>
      <c r="W124" t="s">
        <v>2705</v>
      </c>
      <c r="X124" t="s">
        <v>2706</v>
      </c>
      <c r="Y124" t="s">
        <v>2707</v>
      </c>
      <c r="Z124" t="s">
        <v>2708</v>
      </c>
      <c r="AA124" t="s">
        <v>74</v>
      </c>
      <c r="AB124" t="s">
        <v>2709</v>
      </c>
      <c r="AC124" t="s">
        <v>74</v>
      </c>
      <c r="AD124" t="s">
        <v>74</v>
      </c>
      <c r="AE124" t="s">
        <v>74</v>
      </c>
      <c r="AF124" t="s">
        <v>74</v>
      </c>
      <c r="AG124">
        <v>65</v>
      </c>
      <c r="AH124">
        <v>18</v>
      </c>
      <c r="AI124">
        <v>21</v>
      </c>
      <c r="AJ124">
        <v>0</v>
      </c>
      <c r="AK124">
        <v>10</v>
      </c>
      <c r="AL124" t="s">
        <v>902</v>
      </c>
      <c r="AM124" t="s">
        <v>653</v>
      </c>
      <c r="AN124" t="s">
        <v>903</v>
      </c>
      <c r="AO124" t="s">
        <v>2710</v>
      </c>
      <c r="AP124" t="s">
        <v>2711</v>
      </c>
      <c r="AQ124" t="s">
        <v>74</v>
      </c>
      <c r="AR124" t="s">
        <v>2712</v>
      </c>
      <c r="AS124" t="s">
        <v>2713</v>
      </c>
      <c r="AT124" t="s">
        <v>2376</v>
      </c>
      <c r="AU124">
        <v>2014</v>
      </c>
      <c r="AV124">
        <v>107</v>
      </c>
      <c r="AW124" t="s">
        <v>74</v>
      </c>
      <c r="AX124" t="s">
        <v>74</v>
      </c>
      <c r="AY124" t="s">
        <v>74</v>
      </c>
      <c r="AZ124" t="s">
        <v>74</v>
      </c>
      <c r="BA124" t="s">
        <v>74</v>
      </c>
      <c r="BB124">
        <v>44</v>
      </c>
      <c r="BC124">
        <v>58</v>
      </c>
      <c r="BD124" t="s">
        <v>74</v>
      </c>
      <c r="BE124" t="s">
        <v>2714</v>
      </c>
      <c r="BF124" t="str">
        <f>HYPERLINK("http://dx.doi.org/10.1016/j.marmicro.2014.01.005","http://dx.doi.org/10.1016/j.marmicro.2014.01.005")</f>
        <v>http://dx.doi.org/10.1016/j.marmicro.2014.01.005</v>
      </c>
      <c r="BG124" t="s">
        <v>74</v>
      </c>
      <c r="BH124" t="s">
        <v>74</v>
      </c>
      <c r="BI124">
        <v>15</v>
      </c>
      <c r="BJ124" t="s">
        <v>2715</v>
      </c>
      <c r="BK124" t="s">
        <v>101</v>
      </c>
      <c r="BL124" t="s">
        <v>2715</v>
      </c>
      <c r="BM124" t="s">
        <v>2716</v>
      </c>
      <c r="BN124" t="s">
        <v>74</v>
      </c>
      <c r="BO124" t="s">
        <v>74</v>
      </c>
      <c r="BP124" t="s">
        <v>74</v>
      </c>
      <c r="BQ124" t="s">
        <v>74</v>
      </c>
      <c r="BR124" t="s">
        <v>104</v>
      </c>
      <c r="BS124" t="s">
        <v>2717</v>
      </c>
      <c r="BT124" t="str">
        <f>HYPERLINK("https%3A%2F%2Fwww.webofscience.com%2Fwos%2Fwoscc%2Ffull-record%2FWOS:000334818700005","View Full Record in Web of Science")</f>
        <v>View Full Record in Web of Science</v>
      </c>
    </row>
    <row r="125" spans="1:72" x14ac:dyDescent="0.15">
      <c r="A125" t="s">
        <v>72</v>
      </c>
      <c r="B125" t="s">
        <v>2718</v>
      </c>
      <c r="C125" t="s">
        <v>74</v>
      </c>
      <c r="D125" t="s">
        <v>74</v>
      </c>
      <c r="E125" t="s">
        <v>74</v>
      </c>
      <c r="F125" t="s">
        <v>2719</v>
      </c>
      <c r="G125" t="s">
        <v>74</v>
      </c>
      <c r="H125" t="s">
        <v>74</v>
      </c>
      <c r="I125" t="s">
        <v>2720</v>
      </c>
      <c r="J125" t="s">
        <v>1225</v>
      </c>
      <c r="K125" t="s">
        <v>74</v>
      </c>
      <c r="L125" t="s">
        <v>74</v>
      </c>
      <c r="M125" t="s">
        <v>78</v>
      </c>
      <c r="N125" t="s">
        <v>79</v>
      </c>
      <c r="O125" t="s">
        <v>74</v>
      </c>
      <c r="P125" t="s">
        <v>74</v>
      </c>
      <c r="Q125" t="s">
        <v>74</v>
      </c>
      <c r="R125" t="s">
        <v>74</v>
      </c>
      <c r="S125" t="s">
        <v>74</v>
      </c>
      <c r="T125" t="s">
        <v>2721</v>
      </c>
      <c r="U125" t="s">
        <v>2722</v>
      </c>
      <c r="V125" t="s">
        <v>2723</v>
      </c>
      <c r="W125" t="s">
        <v>2724</v>
      </c>
      <c r="X125" t="s">
        <v>2725</v>
      </c>
      <c r="Y125" t="s">
        <v>2726</v>
      </c>
      <c r="Z125" t="s">
        <v>2727</v>
      </c>
      <c r="AA125" t="s">
        <v>2728</v>
      </c>
      <c r="AB125" t="s">
        <v>2729</v>
      </c>
      <c r="AC125" t="s">
        <v>2730</v>
      </c>
      <c r="AD125" t="s">
        <v>2731</v>
      </c>
      <c r="AE125" t="s">
        <v>2732</v>
      </c>
      <c r="AF125" t="s">
        <v>74</v>
      </c>
      <c r="AG125">
        <v>120</v>
      </c>
      <c r="AH125">
        <v>62</v>
      </c>
      <c r="AI125">
        <v>71</v>
      </c>
      <c r="AJ125">
        <v>2</v>
      </c>
      <c r="AK125">
        <v>53</v>
      </c>
      <c r="AL125" t="s">
        <v>568</v>
      </c>
      <c r="AM125" t="s">
        <v>447</v>
      </c>
      <c r="AN125" t="s">
        <v>569</v>
      </c>
      <c r="AO125" t="s">
        <v>1237</v>
      </c>
      <c r="AP125" t="s">
        <v>1238</v>
      </c>
      <c r="AQ125" t="s">
        <v>74</v>
      </c>
      <c r="AR125" t="s">
        <v>1225</v>
      </c>
      <c r="AS125" t="s">
        <v>1239</v>
      </c>
      <c r="AT125" t="s">
        <v>2376</v>
      </c>
      <c r="AU125">
        <v>2014</v>
      </c>
      <c r="AV125">
        <v>29</v>
      </c>
      <c r="AW125">
        <v>3</v>
      </c>
      <c r="AX125" t="s">
        <v>74</v>
      </c>
      <c r="AY125" t="s">
        <v>74</v>
      </c>
      <c r="AZ125" t="s">
        <v>74</v>
      </c>
      <c r="BA125" t="s">
        <v>74</v>
      </c>
      <c r="BB125">
        <v>223</v>
      </c>
      <c r="BC125">
        <v>237</v>
      </c>
      <c r="BD125" t="s">
        <v>74</v>
      </c>
      <c r="BE125" t="s">
        <v>2733</v>
      </c>
      <c r="BF125" t="str">
        <f>HYPERLINK("http://dx.doi.org/10.1002/2013PA002518","http://dx.doi.org/10.1002/2013PA002518")</f>
        <v>http://dx.doi.org/10.1002/2013PA002518</v>
      </c>
      <c r="BG125" t="s">
        <v>74</v>
      </c>
      <c r="BH125" t="s">
        <v>74</v>
      </c>
      <c r="BI125">
        <v>15</v>
      </c>
      <c r="BJ125" t="s">
        <v>1241</v>
      </c>
      <c r="BK125" t="s">
        <v>101</v>
      </c>
      <c r="BL125" t="s">
        <v>1242</v>
      </c>
      <c r="BM125" t="s">
        <v>2734</v>
      </c>
      <c r="BN125" t="s">
        <v>74</v>
      </c>
      <c r="BO125" t="s">
        <v>200</v>
      </c>
      <c r="BP125" t="s">
        <v>74</v>
      </c>
      <c r="BQ125" t="s">
        <v>74</v>
      </c>
      <c r="BR125" t="s">
        <v>104</v>
      </c>
      <c r="BS125" t="s">
        <v>2735</v>
      </c>
      <c r="BT125" t="str">
        <f>HYPERLINK("https%3A%2F%2Fwww.webofscience.com%2Fwos%2Fwoscc%2Ffull-record%2FWOS:000334349800007","View Full Record in Web of Science")</f>
        <v>View Full Record in Web of Science</v>
      </c>
    </row>
    <row r="126" spans="1:72" x14ac:dyDescent="0.15">
      <c r="A126" t="s">
        <v>72</v>
      </c>
      <c r="B126" t="s">
        <v>2736</v>
      </c>
      <c r="C126" t="s">
        <v>74</v>
      </c>
      <c r="D126" t="s">
        <v>74</v>
      </c>
      <c r="E126" t="s">
        <v>74</v>
      </c>
      <c r="F126" t="s">
        <v>2737</v>
      </c>
      <c r="G126" t="s">
        <v>74</v>
      </c>
      <c r="H126" t="s">
        <v>74</v>
      </c>
      <c r="I126" t="s">
        <v>2738</v>
      </c>
      <c r="J126" t="s">
        <v>2739</v>
      </c>
      <c r="K126" t="s">
        <v>74</v>
      </c>
      <c r="L126" t="s">
        <v>74</v>
      </c>
      <c r="M126" t="s">
        <v>78</v>
      </c>
      <c r="N126" t="s">
        <v>79</v>
      </c>
      <c r="O126" t="s">
        <v>74</v>
      </c>
      <c r="P126" t="s">
        <v>74</v>
      </c>
      <c r="Q126" t="s">
        <v>74</v>
      </c>
      <c r="R126" t="s">
        <v>74</v>
      </c>
      <c r="S126" t="s">
        <v>74</v>
      </c>
      <c r="T126" t="s">
        <v>2740</v>
      </c>
      <c r="U126" t="s">
        <v>74</v>
      </c>
      <c r="V126" t="s">
        <v>2741</v>
      </c>
      <c r="W126" t="s">
        <v>2742</v>
      </c>
      <c r="X126" t="s">
        <v>2743</v>
      </c>
      <c r="Y126" t="s">
        <v>2744</v>
      </c>
      <c r="Z126" t="s">
        <v>2745</v>
      </c>
      <c r="AA126" t="s">
        <v>2746</v>
      </c>
      <c r="AB126" t="s">
        <v>2747</v>
      </c>
      <c r="AC126" t="s">
        <v>74</v>
      </c>
      <c r="AD126" t="s">
        <v>74</v>
      </c>
      <c r="AE126" t="s">
        <v>74</v>
      </c>
      <c r="AF126" t="s">
        <v>74</v>
      </c>
      <c r="AG126">
        <v>11</v>
      </c>
      <c r="AH126">
        <v>0</v>
      </c>
      <c r="AI126">
        <v>0</v>
      </c>
      <c r="AJ126">
        <v>0</v>
      </c>
      <c r="AK126">
        <v>10</v>
      </c>
      <c r="AL126" t="s">
        <v>2748</v>
      </c>
      <c r="AM126" t="s">
        <v>2749</v>
      </c>
      <c r="AN126" t="s">
        <v>2750</v>
      </c>
      <c r="AO126" t="s">
        <v>2751</v>
      </c>
      <c r="AP126" t="s">
        <v>2752</v>
      </c>
      <c r="AQ126" t="s">
        <v>74</v>
      </c>
      <c r="AR126" t="s">
        <v>2753</v>
      </c>
      <c r="AS126" t="s">
        <v>2754</v>
      </c>
      <c r="AT126" t="s">
        <v>2644</v>
      </c>
      <c r="AU126">
        <v>2014</v>
      </c>
      <c r="AV126">
        <v>28</v>
      </c>
      <c r="AW126">
        <v>1</v>
      </c>
      <c r="AX126" t="s">
        <v>74</v>
      </c>
      <c r="AY126" t="s">
        <v>74</v>
      </c>
      <c r="AZ126" t="s">
        <v>74</v>
      </c>
      <c r="BA126" t="s">
        <v>74</v>
      </c>
      <c r="BB126" t="s">
        <v>74</v>
      </c>
      <c r="BC126" t="s">
        <v>74</v>
      </c>
      <c r="BD126" t="s">
        <v>74</v>
      </c>
      <c r="BE126" t="s">
        <v>2755</v>
      </c>
      <c r="BF126" t="str">
        <f>HYPERLINK("http://dx.doi.org/10.1061/(ASCE)CR.1943-5495.0000061","http://dx.doi.org/10.1061/(ASCE)CR.1943-5495.0000061")</f>
        <v>http://dx.doi.org/10.1061/(ASCE)CR.1943-5495.0000061</v>
      </c>
      <c r="BG126" t="s">
        <v>74</v>
      </c>
      <c r="BH126" t="s">
        <v>74</v>
      </c>
      <c r="BI126">
        <v>13</v>
      </c>
      <c r="BJ126" t="s">
        <v>2756</v>
      </c>
      <c r="BK126" t="s">
        <v>101</v>
      </c>
      <c r="BL126" t="s">
        <v>2757</v>
      </c>
      <c r="BM126" t="s">
        <v>2758</v>
      </c>
      <c r="BN126" t="s">
        <v>74</v>
      </c>
      <c r="BO126" t="s">
        <v>74</v>
      </c>
      <c r="BP126" t="s">
        <v>74</v>
      </c>
      <c r="BQ126" t="s">
        <v>74</v>
      </c>
      <c r="BR126" t="s">
        <v>104</v>
      </c>
      <c r="BS126" t="s">
        <v>2759</v>
      </c>
      <c r="BT126" t="str">
        <f>HYPERLINK("https%3A%2F%2Fwww.webofscience.com%2Fwos%2Fwoscc%2Ffull-record%2FWOS:000334668900002","View Full Record in Web of Science")</f>
        <v>View Full Record in Web of Science</v>
      </c>
    </row>
    <row r="127" spans="1:72" x14ac:dyDescent="0.15">
      <c r="A127" t="s">
        <v>72</v>
      </c>
      <c r="B127" t="s">
        <v>2760</v>
      </c>
      <c r="C127" t="s">
        <v>74</v>
      </c>
      <c r="D127" t="s">
        <v>74</v>
      </c>
      <c r="E127" t="s">
        <v>74</v>
      </c>
      <c r="F127" t="s">
        <v>2761</v>
      </c>
      <c r="G127" t="s">
        <v>74</v>
      </c>
      <c r="H127" t="s">
        <v>74</v>
      </c>
      <c r="I127" t="s">
        <v>2762</v>
      </c>
      <c r="J127" t="s">
        <v>2763</v>
      </c>
      <c r="K127" t="s">
        <v>74</v>
      </c>
      <c r="L127" t="s">
        <v>74</v>
      </c>
      <c r="M127" t="s">
        <v>78</v>
      </c>
      <c r="N127" t="s">
        <v>79</v>
      </c>
      <c r="O127" t="s">
        <v>74</v>
      </c>
      <c r="P127" t="s">
        <v>74</v>
      </c>
      <c r="Q127" t="s">
        <v>74</v>
      </c>
      <c r="R127" t="s">
        <v>74</v>
      </c>
      <c r="S127" t="s">
        <v>74</v>
      </c>
      <c r="T127" t="s">
        <v>2764</v>
      </c>
      <c r="U127" t="s">
        <v>2765</v>
      </c>
      <c r="V127" t="s">
        <v>2766</v>
      </c>
      <c r="W127" t="s">
        <v>2767</v>
      </c>
      <c r="X127" t="s">
        <v>2768</v>
      </c>
      <c r="Y127" t="s">
        <v>2769</v>
      </c>
      <c r="Z127" t="s">
        <v>2770</v>
      </c>
      <c r="AA127" t="s">
        <v>74</v>
      </c>
      <c r="AB127" t="s">
        <v>2771</v>
      </c>
      <c r="AC127" t="s">
        <v>2772</v>
      </c>
      <c r="AD127" t="s">
        <v>2772</v>
      </c>
      <c r="AE127" t="s">
        <v>2773</v>
      </c>
      <c r="AF127" t="s">
        <v>74</v>
      </c>
      <c r="AG127">
        <v>137</v>
      </c>
      <c r="AH127">
        <v>15</v>
      </c>
      <c r="AI127">
        <v>17</v>
      </c>
      <c r="AJ127">
        <v>0</v>
      </c>
      <c r="AK127">
        <v>18</v>
      </c>
      <c r="AL127" t="s">
        <v>902</v>
      </c>
      <c r="AM127" t="s">
        <v>653</v>
      </c>
      <c r="AN127" t="s">
        <v>903</v>
      </c>
      <c r="AO127" t="s">
        <v>2774</v>
      </c>
      <c r="AP127" t="s">
        <v>2775</v>
      </c>
      <c r="AQ127" t="s">
        <v>74</v>
      </c>
      <c r="AR127" t="s">
        <v>2763</v>
      </c>
      <c r="AS127" t="s">
        <v>2776</v>
      </c>
      <c r="AT127" t="s">
        <v>2376</v>
      </c>
      <c r="AU127">
        <v>2014</v>
      </c>
      <c r="AV127">
        <v>190</v>
      </c>
      <c r="AW127" t="s">
        <v>74</v>
      </c>
      <c r="AX127" t="s">
        <v>74</v>
      </c>
      <c r="AY127" t="s">
        <v>74</v>
      </c>
      <c r="AZ127" t="s">
        <v>74</v>
      </c>
      <c r="BA127" t="s">
        <v>74</v>
      </c>
      <c r="BB127">
        <v>173</v>
      </c>
      <c r="BC127">
        <v>190</v>
      </c>
      <c r="BD127" t="s">
        <v>74</v>
      </c>
      <c r="BE127" t="s">
        <v>2777</v>
      </c>
      <c r="BF127" t="str">
        <f>HYPERLINK("http://dx.doi.org/10.1016/j.lithos.2013.12.012","http://dx.doi.org/10.1016/j.lithos.2013.12.012")</f>
        <v>http://dx.doi.org/10.1016/j.lithos.2013.12.012</v>
      </c>
      <c r="BG127" t="s">
        <v>74</v>
      </c>
      <c r="BH127" t="s">
        <v>74</v>
      </c>
      <c r="BI127">
        <v>18</v>
      </c>
      <c r="BJ127" t="s">
        <v>2778</v>
      </c>
      <c r="BK127" t="s">
        <v>101</v>
      </c>
      <c r="BL127" t="s">
        <v>2778</v>
      </c>
      <c r="BM127" t="s">
        <v>2779</v>
      </c>
      <c r="BN127" t="s">
        <v>74</v>
      </c>
      <c r="BO127" t="s">
        <v>74</v>
      </c>
      <c r="BP127" t="s">
        <v>74</v>
      </c>
      <c r="BQ127" t="s">
        <v>74</v>
      </c>
      <c r="BR127" t="s">
        <v>104</v>
      </c>
      <c r="BS127" t="s">
        <v>2780</v>
      </c>
      <c r="BT127" t="str">
        <f>HYPERLINK("https%3A%2F%2Fwww.webofscience.com%2Fwos%2Fwoscc%2Ffull-record%2FWOS:000333782300012","View Full Record in Web of Science")</f>
        <v>View Full Record in Web of Science</v>
      </c>
    </row>
    <row r="128" spans="1:72" x14ac:dyDescent="0.15">
      <c r="A128" t="s">
        <v>72</v>
      </c>
      <c r="B128" t="s">
        <v>2781</v>
      </c>
      <c r="C128" t="s">
        <v>74</v>
      </c>
      <c r="D128" t="s">
        <v>74</v>
      </c>
      <c r="E128" t="s">
        <v>74</v>
      </c>
      <c r="F128" t="s">
        <v>2782</v>
      </c>
      <c r="G128" t="s">
        <v>74</v>
      </c>
      <c r="H128" t="s">
        <v>74</v>
      </c>
      <c r="I128" t="s">
        <v>2783</v>
      </c>
      <c r="J128" t="s">
        <v>2784</v>
      </c>
      <c r="K128" t="s">
        <v>74</v>
      </c>
      <c r="L128" t="s">
        <v>74</v>
      </c>
      <c r="M128" t="s">
        <v>78</v>
      </c>
      <c r="N128" t="s">
        <v>79</v>
      </c>
      <c r="O128" t="s">
        <v>74</v>
      </c>
      <c r="P128" t="s">
        <v>74</v>
      </c>
      <c r="Q128" t="s">
        <v>74</v>
      </c>
      <c r="R128" t="s">
        <v>74</v>
      </c>
      <c r="S128" t="s">
        <v>74</v>
      </c>
      <c r="T128" t="s">
        <v>2785</v>
      </c>
      <c r="U128" t="s">
        <v>2786</v>
      </c>
      <c r="V128" t="s">
        <v>2787</v>
      </c>
      <c r="W128" t="s">
        <v>2788</v>
      </c>
      <c r="X128" t="s">
        <v>2789</v>
      </c>
      <c r="Y128" t="s">
        <v>2790</v>
      </c>
      <c r="Z128" t="s">
        <v>2791</v>
      </c>
      <c r="AA128" t="s">
        <v>74</v>
      </c>
      <c r="AB128" t="s">
        <v>74</v>
      </c>
      <c r="AC128" t="s">
        <v>2792</v>
      </c>
      <c r="AD128" t="s">
        <v>2793</v>
      </c>
      <c r="AE128" t="s">
        <v>2794</v>
      </c>
      <c r="AF128" t="s">
        <v>74</v>
      </c>
      <c r="AG128">
        <v>52</v>
      </c>
      <c r="AH128">
        <v>8</v>
      </c>
      <c r="AI128">
        <v>9</v>
      </c>
      <c r="AJ128">
        <v>1</v>
      </c>
      <c r="AK128">
        <v>22</v>
      </c>
      <c r="AL128" t="s">
        <v>2795</v>
      </c>
      <c r="AM128" t="s">
        <v>2796</v>
      </c>
      <c r="AN128" t="s">
        <v>2797</v>
      </c>
      <c r="AO128" t="s">
        <v>2798</v>
      </c>
      <c r="AP128" t="s">
        <v>2799</v>
      </c>
      <c r="AQ128" t="s">
        <v>74</v>
      </c>
      <c r="AR128" t="s">
        <v>2800</v>
      </c>
      <c r="AS128" t="s">
        <v>2801</v>
      </c>
      <c r="AT128" t="s">
        <v>2376</v>
      </c>
      <c r="AU128">
        <v>2014</v>
      </c>
      <c r="AV128">
        <v>31</v>
      </c>
      <c r="AW128">
        <v>2</v>
      </c>
      <c r="AX128" t="s">
        <v>74</v>
      </c>
      <c r="AY128" t="s">
        <v>74</v>
      </c>
      <c r="AZ128" t="s">
        <v>74</v>
      </c>
      <c r="BA128" t="s">
        <v>74</v>
      </c>
      <c r="BB128">
        <v>468</v>
      </c>
      <c r="BC128">
        <v>479</v>
      </c>
      <c r="BD128" t="s">
        <v>74</v>
      </c>
      <c r="BE128" t="s">
        <v>2802</v>
      </c>
      <c r="BF128" t="str">
        <f>HYPERLINK("http://dx.doi.org/10.1007/s00376-013-2275-0","http://dx.doi.org/10.1007/s00376-013-2275-0")</f>
        <v>http://dx.doi.org/10.1007/s00376-013-2275-0</v>
      </c>
      <c r="BG128" t="s">
        <v>74</v>
      </c>
      <c r="BH128" t="s">
        <v>74</v>
      </c>
      <c r="BI128">
        <v>12</v>
      </c>
      <c r="BJ128" t="s">
        <v>1391</v>
      </c>
      <c r="BK128" t="s">
        <v>101</v>
      </c>
      <c r="BL128" t="s">
        <v>1391</v>
      </c>
      <c r="BM128" t="s">
        <v>2803</v>
      </c>
      <c r="BN128" t="s">
        <v>74</v>
      </c>
      <c r="BO128" t="s">
        <v>74</v>
      </c>
      <c r="BP128" t="s">
        <v>74</v>
      </c>
      <c r="BQ128" t="s">
        <v>74</v>
      </c>
      <c r="BR128" t="s">
        <v>104</v>
      </c>
      <c r="BS128" t="s">
        <v>2804</v>
      </c>
      <c r="BT128" t="str">
        <f>HYPERLINK("https%3A%2F%2Fwww.webofscience.com%2Fwos%2Fwoscc%2Ffull-record%2FWOS:000334180700021","View Full Record in Web of Science")</f>
        <v>View Full Record in Web of Science</v>
      </c>
    </row>
    <row r="129" spans="1:72" x14ac:dyDescent="0.15">
      <c r="A129" t="s">
        <v>72</v>
      </c>
      <c r="B129" t="s">
        <v>2805</v>
      </c>
      <c r="C129" t="s">
        <v>74</v>
      </c>
      <c r="D129" t="s">
        <v>74</v>
      </c>
      <c r="E129" t="s">
        <v>74</v>
      </c>
      <c r="F129" t="s">
        <v>2806</v>
      </c>
      <c r="G129" t="s">
        <v>74</v>
      </c>
      <c r="H129" t="s">
        <v>74</v>
      </c>
      <c r="I129" t="s">
        <v>2807</v>
      </c>
      <c r="J129" t="s">
        <v>2784</v>
      </c>
      <c r="K129" t="s">
        <v>74</v>
      </c>
      <c r="L129" t="s">
        <v>74</v>
      </c>
      <c r="M129" t="s">
        <v>78</v>
      </c>
      <c r="N129" t="s">
        <v>79</v>
      </c>
      <c r="O129" t="s">
        <v>74</v>
      </c>
      <c r="P129" t="s">
        <v>74</v>
      </c>
      <c r="Q129" t="s">
        <v>74</v>
      </c>
      <c r="R129" t="s">
        <v>74</v>
      </c>
      <c r="S129" t="s">
        <v>74</v>
      </c>
      <c r="T129" t="s">
        <v>2808</v>
      </c>
      <c r="U129" t="s">
        <v>2809</v>
      </c>
      <c r="V129" t="s">
        <v>2810</v>
      </c>
      <c r="W129" t="s">
        <v>2811</v>
      </c>
      <c r="X129" t="s">
        <v>2812</v>
      </c>
      <c r="Y129" t="s">
        <v>2813</v>
      </c>
      <c r="Z129" t="s">
        <v>2814</v>
      </c>
      <c r="AA129" t="s">
        <v>2815</v>
      </c>
      <c r="AB129" t="s">
        <v>74</v>
      </c>
      <c r="AC129" t="s">
        <v>2816</v>
      </c>
      <c r="AD129" t="s">
        <v>2817</v>
      </c>
      <c r="AE129" t="s">
        <v>2818</v>
      </c>
      <c r="AF129" t="s">
        <v>74</v>
      </c>
      <c r="AG129">
        <v>38</v>
      </c>
      <c r="AH129">
        <v>4</v>
      </c>
      <c r="AI129">
        <v>4</v>
      </c>
      <c r="AJ129">
        <v>0</v>
      </c>
      <c r="AK129">
        <v>9</v>
      </c>
      <c r="AL129" t="s">
        <v>2795</v>
      </c>
      <c r="AM129" t="s">
        <v>2796</v>
      </c>
      <c r="AN129" t="s">
        <v>2797</v>
      </c>
      <c r="AO129" t="s">
        <v>2798</v>
      </c>
      <c r="AP129" t="s">
        <v>2799</v>
      </c>
      <c r="AQ129" t="s">
        <v>74</v>
      </c>
      <c r="AR129" t="s">
        <v>2800</v>
      </c>
      <c r="AS129" t="s">
        <v>2801</v>
      </c>
      <c r="AT129" t="s">
        <v>2376</v>
      </c>
      <c r="AU129">
        <v>2014</v>
      </c>
      <c r="AV129">
        <v>31</v>
      </c>
      <c r="AW129">
        <v>2</v>
      </c>
      <c r="AX129" t="s">
        <v>74</v>
      </c>
      <c r="AY129" t="s">
        <v>74</v>
      </c>
      <c r="AZ129" t="s">
        <v>74</v>
      </c>
      <c r="BA129" t="s">
        <v>74</v>
      </c>
      <c r="BB129">
        <v>492</v>
      </c>
      <c r="BC129">
        <v>503</v>
      </c>
      <c r="BD129" t="s">
        <v>74</v>
      </c>
      <c r="BE129" t="s">
        <v>2819</v>
      </c>
      <c r="BF129" t="str">
        <f>HYPERLINK("http://dx.doi.org/10.1007/s00376-013-2322-x","http://dx.doi.org/10.1007/s00376-013-2322-x")</f>
        <v>http://dx.doi.org/10.1007/s00376-013-2322-x</v>
      </c>
      <c r="BG129" t="s">
        <v>74</v>
      </c>
      <c r="BH129" t="s">
        <v>74</v>
      </c>
      <c r="BI129">
        <v>12</v>
      </c>
      <c r="BJ129" t="s">
        <v>1391</v>
      </c>
      <c r="BK129" t="s">
        <v>101</v>
      </c>
      <c r="BL129" t="s">
        <v>1391</v>
      </c>
      <c r="BM129" t="s">
        <v>2803</v>
      </c>
      <c r="BN129" t="s">
        <v>74</v>
      </c>
      <c r="BO129" t="s">
        <v>74</v>
      </c>
      <c r="BP129" t="s">
        <v>74</v>
      </c>
      <c r="BQ129" t="s">
        <v>74</v>
      </c>
      <c r="BR129" t="s">
        <v>104</v>
      </c>
      <c r="BS129" t="s">
        <v>2820</v>
      </c>
      <c r="BT129" t="str">
        <f>HYPERLINK("https%3A%2F%2Fwww.webofscience.com%2Fwos%2Fwoscc%2Ffull-record%2FWOS:000334180700023","View Full Record in Web of Science")</f>
        <v>View Full Record in Web of Science</v>
      </c>
    </row>
    <row r="130" spans="1:72" x14ac:dyDescent="0.15">
      <c r="A130" t="s">
        <v>72</v>
      </c>
      <c r="B130" t="s">
        <v>2821</v>
      </c>
      <c r="C130" t="s">
        <v>74</v>
      </c>
      <c r="D130" t="s">
        <v>74</v>
      </c>
      <c r="E130" t="s">
        <v>74</v>
      </c>
      <c r="F130" t="s">
        <v>2822</v>
      </c>
      <c r="G130" t="s">
        <v>74</v>
      </c>
      <c r="H130" t="s">
        <v>74</v>
      </c>
      <c r="I130" t="s">
        <v>2823</v>
      </c>
      <c r="J130" t="s">
        <v>1353</v>
      </c>
      <c r="K130" t="s">
        <v>74</v>
      </c>
      <c r="L130" t="s">
        <v>74</v>
      </c>
      <c r="M130" t="s">
        <v>78</v>
      </c>
      <c r="N130" t="s">
        <v>933</v>
      </c>
      <c r="O130" t="s">
        <v>74</v>
      </c>
      <c r="P130" t="s">
        <v>74</v>
      </c>
      <c r="Q130" t="s">
        <v>74</v>
      </c>
      <c r="R130" t="s">
        <v>74</v>
      </c>
      <c r="S130" t="s">
        <v>74</v>
      </c>
      <c r="T130" t="s">
        <v>74</v>
      </c>
      <c r="U130" t="s">
        <v>2824</v>
      </c>
      <c r="V130" t="s">
        <v>2825</v>
      </c>
      <c r="W130" t="s">
        <v>2826</v>
      </c>
      <c r="X130" t="s">
        <v>2827</v>
      </c>
      <c r="Y130" t="s">
        <v>2828</v>
      </c>
      <c r="Z130" t="s">
        <v>2829</v>
      </c>
      <c r="AA130" t="s">
        <v>2830</v>
      </c>
      <c r="AB130" t="s">
        <v>2831</v>
      </c>
      <c r="AC130" t="s">
        <v>2832</v>
      </c>
      <c r="AD130" t="s">
        <v>2833</v>
      </c>
      <c r="AE130" t="s">
        <v>2834</v>
      </c>
      <c r="AF130" t="s">
        <v>74</v>
      </c>
      <c r="AG130">
        <v>59</v>
      </c>
      <c r="AH130">
        <v>10</v>
      </c>
      <c r="AI130">
        <v>10</v>
      </c>
      <c r="AJ130">
        <v>2</v>
      </c>
      <c r="AK130">
        <v>15</v>
      </c>
      <c r="AL130" t="s">
        <v>946</v>
      </c>
      <c r="AM130" t="s">
        <v>522</v>
      </c>
      <c r="AN130" t="s">
        <v>947</v>
      </c>
      <c r="AO130" t="s">
        <v>1365</v>
      </c>
      <c r="AP130" t="s">
        <v>74</v>
      </c>
      <c r="AQ130" t="s">
        <v>74</v>
      </c>
      <c r="AR130" t="s">
        <v>1367</v>
      </c>
      <c r="AS130" t="s">
        <v>1368</v>
      </c>
      <c r="AT130" t="s">
        <v>2376</v>
      </c>
      <c r="AU130">
        <v>2014</v>
      </c>
      <c r="AV130">
        <v>122</v>
      </c>
      <c r="AW130" t="s">
        <v>74</v>
      </c>
      <c r="AX130" t="s">
        <v>74</v>
      </c>
      <c r="AY130" t="s">
        <v>74</v>
      </c>
      <c r="AZ130" t="s">
        <v>74</v>
      </c>
      <c r="BA130" t="s">
        <v>74</v>
      </c>
      <c r="BB130">
        <v>77</v>
      </c>
      <c r="BC130">
        <v>91</v>
      </c>
      <c r="BD130" t="s">
        <v>74</v>
      </c>
      <c r="BE130" t="s">
        <v>2835</v>
      </c>
      <c r="BF130" t="str">
        <f>HYPERLINK("http://dx.doi.org/10.1016/j.pocean.2013.12.004","http://dx.doi.org/10.1016/j.pocean.2013.12.004")</f>
        <v>http://dx.doi.org/10.1016/j.pocean.2013.12.004</v>
      </c>
      <c r="BG130" t="s">
        <v>74</v>
      </c>
      <c r="BH130" t="s">
        <v>74</v>
      </c>
      <c r="BI130">
        <v>15</v>
      </c>
      <c r="BJ130" t="s">
        <v>785</v>
      </c>
      <c r="BK130" t="s">
        <v>101</v>
      </c>
      <c r="BL130" t="s">
        <v>785</v>
      </c>
      <c r="BM130" t="s">
        <v>2836</v>
      </c>
      <c r="BN130" t="s">
        <v>74</v>
      </c>
      <c r="BO130" t="s">
        <v>74</v>
      </c>
      <c r="BP130" t="s">
        <v>74</v>
      </c>
      <c r="BQ130" t="s">
        <v>74</v>
      </c>
      <c r="BR130" t="s">
        <v>104</v>
      </c>
      <c r="BS130" t="s">
        <v>2837</v>
      </c>
      <c r="BT130" t="str">
        <f>HYPERLINK("https%3A%2F%2Fwww.webofscience.com%2Fwos%2Fwoscc%2Ffull-record%2FWOS:000334006100006","View Full Record in Web of Science")</f>
        <v>View Full Record in Web of Science</v>
      </c>
    </row>
    <row r="131" spans="1:72" x14ac:dyDescent="0.15">
      <c r="A131" t="s">
        <v>72</v>
      </c>
      <c r="B131" t="s">
        <v>2838</v>
      </c>
      <c r="C131" t="s">
        <v>74</v>
      </c>
      <c r="D131" t="s">
        <v>74</v>
      </c>
      <c r="E131" t="s">
        <v>74</v>
      </c>
      <c r="F131" t="s">
        <v>2839</v>
      </c>
      <c r="G131" t="s">
        <v>74</v>
      </c>
      <c r="H131" t="s">
        <v>74</v>
      </c>
      <c r="I131" t="s">
        <v>2840</v>
      </c>
      <c r="J131" t="s">
        <v>2841</v>
      </c>
      <c r="K131" t="s">
        <v>74</v>
      </c>
      <c r="L131" t="s">
        <v>74</v>
      </c>
      <c r="M131" t="s">
        <v>78</v>
      </c>
      <c r="N131" t="s">
        <v>79</v>
      </c>
      <c r="O131" t="s">
        <v>74</v>
      </c>
      <c r="P131" t="s">
        <v>74</v>
      </c>
      <c r="Q131" t="s">
        <v>74</v>
      </c>
      <c r="R131" t="s">
        <v>74</v>
      </c>
      <c r="S131" t="s">
        <v>74</v>
      </c>
      <c r="T131" t="s">
        <v>2842</v>
      </c>
      <c r="U131" t="s">
        <v>2843</v>
      </c>
      <c r="V131" t="s">
        <v>2844</v>
      </c>
      <c r="W131" t="s">
        <v>2845</v>
      </c>
      <c r="X131" t="s">
        <v>2846</v>
      </c>
      <c r="Y131" t="s">
        <v>2847</v>
      </c>
      <c r="Z131" t="s">
        <v>2848</v>
      </c>
      <c r="AA131" t="s">
        <v>2849</v>
      </c>
      <c r="AB131" t="s">
        <v>2850</v>
      </c>
      <c r="AC131" t="s">
        <v>2851</v>
      </c>
      <c r="AD131" t="s">
        <v>2852</v>
      </c>
      <c r="AE131" t="s">
        <v>2853</v>
      </c>
      <c r="AF131" t="s">
        <v>74</v>
      </c>
      <c r="AG131">
        <v>27</v>
      </c>
      <c r="AH131">
        <v>23</v>
      </c>
      <c r="AI131">
        <v>27</v>
      </c>
      <c r="AJ131">
        <v>1</v>
      </c>
      <c r="AK131">
        <v>18</v>
      </c>
      <c r="AL131" t="s">
        <v>902</v>
      </c>
      <c r="AM131" t="s">
        <v>653</v>
      </c>
      <c r="AN131" t="s">
        <v>903</v>
      </c>
      <c r="AO131" t="s">
        <v>2854</v>
      </c>
      <c r="AP131" t="s">
        <v>2855</v>
      </c>
      <c r="AQ131" t="s">
        <v>74</v>
      </c>
      <c r="AR131" t="s">
        <v>2856</v>
      </c>
      <c r="AS131" t="s">
        <v>2857</v>
      </c>
      <c r="AT131" t="s">
        <v>2376</v>
      </c>
      <c r="AU131">
        <v>2014</v>
      </c>
      <c r="AV131">
        <v>65</v>
      </c>
      <c r="AW131" t="s">
        <v>74</v>
      </c>
      <c r="AX131" t="s">
        <v>74</v>
      </c>
      <c r="AY131" t="s">
        <v>74</v>
      </c>
      <c r="AZ131" t="s">
        <v>74</v>
      </c>
      <c r="BA131" t="s">
        <v>74</v>
      </c>
      <c r="BB131">
        <v>39</v>
      </c>
      <c r="BC131">
        <v>63</v>
      </c>
      <c r="BD131" t="s">
        <v>74</v>
      </c>
      <c r="BE131" t="s">
        <v>2858</v>
      </c>
      <c r="BF131" t="str">
        <f>HYPERLINK("http://dx.doi.org/10.1016/j.dynatmoce.2013.10.004","http://dx.doi.org/10.1016/j.dynatmoce.2013.10.004")</f>
        <v>http://dx.doi.org/10.1016/j.dynatmoce.2013.10.004</v>
      </c>
      <c r="BG131" t="s">
        <v>74</v>
      </c>
      <c r="BH131" t="s">
        <v>74</v>
      </c>
      <c r="BI131">
        <v>25</v>
      </c>
      <c r="BJ131" t="s">
        <v>2859</v>
      </c>
      <c r="BK131" t="s">
        <v>101</v>
      </c>
      <c r="BL131" t="s">
        <v>2859</v>
      </c>
      <c r="BM131" t="s">
        <v>2860</v>
      </c>
      <c r="BN131" t="s">
        <v>74</v>
      </c>
      <c r="BO131" t="s">
        <v>74</v>
      </c>
      <c r="BP131" t="s">
        <v>74</v>
      </c>
      <c r="BQ131" t="s">
        <v>74</v>
      </c>
      <c r="BR131" t="s">
        <v>104</v>
      </c>
      <c r="BS131" t="s">
        <v>2861</v>
      </c>
      <c r="BT131" t="str">
        <f>HYPERLINK("https%3A%2F%2Fwww.webofscience.com%2Fwos%2Fwoscc%2Ffull-record%2FWOS:000333794000003","View Full Record in Web of Science")</f>
        <v>View Full Record in Web of Science</v>
      </c>
    </row>
    <row r="132" spans="1:72" x14ac:dyDescent="0.15">
      <c r="A132" t="s">
        <v>72</v>
      </c>
      <c r="B132" t="s">
        <v>2862</v>
      </c>
      <c r="C132" t="s">
        <v>74</v>
      </c>
      <c r="D132" t="s">
        <v>74</v>
      </c>
      <c r="E132" t="s">
        <v>74</v>
      </c>
      <c r="F132" t="s">
        <v>2863</v>
      </c>
      <c r="G132" t="s">
        <v>74</v>
      </c>
      <c r="H132" t="s">
        <v>74</v>
      </c>
      <c r="I132" t="s">
        <v>2864</v>
      </c>
      <c r="J132" t="s">
        <v>2865</v>
      </c>
      <c r="K132" t="s">
        <v>74</v>
      </c>
      <c r="L132" t="s">
        <v>74</v>
      </c>
      <c r="M132" t="s">
        <v>78</v>
      </c>
      <c r="N132" t="s">
        <v>79</v>
      </c>
      <c r="O132" t="s">
        <v>74</v>
      </c>
      <c r="P132" t="s">
        <v>74</v>
      </c>
      <c r="Q132" t="s">
        <v>74</v>
      </c>
      <c r="R132" t="s">
        <v>74</v>
      </c>
      <c r="S132" t="s">
        <v>74</v>
      </c>
      <c r="T132" t="s">
        <v>2866</v>
      </c>
      <c r="U132" t="s">
        <v>2867</v>
      </c>
      <c r="V132" t="s">
        <v>2868</v>
      </c>
      <c r="W132" t="s">
        <v>2869</v>
      </c>
      <c r="X132" t="s">
        <v>2870</v>
      </c>
      <c r="Y132" t="s">
        <v>2871</v>
      </c>
      <c r="Z132" t="s">
        <v>2872</v>
      </c>
      <c r="AA132" t="s">
        <v>2873</v>
      </c>
      <c r="AB132" t="s">
        <v>2874</v>
      </c>
      <c r="AC132" t="s">
        <v>74</v>
      </c>
      <c r="AD132" t="s">
        <v>74</v>
      </c>
      <c r="AE132" t="s">
        <v>74</v>
      </c>
      <c r="AF132" t="s">
        <v>74</v>
      </c>
      <c r="AG132">
        <v>71</v>
      </c>
      <c r="AH132">
        <v>19</v>
      </c>
      <c r="AI132">
        <v>20</v>
      </c>
      <c r="AJ132">
        <v>0</v>
      </c>
      <c r="AK132">
        <v>15</v>
      </c>
      <c r="AL132" t="s">
        <v>403</v>
      </c>
      <c r="AM132" t="s">
        <v>404</v>
      </c>
      <c r="AN132" t="s">
        <v>405</v>
      </c>
      <c r="AO132" t="s">
        <v>2875</v>
      </c>
      <c r="AP132" t="s">
        <v>2876</v>
      </c>
      <c r="AQ132" t="s">
        <v>74</v>
      </c>
      <c r="AR132" t="s">
        <v>2877</v>
      </c>
      <c r="AS132" t="s">
        <v>2878</v>
      </c>
      <c r="AT132" t="s">
        <v>2376</v>
      </c>
      <c r="AU132">
        <v>2014</v>
      </c>
      <c r="AV132">
        <v>24</v>
      </c>
      <c r="AW132">
        <v>2</v>
      </c>
      <c r="AX132" t="s">
        <v>74</v>
      </c>
      <c r="AY132" t="s">
        <v>74</v>
      </c>
      <c r="AZ132" t="s">
        <v>660</v>
      </c>
      <c r="BA132" t="s">
        <v>74</v>
      </c>
      <c r="BB132">
        <v>219</v>
      </c>
      <c r="BC132">
        <v>230</v>
      </c>
      <c r="BD132" t="s">
        <v>74</v>
      </c>
      <c r="BE132" t="s">
        <v>2879</v>
      </c>
      <c r="BF132" t="str">
        <f>HYPERLINK("http://dx.doi.org/10.1002/oa.2336","http://dx.doi.org/10.1002/oa.2336")</f>
        <v>http://dx.doi.org/10.1002/oa.2336</v>
      </c>
      <c r="BG132" t="s">
        <v>74</v>
      </c>
      <c r="BH132" t="s">
        <v>74</v>
      </c>
      <c r="BI132">
        <v>12</v>
      </c>
      <c r="BJ132" t="s">
        <v>2880</v>
      </c>
      <c r="BK132" t="s">
        <v>2881</v>
      </c>
      <c r="BL132" t="s">
        <v>2880</v>
      </c>
      <c r="BM132" t="s">
        <v>2882</v>
      </c>
      <c r="BN132" t="s">
        <v>74</v>
      </c>
      <c r="BO132" t="s">
        <v>74</v>
      </c>
      <c r="BP132" t="s">
        <v>74</v>
      </c>
      <c r="BQ132" t="s">
        <v>74</v>
      </c>
      <c r="BR132" t="s">
        <v>104</v>
      </c>
      <c r="BS132" t="s">
        <v>2883</v>
      </c>
      <c r="BT132" t="str">
        <f>HYPERLINK("https%3A%2F%2Fwww.webofscience.com%2Fwos%2Fwoscc%2Ffull-record%2FWOS:000333808300007","View Full Record in Web of Science")</f>
        <v>View Full Record in Web of Science</v>
      </c>
    </row>
    <row r="133" spans="1:72" x14ac:dyDescent="0.15">
      <c r="A133" t="s">
        <v>72</v>
      </c>
      <c r="B133" t="s">
        <v>2884</v>
      </c>
      <c r="C133" t="s">
        <v>74</v>
      </c>
      <c r="D133" t="s">
        <v>74</v>
      </c>
      <c r="E133" t="s">
        <v>74</v>
      </c>
      <c r="F133" t="s">
        <v>2885</v>
      </c>
      <c r="G133" t="s">
        <v>74</v>
      </c>
      <c r="H133" t="s">
        <v>74</v>
      </c>
      <c r="I133" t="s">
        <v>2886</v>
      </c>
      <c r="J133" t="s">
        <v>1185</v>
      </c>
      <c r="K133" t="s">
        <v>74</v>
      </c>
      <c r="L133" t="s">
        <v>74</v>
      </c>
      <c r="M133" t="s">
        <v>78</v>
      </c>
      <c r="N133" t="s">
        <v>79</v>
      </c>
      <c r="O133" t="s">
        <v>74</v>
      </c>
      <c r="P133" t="s">
        <v>74</v>
      </c>
      <c r="Q133" t="s">
        <v>74</v>
      </c>
      <c r="R133" t="s">
        <v>74</v>
      </c>
      <c r="S133" t="s">
        <v>74</v>
      </c>
      <c r="T133" t="s">
        <v>2887</v>
      </c>
      <c r="U133" t="s">
        <v>2888</v>
      </c>
      <c r="V133" t="s">
        <v>2889</v>
      </c>
      <c r="W133" t="s">
        <v>2890</v>
      </c>
      <c r="X133" t="s">
        <v>2891</v>
      </c>
      <c r="Y133" t="s">
        <v>2892</v>
      </c>
      <c r="Z133" t="s">
        <v>2893</v>
      </c>
      <c r="AA133" t="s">
        <v>2894</v>
      </c>
      <c r="AB133" t="s">
        <v>2895</v>
      </c>
      <c r="AC133" t="s">
        <v>2896</v>
      </c>
      <c r="AD133" t="s">
        <v>2897</v>
      </c>
      <c r="AE133" t="s">
        <v>2898</v>
      </c>
      <c r="AF133" t="s">
        <v>74</v>
      </c>
      <c r="AG133">
        <v>56</v>
      </c>
      <c r="AH133">
        <v>23</v>
      </c>
      <c r="AI133">
        <v>28</v>
      </c>
      <c r="AJ133">
        <v>1</v>
      </c>
      <c r="AK133">
        <v>34</v>
      </c>
      <c r="AL133" t="s">
        <v>902</v>
      </c>
      <c r="AM133" t="s">
        <v>653</v>
      </c>
      <c r="AN133" t="s">
        <v>903</v>
      </c>
      <c r="AO133" t="s">
        <v>1197</v>
      </c>
      <c r="AP133" t="s">
        <v>1198</v>
      </c>
      <c r="AQ133" t="s">
        <v>74</v>
      </c>
      <c r="AR133" t="s">
        <v>1199</v>
      </c>
      <c r="AS133" t="s">
        <v>1200</v>
      </c>
      <c r="AT133" t="s">
        <v>2644</v>
      </c>
      <c r="AU133">
        <v>2014</v>
      </c>
      <c r="AV133">
        <v>397</v>
      </c>
      <c r="AW133" t="s">
        <v>74</v>
      </c>
      <c r="AX133" t="s">
        <v>74</v>
      </c>
      <c r="AY133" t="s">
        <v>74</v>
      </c>
      <c r="AZ133" t="s">
        <v>660</v>
      </c>
      <c r="BA133" t="s">
        <v>74</v>
      </c>
      <c r="BB133">
        <v>52</v>
      </c>
      <c r="BC133">
        <v>60</v>
      </c>
      <c r="BD133" t="s">
        <v>74</v>
      </c>
      <c r="BE133" t="s">
        <v>2899</v>
      </c>
      <c r="BF133" t="str">
        <f>HYPERLINK("http://dx.doi.org/10.1016/j.palaeo.2013.05.026","http://dx.doi.org/10.1016/j.palaeo.2013.05.026")</f>
        <v>http://dx.doi.org/10.1016/j.palaeo.2013.05.026</v>
      </c>
      <c r="BG133" t="s">
        <v>74</v>
      </c>
      <c r="BH133" t="s">
        <v>74</v>
      </c>
      <c r="BI133">
        <v>9</v>
      </c>
      <c r="BJ133" t="s">
        <v>1202</v>
      </c>
      <c r="BK133" t="s">
        <v>101</v>
      </c>
      <c r="BL133" t="s">
        <v>1203</v>
      </c>
      <c r="BM133" t="s">
        <v>2900</v>
      </c>
      <c r="BN133" t="s">
        <v>74</v>
      </c>
      <c r="BO133" t="s">
        <v>74</v>
      </c>
      <c r="BP133" t="s">
        <v>74</v>
      </c>
      <c r="BQ133" t="s">
        <v>74</v>
      </c>
      <c r="BR133" t="s">
        <v>104</v>
      </c>
      <c r="BS133" t="s">
        <v>2901</v>
      </c>
      <c r="BT133" t="str">
        <f>HYPERLINK("https%3A%2F%2Fwww.webofscience.com%2Fwos%2Fwoscc%2Ffull-record%2FWOS:000333494800006","View Full Record in Web of Science")</f>
        <v>View Full Record in Web of Science</v>
      </c>
    </row>
    <row r="134" spans="1:72" x14ac:dyDescent="0.15">
      <c r="A134" t="s">
        <v>72</v>
      </c>
      <c r="B134" t="s">
        <v>2902</v>
      </c>
      <c r="C134" t="s">
        <v>74</v>
      </c>
      <c r="D134" t="s">
        <v>74</v>
      </c>
      <c r="E134" t="s">
        <v>74</v>
      </c>
      <c r="F134" t="s">
        <v>2903</v>
      </c>
      <c r="G134" t="s">
        <v>74</v>
      </c>
      <c r="H134" t="s">
        <v>74</v>
      </c>
      <c r="I134" t="s">
        <v>2904</v>
      </c>
      <c r="J134" t="s">
        <v>2905</v>
      </c>
      <c r="K134" t="s">
        <v>74</v>
      </c>
      <c r="L134" t="s">
        <v>74</v>
      </c>
      <c r="M134" t="s">
        <v>78</v>
      </c>
      <c r="N134" t="s">
        <v>79</v>
      </c>
      <c r="O134" t="s">
        <v>74</v>
      </c>
      <c r="P134" t="s">
        <v>74</v>
      </c>
      <c r="Q134" t="s">
        <v>74</v>
      </c>
      <c r="R134" t="s">
        <v>74</v>
      </c>
      <c r="S134" t="s">
        <v>74</v>
      </c>
      <c r="T134" t="s">
        <v>2906</v>
      </c>
      <c r="U134" t="s">
        <v>2907</v>
      </c>
      <c r="V134" t="s">
        <v>2908</v>
      </c>
      <c r="W134" t="s">
        <v>2909</v>
      </c>
      <c r="X134" t="s">
        <v>2910</v>
      </c>
      <c r="Y134" t="s">
        <v>2911</v>
      </c>
      <c r="Z134" t="s">
        <v>2912</v>
      </c>
      <c r="AA134" t="s">
        <v>2913</v>
      </c>
      <c r="AB134" t="s">
        <v>2914</v>
      </c>
      <c r="AC134" t="s">
        <v>2915</v>
      </c>
      <c r="AD134" t="s">
        <v>2916</v>
      </c>
      <c r="AE134" t="s">
        <v>2917</v>
      </c>
      <c r="AF134" t="s">
        <v>74</v>
      </c>
      <c r="AG134">
        <v>43</v>
      </c>
      <c r="AH134">
        <v>17</v>
      </c>
      <c r="AI134">
        <v>22</v>
      </c>
      <c r="AJ134">
        <v>0</v>
      </c>
      <c r="AK134">
        <v>4</v>
      </c>
      <c r="AL134" t="s">
        <v>652</v>
      </c>
      <c r="AM134" t="s">
        <v>653</v>
      </c>
      <c r="AN134" t="s">
        <v>654</v>
      </c>
      <c r="AO134" t="s">
        <v>2918</v>
      </c>
      <c r="AP134" t="s">
        <v>2919</v>
      </c>
      <c r="AQ134" t="s">
        <v>74</v>
      </c>
      <c r="AR134" t="s">
        <v>2920</v>
      </c>
      <c r="AS134" t="s">
        <v>2921</v>
      </c>
      <c r="AT134" t="s">
        <v>2376</v>
      </c>
      <c r="AU134">
        <v>2014</v>
      </c>
      <c r="AV134">
        <v>8</v>
      </c>
      <c r="AW134">
        <v>1</v>
      </c>
      <c r="AX134" t="s">
        <v>74</v>
      </c>
      <c r="AY134" t="s">
        <v>74</v>
      </c>
      <c r="AZ134" t="s">
        <v>74</v>
      </c>
      <c r="BA134" t="s">
        <v>74</v>
      </c>
      <c r="BB134">
        <v>10</v>
      </c>
      <c r="BC134">
        <v>23</v>
      </c>
      <c r="BD134" t="s">
        <v>74</v>
      </c>
      <c r="BE134" t="s">
        <v>2922</v>
      </c>
      <c r="BF134" t="str">
        <f>HYPERLINK("http://dx.doi.org/10.1016/j.polar.2013.12.001","http://dx.doi.org/10.1016/j.polar.2013.12.001")</f>
        <v>http://dx.doi.org/10.1016/j.polar.2013.12.001</v>
      </c>
      <c r="BG134" t="s">
        <v>74</v>
      </c>
      <c r="BH134" t="s">
        <v>74</v>
      </c>
      <c r="BI134">
        <v>14</v>
      </c>
      <c r="BJ134" t="s">
        <v>2923</v>
      </c>
      <c r="BK134" t="s">
        <v>101</v>
      </c>
      <c r="BL134" t="s">
        <v>357</v>
      </c>
      <c r="BM134" t="s">
        <v>2924</v>
      </c>
      <c r="BN134" t="s">
        <v>74</v>
      </c>
      <c r="BO134" t="s">
        <v>1103</v>
      </c>
      <c r="BP134" t="s">
        <v>74</v>
      </c>
      <c r="BQ134" t="s">
        <v>74</v>
      </c>
      <c r="BR134" t="s">
        <v>104</v>
      </c>
      <c r="BS134" t="s">
        <v>2925</v>
      </c>
      <c r="BT134" t="str">
        <f>HYPERLINK("https%3A%2F%2Fwww.webofscience.com%2Fwos%2Fwoscc%2Ffull-record%2FWOS:000333717600002","View Full Record in Web of Science")</f>
        <v>View Full Record in Web of Science</v>
      </c>
    </row>
    <row r="135" spans="1:72" x14ac:dyDescent="0.15">
      <c r="A135" t="s">
        <v>72</v>
      </c>
      <c r="B135" t="s">
        <v>2926</v>
      </c>
      <c r="C135" t="s">
        <v>74</v>
      </c>
      <c r="D135" t="s">
        <v>74</v>
      </c>
      <c r="E135" t="s">
        <v>74</v>
      </c>
      <c r="F135" t="s">
        <v>2927</v>
      </c>
      <c r="G135" t="s">
        <v>74</v>
      </c>
      <c r="H135" t="s">
        <v>74</v>
      </c>
      <c r="I135" t="s">
        <v>2928</v>
      </c>
      <c r="J135" t="s">
        <v>2905</v>
      </c>
      <c r="K135" t="s">
        <v>74</v>
      </c>
      <c r="L135" t="s">
        <v>74</v>
      </c>
      <c r="M135" t="s">
        <v>78</v>
      </c>
      <c r="N135" t="s">
        <v>79</v>
      </c>
      <c r="O135" t="s">
        <v>74</v>
      </c>
      <c r="P135" t="s">
        <v>74</v>
      </c>
      <c r="Q135" t="s">
        <v>74</v>
      </c>
      <c r="R135" t="s">
        <v>74</v>
      </c>
      <c r="S135" t="s">
        <v>74</v>
      </c>
      <c r="T135" t="s">
        <v>2929</v>
      </c>
      <c r="U135" t="s">
        <v>2930</v>
      </c>
      <c r="V135" t="s">
        <v>2931</v>
      </c>
      <c r="W135" t="s">
        <v>2932</v>
      </c>
      <c r="X135" t="s">
        <v>2933</v>
      </c>
      <c r="Y135" t="s">
        <v>2934</v>
      </c>
      <c r="Z135" t="s">
        <v>2935</v>
      </c>
      <c r="AA135" t="s">
        <v>2936</v>
      </c>
      <c r="AB135" t="s">
        <v>2937</v>
      </c>
      <c r="AC135" t="s">
        <v>2938</v>
      </c>
      <c r="AD135" t="s">
        <v>2939</v>
      </c>
      <c r="AE135" t="s">
        <v>2940</v>
      </c>
      <c r="AF135" t="s">
        <v>74</v>
      </c>
      <c r="AG135">
        <v>45</v>
      </c>
      <c r="AH135">
        <v>41</v>
      </c>
      <c r="AI135">
        <v>43</v>
      </c>
      <c r="AJ135">
        <v>0</v>
      </c>
      <c r="AK135">
        <v>41</v>
      </c>
      <c r="AL135" t="s">
        <v>902</v>
      </c>
      <c r="AM135" t="s">
        <v>653</v>
      </c>
      <c r="AN135" t="s">
        <v>903</v>
      </c>
      <c r="AO135" t="s">
        <v>2918</v>
      </c>
      <c r="AP135" t="s">
        <v>2919</v>
      </c>
      <c r="AQ135" t="s">
        <v>74</v>
      </c>
      <c r="AR135" t="s">
        <v>2920</v>
      </c>
      <c r="AS135" t="s">
        <v>2921</v>
      </c>
      <c r="AT135" t="s">
        <v>2376</v>
      </c>
      <c r="AU135">
        <v>2014</v>
      </c>
      <c r="AV135">
        <v>8</v>
      </c>
      <c r="AW135">
        <v>1</v>
      </c>
      <c r="AX135" t="s">
        <v>74</v>
      </c>
      <c r="AY135" t="s">
        <v>74</v>
      </c>
      <c r="AZ135" t="s">
        <v>74</v>
      </c>
      <c r="BA135" t="s">
        <v>74</v>
      </c>
      <c r="BB135">
        <v>40</v>
      </c>
      <c r="BC135">
        <v>52</v>
      </c>
      <c r="BD135" t="s">
        <v>74</v>
      </c>
      <c r="BE135" t="s">
        <v>2941</v>
      </c>
      <c r="BF135" t="str">
        <f>HYPERLINK("http://dx.doi.org/10.1016/j.polar.2014.01.001","http://dx.doi.org/10.1016/j.polar.2014.01.001")</f>
        <v>http://dx.doi.org/10.1016/j.polar.2014.01.001</v>
      </c>
      <c r="BG135" t="s">
        <v>74</v>
      </c>
      <c r="BH135" t="s">
        <v>74</v>
      </c>
      <c r="BI135">
        <v>13</v>
      </c>
      <c r="BJ135" t="s">
        <v>2923</v>
      </c>
      <c r="BK135" t="s">
        <v>101</v>
      </c>
      <c r="BL135" t="s">
        <v>357</v>
      </c>
      <c r="BM135" t="s">
        <v>2924</v>
      </c>
      <c r="BN135" t="s">
        <v>74</v>
      </c>
      <c r="BO135" t="s">
        <v>1244</v>
      </c>
      <c r="BP135" t="s">
        <v>74</v>
      </c>
      <c r="BQ135" t="s">
        <v>74</v>
      </c>
      <c r="BR135" t="s">
        <v>104</v>
      </c>
      <c r="BS135" t="s">
        <v>2942</v>
      </c>
      <c r="BT135" t="str">
        <f>HYPERLINK("https%3A%2F%2Fwww.webofscience.com%2Fwos%2Fwoscc%2Ffull-record%2FWOS:000333717600004","View Full Record in Web of Science")</f>
        <v>View Full Record in Web of Science</v>
      </c>
    </row>
    <row r="136" spans="1:72" x14ac:dyDescent="0.15">
      <c r="A136" t="s">
        <v>72</v>
      </c>
      <c r="B136" t="s">
        <v>2943</v>
      </c>
      <c r="C136" t="s">
        <v>74</v>
      </c>
      <c r="D136" t="s">
        <v>74</v>
      </c>
      <c r="E136" t="s">
        <v>74</v>
      </c>
      <c r="F136" t="s">
        <v>2944</v>
      </c>
      <c r="G136" t="s">
        <v>74</v>
      </c>
      <c r="H136" t="s">
        <v>74</v>
      </c>
      <c r="I136" t="s">
        <v>2945</v>
      </c>
      <c r="J136" t="s">
        <v>2946</v>
      </c>
      <c r="K136" t="s">
        <v>74</v>
      </c>
      <c r="L136" t="s">
        <v>74</v>
      </c>
      <c r="M136" t="s">
        <v>78</v>
      </c>
      <c r="N136" t="s">
        <v>79</v>
      </c>
      <c r="O136" t="s">
        <v>74</v>
      </c>
      <c r="P136" t="s">
        <v>74</v>
      </c>
      <c r="Q136" t="s">
        <v>74</v>
      </c>
      <c r="R136" t="s">
        <v>74</v>
      </c>
      <c r="S136" t="s">
        <v>74</v>
      </c>
      <c r="T136" t="s">
        <v>2947</v>
      </c>
      <c r="U136" t="s">
        <v>2948</v>
      </c>
      <c r="V136" t="s">
        <v>2949</v>
      </c>
      <c r="W136" t="s">
        <v>2950</v>
      </c>
      <c r="X136" t="s">
        <v>2951</v>
      </c>
      <c r="Y136" t="s">
        <v>2952</v>
      </c>
      <c r="Z136" t="s">
        <v>2953</v>
      </c>
      <c r="AA136" t="s">
        <v>2954</v>
      </c>
      <c r="AB136" t="s">
        <v>2955</v>
      </c>
      <c r="AC136" t="s">
        <v>2956</v>
      </c>
      <c r="AD136" t="s">
        <v>2957</v>
      </c>
      <c r="AE136" t="s">
        <v>2958</v>
      </c>
      <c r="AF136" t="s">
        <v>74</v>
      </c>
      <c r="AG136">
        <v>55</v>
      </c>
      <c r="AH136">
        <v>7</v>
      </c>
      <c r="AI136">
        <v>7</v>
      </c>
      <c r="AJ136">
        <v>0</v>
      </c>
      <c r="AK136">
        <v>4</v>
      </c>
      <c r="AL136" t="s">
        <v>323</v>
      </c>
      <c r="AM136" t="s">
        <v>324</v>
      </c>
      <c r="AN136" t="s">
        <v>325</v>
      </c>
      <c r="AO136" t="s">
        <v>2959</v>
      </c>
      <c r="AP136" t="s">
        <v>2960</v>
      </c>
      <c r="AQ136" t="s">
        <v>74</v>
      </c>
      <c r="AR136" t="s">
        <v>2961</v>
      </c>
      <c r="AS136" t="s">
        <v>2962</v>
      </c>
      <c r="AT136" t="s">
        <v>2644</v>
      </c>
      <c r="AU136">
        <v>2014</v>
      </c>
      <c r="AV136">
        <v>126</v>
      </c>
      <c r="AW136">
        <v>937</v>
      </c>
      <c r="AX136" t="s">
        <v>74</v>
      </c>
      <c r="AY136" t="s">
        <v>74</v>
      </c>
      <c r="AZ136" t="s">
        <v>74</v>
      </c>
      <c r="BA136" t="s">
        <v>74</v>
      </c>
      <c r="BB136">
        <v>227</v>
      </c>
      <c r="BC136">
        <v>242</v>
      </c>
      <c r="BD136" t="s">
        <v>74</v>
      </c>
      <c r="BE136" t="s">
        <v>2963</v>
      </c>
      <c r="BF136" t="str">
        <f>HYPERLINK("http://dx.doi.org/10.1086/675684","http://dx.doi.org/10.1086/675684")</f>
        <v>http://dx.doi.org/10.1086/675684</v>
      </c>
      <c r="BG136" t="s">
        <v>74</v>
      </c>
      <c r="BH136" t="s">
        <v>74</v>
      </c>
      <c r="BI136">
        <v>16</v>
      </c>
      <c r="BJ136" t="s">
        <v>332</v>
      </c>
      <c r="BK136" t="s">
        <v>101</v>
      </c>
      <c r="BL136" t="s">
        <v>332</v>
      </c>
      <c r="BM136" t="s">
        <v>2964</v>
      </c>
      <c r="BN136" t="s">
        <v>74</v>
      </c>
      <c r="BO136" t="s">
        <v>1056</v>
      </c>
      <c r="BP136" t="s">
        <v>74</v>
      </c>
      <c r="BQ136" t="s">
        <v>74</v>
      </c>
      <c r="BR136" t="s">
        <v>104</v>
      </c>
      <c r="BS136" t="s">
        <v>2965</v>
      </c>
      <c r="BT136" t="str">
        <f>HYPERLINK("https%3A%2F%2Fwww.webofscience.com%2Fwos%2Fwoscc%2Ffull-record%2FWOS:000333739000003","View Full Record in Web of Science")</f>
        <v>View Full Record in Web of Science</v>
      </c>
    </row>
    <row r="137" spans="1:72" x14ac:dyDescent="0.15">
      <c r="A137" t="s">
        <v>72</v>
      </c>
      <c r="B137" t="s">
        <v>2966</v>
      </c>
      <c r="C137" t="s">
        <v>74</v>
      </c>
      <c r="D137" t="s">
        <v>74</v>
      </c>
      <c r="E137" t="s">
        <v>74</v>
      </c>
      <c r="F137" t="s">
        <v>2967</v>
      </c>
      <c r="G137" t="s">
        <v>74</v>
      </c>
      <c r="H137" t="s">
        <v>74</v>
      </c>
      <c r="I137" t="s">
        <v>2968</v>
      </c>
      <c r="J137" t="s">
        <v>2969</v>
      </c>
      <c r="K137" t="s">
        <v>74</v>
      </c>
      <c r="L137" t="s">
        <v>74</v>
      </c>
      <c r="M137" t="s">
        <v>78</v>
      </c>
      <c r="N137" t="s">
        <v>79</v>
      </c>
      <c r="O137" t="s">
        <v>74</v>
      </c>
      <c r="P137" t="s">
        <v>74</v>
      </c>
      <c r="Q137" t="s">
        <v>74</v>
      </c>
      <c r="R137" t="s">
        <v>74</v>
      </c>
      <c r="S137" t="s">
        <v>74</v>
      </c>
      <c r="T137" t="s">
        <v>2970</v>
      </c>
      <c r="U137" t="s">
        <v>2971</v>
      </c>
      <c r="V137" t="s">
        <v>2972</v>
      </c>
      <c r="W137" t="s">
        <v>2973</v>
      </c>
      <c r="X137" t="s">
        <v>2974</v>
      </c>
      <c r="Y137" t="s">
        <v>2975</v>
      </c>
      <c r="Z137" t="s">
        <v>2976</v>
      </c>
      <c r="AA137" t="s">
        <v>2977</v>
      </c>
      <c r="AB137" t="s">
        <v>2978</v>
      </c>
      <c r="AC137" t="s">
        <v>2979</v>
      </c>
      <c r="AD137" t="s">
        <v>2980</v>
      </c>
      <c r="AE137" t="s">
        <v>2981</v>
      </c>
      <c r="AF137" t="s">
        <v>74</v>
      </c>
      <c r="AG137">
        <v>51</v>
      </c>
      <c r="AH137">
        <v>14</v>
      </c>
      <c r="AI137">
        <v>16</v>
      </c>
      <c r="AJ137">
        <v>2</v>
      </c>
      <c r="AK137">
        <v>36</v>
      </c>
      <c r="AL137" t="s">
        <v>1781</v>
      </c>
      <c r="AM137" t="s">
        <v>92</v>
      </c>
      <c r="AN137" t="s">
        <v>1782</v>
      </c>
      <c r="AO137" t="s">
        <v>2982</v>
      </c>
      <c r="AP137" t="s">
        <v>2983</v>
      </c>
      <c r="AQ137" t="s">
        <v>74</v>
      </c>
      <c r="AR137" t="s">
        <v>2984</v>
      </c>
      <c r="AS137" t="s">
        <v>2985</v>
      </c>
      <c r="AT137" t="s">
        <v>2644</v>
      </c>
      <c r="AU137">
        <v>2014</v>
      </c>
      <c r="AV137">
        <v>138</v>
      </c>
      <c r="AW137" t="s">
        <v>74</v>
      </c>
      <c r="AX137" t="s">
        <v>74</v>
      </c>
      <c r="AY137" t="s">
        <v>74</v>
      </c>
      <c r="AZ137" t="s">
        <v>74</v>
      </c>
      <c r="BA137" t="s">
        <v>74</v>
      </c>
      <c r="BB137">
        <v>139</v>
      </c>
      <c r="BC137">
        <v>151</v>
      </c>
      <c r="BD137" t="s">
        <v>74</v>
      </c>
      <c r="BE137" t="s">
        <v>2986</v>
      </c>
      <c r="BF137" t="str">
        <f>HYPERLINK("http://dx.doi.org/10.1016/j.atmosres.2013.11.006","http://dx.doi.org/10.1016/j.atmosres.2013.11.006")</f>
        <v>http://dx.doi.org/10.1016/j.atmosres.2013.11.006</v>
      </c>
      <c r="BG137" t="s">
        <v>74</v>
      </c>
      <c r="BH137" t="s">
        <v>74</v>
      </c>
      <c r="BI137">
        <v>13</v>
      </c>
      <c r="BJ137" t="s">
        <v>1391</v>
      </c>
      <c r="BK137" t="s">
        <v>101</v>
      </c>
      <c r="BL137" t="s">
        <v>1391</v>
      </c>
      <c r="BM137" t="s">
        <v>2987</v>
      </c>
      <c r="BN137" t="s">
        <v>74</v>
      </c>
      <c r="BO137" t="s">
        <v>74</v>
      </c>
      <c r="BP137" t="s">
        <v>74</v>
      </c>
      <c r="BQ137" t="s">
        <v>74</v>
      </c>
      <c r="BR137" t="s">
        <v>104</v>
      </c>
      <c r="BS137" t="s">
        <v>2988</v>
      </c>
      <c r="BT137" t="str">
        <f>HYPERLINK("https%3A%2F%2Fwww.webofscience.com%2Fwos%2Fwoscc%2Ffull-record%2FWOS:000333504300011","View Full Record in Web of Science")</f>
        <v>View Full Record in Web of Science</v>
      </c>
    </row>
    <row r="138" spans="1:72" x14ac:dyDescent="0.15">
      <c r="A138" t="s">
        <v>72</v>
      </c>
      <c r="B138" t="s">
        <v>2989</v>
      </c>
      <c r="C138" t="s">
        <v>74</v>
      </c>
      <c r="D138" t="s">
        <v>74</v>
      </c>
      <c r="E138" t="s">
        <v>74</v>
      </c>
      <c r="F138" t="s">
        <v>2990</v>
      </c>
      <c r="G138" t="s">
        <v>74</v>
      </c>
      <c r="H138" t="s">
        <v>74</v>
      </c>
      <c r="I138" t="s">
        <v>2991</v>
      </c>
      <c r="J138" t="s">
        <v>2992</v>
      </c>
      <c r="K138" t="s">
        <v>74</v>
      </c>
      <c r="L138" t="s">
        <v>74</v>
      </c>
      <c r="M138" t="s">
        <v>78</v>
      </c>
      <c r="N138" t="s">
        <v>2993</v>
      </c>
      <c r="O138" t="s">
        <v>74</v>
      </c>
      <c r="P138" t="s">
        <v>74</v>
      </c>
      <c r="Q138" t="s">
        <v>74</v>
      </c>
      <c r="R138" t="s">
        <v>74</v>
      </c>
      <c r="S138" t="s">
        <v>74</v>
      </c>
      <c r="T138" t="s">
        <v>74</v>
      </c>
      <c r="U138" t="s">
        <v>74</v>
      </c>
      <c r="V138" t="s">
        <v>74</v>
      </c>
      <c r="W138" t="s">
        <v>2994</v>
      </c>
      <c r="X138" t="s">
        <v>2827</v>
      </c>
      <c r="Y138" t="s">
        <v>2995</v>
      </c>
      <c r="Z138" t="s">
        <v>74</v>
      </c>
      <c r="AA138" t="s">
        <v>74</v>
      </c>
      <c r="AB138" t="s">
        <v>74</v>
      </c>
      <c r="AC138" t="s">
        <v>74</v>
      </c>
      <c r="AD138" t="s">
        <v>74</v>
      </c>
      <c r="AE138" t="s">
        <v>74</v>
      </c>
      <c r="AF138" t="s">
        <v>74</v>
      </c>
      <c r="AG138">
        <v>1</v>
      </c>
      <c r="AH138">
        <v>0</v>
      </c>
      <c r="AI138">
        <v>0</v>
      </c>
      <c r="AJ138">
        <v>0</v>
      </c>
      <c r="AK138">
        <v>2</v>
      </c>
      <c r="AL138" t="s">
        <v>2996</v>
      </c>
      <c r="AM138" t="s">
        <v>404</v>
      </c>
      <c r="AN138" t="s">
        <v>405</v>
      </c>
      <c r="AO138" t="s">
        <v>2997</v>
      </c>
      <c r="AP138" t="s">
        <v>2998</v>
      </c>
      <c r="AQ138" t="s">
        <v>74</v>
      </c>
      <c r="AR138" t="s">
        <v>2999</v>
      </c>
      <c r="AS138" t="s">
        <v>3000</v>
      </c>
      <c r="AT138" t="s">
        <v>2376</v>
      </c>
      <c r="AU138">
        <v>2014</v>
      </c>
      <c r="AV138">
        <v>60</v>
      </c>
      <c r="AW138">
        <v>1</v>
      </c>
      <c r="AX138" t="s">
        <v>74</v>
      </c>
      <c r="AY138" t="s">
        <v>74</v>
      </c>
      <c r="AZ138" t="s">
        <v>74</v>
      </c>
      <c r="BA138" t="s">
        <v>74</v>
      </c>
      <c r="BB138">
        <v>154</v>
      </c>
      <c r="BC138">
        <v>155</v>
      </c>
      <c r="BD138" t="s">
        <v>74</v>
      </c>
      <c r="BE138" t="s">
        <v>74</v>
      </c>
      <c r="BF138" t="s">
        <v>74</v>
      </c>
      <c r="BG138" t="s">
        <v>74</v>
      </c>
      <c r="BH138" t="s">
        <v>74</v>
      </c>
      <c r="BI138">
        <v>2</v>
      </c>
      <c r="BJ138" t="s">
        <v>3001</v>
      </c>
      <c r="BK138" t="s">
        <v>3002</v>
      </c>
      <c r="BL138" t="s">
        <v>3003</v>
      </c>
      <c r="BM138" t="s">
        <v>3004</v>
      </c>
      <c r="BN138" t="s">
        <v>74</v>
      </c>
      <c r="BO138" t="s">
        <v>74</v>
      </c>
      <c r="BP138" t="s">
        <v>74</v>
      </c>
      <c r="BQ138" t="s">
        <v>74</v>
      </c>
      <c r="BR138" t="s">
        <v>104</v>
      </c>
      <c r="BS138" t="s">
        <v>3005</v>
      </c>
      <c r="BT138" t="str">
        <f>HYPERLINK("https%3A%2F%2Fwww.webofscience.com%2Fwos%2Fwoscc%2Ffull-record%2FWOS:000333152400030","View Full Record in Web of Science")</f>
        <v>View Full Record in Web of Science</v>
      </c>
    </row>
    <row r="139" spans="1:72" x14ac:dyDescent="0.15">
      <c r="A139" t="s">
        <v>72</v>
      </c>
      <c r="B139" t="s">
        <v>3006</v>
      </c>
      <c r="C139" t="s">
        <v>74</v>
      </c>
      <c r="D139" t="s">
        <v>74</v>
      </c>
      <c r="E139" t="s">
        <v>74</v>
      </c>
      <c r="F139" t="s">
        <v>3007</v>
      </c>
      <c r="G139" t="s">
        <v>74</v>
      </c>
      <c r="H139" t="s">
        <v>74</v>
      </c>
      <c r="I139" t="s">
        <v>3008</v>
      </c>
      <c r="J139" t="s">
        <v>3009</v>
      </c>
      <c r="K139" t="s">
        <v>74</v>
      </c>
      <c r="L139" t="s">
        <v>74</v>
      </c>
      <c r="M139" t="s">
        <v>78</v>
      </c>
      <c r="N139" t="s">
        <v>79</v>
      </c>
      <c r="O139" t="s">
        <v>74</v>
      </c>
      <c r="P139" t="s">
        <v>74</v>
      </c>
      <c r="Q139" t="s">
        <v>74</v>
      </c>
      <c r="R139" t="s">
        <v>74</v>
      </c>
      <c r="S139" t="s">
        <v>74</v>
      </c>
      <c r="T139" t="s">
        <v>3010</v>
      </c>
      <c r="U139" t="s">
        <v>3011</v>
      </c>
      <c r="V139" t="s">
        <v>3012</v>
      </c>
      <c r="W139" t="s">
        <v>3013</v>
      </c>
      <c r="X139" t="s">
        <v>3014</v>
      </c>
      <c r="Y139" t="s">
        <v>3015</v>
      </c>
      <c r="Z139" t="s">
        <v>3016</v>
      </c>
      <c r="AA139" t="s">
        <v>3017</v>
      </c>
      <c r="AB139" t="s">
        <v>3018</v>
      </c>
      <c r="AC139" t="s">
        <v>3019</v>
      </c>
      <c r="AD139" t="s">
        <v>3020</v>
      </c>
      <c r="AE139" t="s">
        <v>3021</v>
      </c>
      <c r="AF139" t="s">
        <v>74</v>
      </c>
      <c r="AG139">
        <v>29</v>
      </c>
      <c r="AH139">
        <v>6</v>
      </c>
      <c r="AI139">
        <v>9</v>
      </c>
      <c r="AJ139">
        <v>1</v>
      </c>
      <c r="AK139">
        <v>25</v>
      </c>
      <c r="AL139" t="s">
        <v>145</v>
      </c>
      <c r="AM139" t="s">
        <v>146</v>
      </c>
      <c r="AN139" t="s">
        <v>147</v>
      </c>
      <c r="AO139" t="s">
        <v>3022</v>
      </c>
      <c r="AP139" t="s">
        <v>3023</v>
      </c>
      <c r="AQ139" t="s">
        <v>74</v>
      </c>
      <c r="AR139" t="s">
        <v>3024</v>
      </c>
      <c r="AS139" t="s">
        <v>3025</v>
      </c>
      <c r="AT139" t="s">
        <v>2376</v>
      </c>
      <c r="AU139">
        <v>2014</v>
      </c>
      <c r="AV139">
        <v>36</v>
      </c>
      <c r="AW139">
        <v>3</v>
      </c>
      <c r="AX139" t="s">
        <v>74</v>
      </c>
      <c r="AY139" t="s">
        <v>74</v>
      </c>
      <c r="AZ139" t="s">
        <v>74</v>
      </c>
      <c r="BA139" t="s">
        <v>74</v>
      </c>
      <c r="BB139">
        <v>617</v>
      </c>
      <c r="BC139">
        <v>625</v>
      </c>
      <c r="BD139" t="s">
        <v>74</v>
      </c>
      <c r="BE139" t="s">
        <v>3026</v>
      </c>
      <c r="BF139" t="str">
        <f>HYPERLINK("http://dx.doi.org/10.1007/s10529-013-1403-3","http://dx.doi.org/10.1007/s10529-013-1403-3")</f>
        <v>http://dx.doi.org/10.1007/s10529-013-1403-3</v>
      </c>
      <c r="BG139" t="s">
        <v>74</v>
      </c>
      <c r="BH139" t="s">
        <v>74</v>
      </c>
      <c r="BI139">
        <v>9</v>
      </c>
      <c r="BJ139" t="s">
        <v>153</v>
      </c>
      <c r="BK139" t="s">
        <v>101</v>
      </c>
      <c r="BL139" t="s">
        <v>153</v>
      </c>
      <c r="BM139" t="s">
        <v>3027</v>
      </c>
      <c r="BN139">
        <v>24338159</v>
      </c>
      <c r="BO139" t="s">
        <v>74</v>
      </c>
      <c r="BP139" t="s">
        <v>74</v>
      </c>
      <c r="BQ139" t="s">
        <v>74</v>
      </c>
      <c r="BR139" t="s">
        <v>104</v>
      </c>
      <c r="BS139" t="s">
        <v>3028</v>
      </c>
      <c r="BT139" t="str">
        <f>HYPERLINK("https%3A%2F%2Fwww.webofscience.com%2Fwos%2Fwoscc%2Ffull-record%2FWOS:000333349300025","View Full Record in Web of Science")</f>
        <v>View Full Record in Web of Science</v>
      </c>
    </row>
    <row r="140" spans="1:72" x14ac:dyDescent="0.15">
      <c r="A140" t="s">
        <v>72</v>
      </c>
      <c r="B140" t="s">
        <v>3029</v>
      </c>
      <c r="C140" t="s">
        <v>74</v>
      </c>
      <c r="D140" t="s">
        <v>74</v>
      </c>
      <c r="E140" t="s">
        <v>74</v>
      </c>
      <c r="F140" t="s">
        <v>3030</v>
      </c>
      <c r="G140" t="s">
        <v>74</v>
      </c>
      <c r="H140" t="s">
        <v>74</v>
      </c>
      <c r="I140" t="s">
        <v>3031</v>
      </c>
      <c r="J140" t="s">
        <v>3032</v>
      </c>
      <c r="K140" t="s">
        <v>74</v>
      </c>
      <c r="L140" t="s">
        <v>74</v>
      </c>
      <c r="M140" t="s">
        <v>78</v>
      </c>
      <c r="N140" t="s">
        <v>79</v>
      </c>
      <c r="O140" t="s">
        <v>74</v>
      </c>
      <c r="P140" t="s">
        <v>74</v>
      </c>
      <c r="Q140" t="s">
        <v>74</v>
      </c>
      <c r="R140" t="s">
        <v>74</v>
      </c>
      <c r="S140" t="s">
        <v>74</v>
      </c>
      <c r="T140" t="s">
        <v>3033</v>
      </c>
      <c r="U140" t="s">
        <v>3034</v>
      </c>
      <c r="V140" t="s">
        <v>3035</v>
      </c>
      <c r="W140" t="s">
        <v>3036</v>
      </c>
      <c r="X140" t="s">
        <v>3037</v>
      </c>
      <c r="Y140" t="s">
        <v>3038</v>
      </c>
      <c r="Z140" t="s">
        <v>3039</v>
      </c>
      <c r="AA140" t="s">
        <v>3040</v>
      </c>
      <c r="AB140" t="s">
        <v>3041</v>
      </c>
      <c r="AC140" t="s">
        <v>3042</v>
      </c>
      <c r="AD140" t="s">
        <v>3043</v>
      </c>
      <c r="AE140" t="s">
        <v>3044</v>
      </c>
      <c r="AF140" t="s">
        <v>74</v>
      </c>
      <c r="AG140">
        <v>55</v>
      </c>
      <c r="AH140">
        <v>44</v>
      </c>
      <c r="AI140">
        <v>48</v>
      </c>
      <c r="AJ140">
        <v>0</v>
      </c>
      <c r="AK140">
        <v>9</v>
      </c>
      <c r="AL140" t="s">
        <v>145</v>
      </c>
      <c r="AM140" t="s">
        <v>92</v>
      </c>
      <c r="AN140" t="s">
        <v>3045</v>
      </c>
      <c r="AO140" t="s">
        <v>3046</v>
      </c>
      <c r="AP140" t="s">
        <v>3047</v>
      </c>
      <c r="AQ140" t="s">
        <v>74</v>
      </c>
      <c r="AR140" t="s">
        <v>3048</v>
      </c>
      <c r="AS140" t="s">
        <v>3049</v>
      </c>
      <c r="AT140" t="s">
        <v>2376</v>
      </c>
      <c r="AU140">
        <v>2014</v>
      </c>
      <c r="AV140">
        <v>65</v>
      </c>
      <c r="AW140">
        <v>1</v>
      </c>
      <c r="AX140" t="s">
        <v>74</v>
      </c>
      <c r="AY140" t="s">
        <v>74</v>
      </c>
      <c r="AZ140" t="s">
        <v>660</v>
      </c>
      <c r="BA140" t="s">
        <v>74</v>
      </c>
      <c r="BB140">
        <v>167</v>
      </c>
      <c r="BC140">
        <v>182</v>
      </c>
      <c r="BD140" t="s">
        <v>74</v>
      </c>
      <c r="BE140" t="s">
        <v>3050</v>
      </c>
      <c r="BF140" t="str">
        <f>HYPERLINK("http://dx.doi.org/10.1007/s13225-013-0234-9","http://dx.doi.org/10.1007/s13225-013-0234-9")</f>
        <v>http://dx.doi.org/10.1007/s13225-013-0234-9</v>
      </c>
      <c r="BG140" t="s">
        <v>74</v>
      </c>
      <c r="BH140" t="s">
        <v>74</v>
      </c>
      <c r="BI140">
        <v>16</v>
      </c>
      <c r="BJ140" t="s">
        <v>3051</v>
      </c>
      <c r="BK140" t="s">
        <v>101</v>
      </c>
      <c r="BL140" t="s">
        <v>3051</v>
      </c>
      <c r="BM140" t="s">
        <v>3052</v>
      </c>
      <c r="BN140" t="s">
        <v>74</v>
      </c>
      <c r="BO140" t="s">
        <v>74</v>
      </c>
      <c r="BP140" t="s">
        <v>74</v>
      </c>
      <c r="BQ140" t="s">
        <v>74</v>
      </c>
      <c r="BR140" t="s">
        <v>104</v>
      </c>
      <c r="BS140" t="s">
        <v>3053</v>
      </c>
      <c r="BT140" t="str">
        <f>HYPERLINK("https%3A%2F%2Fwww.webofscience.com%2Fwos%2Fwoscc%2Ffull-record%2FWOS:000333258100009","View Full Record in Web of Science")</f>
        <v>View Full Record in Web of Science</v>
      </c>
    </row>
    <row r="141" spans="1:72" x14ac:dyDescent="0.15">
      <c r="A141" t="s">
        <v>72</v>
      </c>
      <c r="B141" t="s">
        <v>3054</v>
      </c>
      <c r="C141" t="s">
        <v>74</v>
      </c>
      <c r="D141" t="s">
        <v>74</v>
      </c>
      <c r="E141" t="s">
        <v>74</v>
      </c>
      <c r="F141" t="s">
        <v>3055</v>
      </c>
      <c r="G141" t="s">
        <v>74</v>
      </c>
      <c r="H141" t="s">
        <v>74</v>
      </c>
      <c r="I141" t="s">
        <v>3056</v>
      </c>
      <c r="J141" t="s">
        <v>616</v>
      </c>
      <c r="K141" t="s">
        <v>74</v>
      </c>
      <c r="L141" t="s">
        <v>74</v>
      </c>
      <c r="M141" t="s">
        <v>78</v>
      </c>
      <c r="N141" t="s">
        <v>79</v>
      </c>
      <c r="O141" t="s">
        <v>74</v>
      </c>
      <c r="P141" t="s">
        <v>74</v>
      </c>
      <c r="Q141" t="s">
        <v>74</v>
      </c>
      <c r="R141" t="s">
        <v>74</v>
      </c>
      <c r="S141" t="s">
        <v>74</v>
      </c>
      <c r="T141" t="s">
        <v>3057</v>
      </c>
      <c r="U141" t="s">
        <v>3058</v>
      </c>
      <c r="V141" t="s">
        <v>3059</v>
      </c>
      <c r="W141" t="s">
        <v>3060</v>
      </c>
      <c r="X141" t="s">
        <v>3061</v>
      </c>
      <c r="Y141" t="s">
        <v>3062</v>
      </c>
      <c r="Z141" t="s">
        <v>3063</v>
      </c>
      <c r="AA141" t="s">
        <v>3064</v>
      </c>
      <c r="AB141" t="s">
        <v>3065</v>
      </c>
      <c r="AC141" t="s">
        <v>74</v>
      </c>
      <c r="AD141" t="s">
        <v>74</v>
      </c>
      <c r="AE141" t="s">
        <v>74</v>
      </c>
      <c r="AF141" t="s">
        <v>74</v>
      </c>
      <c r="AG141">
        <v>39</v>
      </c>
      <c r="AH141">
        <v>25</v>
      </c>
      <c r="AI141">
        <v>30</v>
      </c>
      <c r="AJ141">
        <v>0</v>
      </c>
      <c r="AK141">
        <v>45</v>
      </c>
      <c r="AL141" t="s">
        <v>521</v>
      </c>
      <c r="AM141" t="s">
        <v>522</v>
      </c>
      <c r="AN141" t="s">
        <v>523</v>
      </c>
      <c r="AO141" t="s">
        <v>626</v>
      </c>
      <c r="AP141" t="s">
        <v>627</v>
      </c>
      <c r="AQ141" t="s">
        <v>74</v>
      </c>
      <c r="AR141" t="s">
        <v>628</v>
      </c>
      <c r="AS141" t="s">
        <v>629</v>
      </c>
      <c r="AT141" t="s">
        <v>2376</v>
      </c>
      <c r="AU141">
        <v>2014</v>
      </c>
      <c r="AV141">
        <v>88</v>
      </c>
      <c r="AW141" t="s">
        <v>74</v>
      </c>
      <c r="AX141" t="s">
        <v>74</v>
      </c>
      <c r="AY141" t="s">
        <v>74</v>
      </c>
      <c r="AZ141" t="s">
        <v>74</v>
      </c>
      <c r="BA141" t="s">
        <v>74</v>
      </c>
      <c r="BB141">
        <v>1</v>
      </c>
      <c r="BC141">
        <v>7</v>
      </c>
      <c r="BD141" t="s">
        <v>74</v>
      </c>
      <c r="BE141" t="s">
        <v>3066</v>
      </c>
      <c r="BF141" t="str">
        <f>HYPERLINK("http://dx.doi.org/10.1016/j.ibiod.2013.11.012","http://dx.doi.org/10.1016/j.ibiod.2013.11.012")</f>
        <v>http://dx.doi.org/10.1016/j.ibiod.2013.11.012</v>
      </c>
      <c r="BG141" t="s">
        <v>74</v>
      </c>
      <c r="BH141" t="s">
        <v>74</v>
      </c>
      <c r="BI141">
        <v>7</v>
      </c>
      <c r="BJ141" t="s">
        <v>631</v>
      </c>
      <c r="BK141" t="s">
        <v>101</v>
      </c>
      <c r="BL141" t="s">
        <v>632</v>
      </c>
      <c r="BM141" t="s">
        <v>3067</v>
      </c>
      <c r="BN141" t="s">
        <v>74</v>
      </c>
      <c r="BO141" t="s">
        <v>74</v>
      </c>
      <c r="BP141" t="s">
        <v>74</v>
      </c>
      <c r="BQ141" t="s">
        <v>74</v>
      </c>
      <c r="BR141" t="s">
        <v>104</v>
      </c>
      <c r="BS141" t="s">
        <v>3068</v>
      </c>
      <c r="BT141" t="str">
        <f>HYPERLINK("https%3A%2F%2Fwww.webofscience.com%2Fwos%2Fwoscc%2Ffull-record%2FWOS:000331922000001","View Full Record in Web of Science")</f>
        <v>View Full Record in Web of Science</v>
      </c>
    </row>
    <row r="142" spans="1:72" x14ac:dyDescent="0.15">
      <c r="A142" t="s">
        <v>72</v>
      </c>
      <c r="B142" t="s">
        <v>3069</v>
      </c>
      <c r="C142" t="s">
        <v>74</v>
      </c>
      <c r="D142" t="s">
        <v>74</v>
      </c>
      <c r="E142" t="s">
        <v>74</v>
      </c>
      <c r="F142" t="s">
        <v>3070</v>
      </c>
      <c r="G142" t="s">
        <v>74</v>
      </c>
      <c r="H142" t="s">
        <v>74</v>
      </c>
      <c r="I142" t="s">
        <v>3071</v>
      </c>
      <c r="J142" t="s">
        <v>3072</v>
      </c>
      <c r="K142" t="s">
        <v>74</v>
      </c>
      <c r="L142" t="s">
        <v>74</v>
      </c>
      <c r="M142" t="s">
        <v>78</v>
      </c>
      <c r="N142" t="s">
        <v>79</v>
      </c>
      <c r="O142" t="s">
        <v>74</v>
      </c>
      <c r="P142" t="s">
        <v>74</v>
      </c>
      <c r="Q142" t="s">
        <v>74</v>
      </c>
      <c r="R142" t="s">
        <v>74</v>
      </c>
      <c r="S142" t="s">
        <v>74</v>
      </c>
      <c r="T142" t="s">
        <v>3073</v>
      </c>
      <c r="U142" t="s">
        <v>74</v>
      </c>
      <c r="V142" t="s">
        <v>3074</v>
      </c>
      <c r="W142" t="s">
        <v>3075</v>
      </c>
      <c r="X142" t="s">
        <v>3076</v>
      </c>
      <c r="Y142" t="s">
        <v>3077</v>
      </c>
      <c r="Z142" t="s">
        <v>3078</v>
      </c>
      <c r="AA142" t="s">
        <v>3079</v>
      </c>
      <c r="AB142" t="s">
        <v>3080</v>
      </c>
      <c r="AC142" t="s">
        <v>74</v>
      </c>
      <c r="AD142" t="s">
        <v>74</v>
      </c>
      <c r="AE142" t="s">
        <v>74</v>
      </c>
      <c r="AF142" t="s">
        <v>74</v>
      </c>
      <c r="AG142">
        <v>49</v>
      </c>
      <c r="AH142">
        <v>11</v>
      </c>
      <c r="AI142">
        <v>12</v>
      </c>
      <c r="AJ142">
        <v>1</v>
      </c>
      <c r="AK142">
        <v>25</v>
      </c>
      <c r="AL142" t="s">
        <v>946</v>
      </c>
      <c r="AM142" t="s">
        <v>522</v>
      </c>
      <c r="AN142" t="s">
        <v>947</v>
      </c>
      <c r="AO142" t="s">
        <v>3081</v>
      </c>
      <c r="AP142" t="s">
        <v>74</v>
      </c>
      <c r="AQ142" t="s">
        <v>74</v>
      </c>
      <c r="AR142" t="s">
        <v>3082</v>
      </c>
      <c r="AS142" t="s">
        <v>3083</v>
      </c>
      <c r="AT142" t="s">
        <v>2376</v>
      </c>
      <c r="AU142">
        <v>2014</v>
      </c>
      <c r="AV142">
        <v>45</v>
      </c>
      <c r="AW142" t="s">
        <v>74</v>
      </c>
      <c r="AX142" t="s">
        <v>74</v>
      </c>
      <c r="AY142" t="s">
        <v>74</v>
      </c>
      <c r="AZ142" t="s">
        <v>74</v>
      </c>
      <c r="BA142" t="s">
        <v>74</v>
      </c>
      <c r="BB142">
        <v>102</v>
      </c>
      <c r="BC142">
        <v>115</v>
      </c>
      <c r="BD142" t="s">
        <v>74</v>
      </c>
      <c r="BE142" t="s">
        <v>3084</v>
      </c>
      <c r="BF142" t="str">
        <f>HYPERLINK("http://dx.doi.org/10.1016/j.annals.2013.12.002","http://dx.doi.org/10.1016/j.annals.2013.12.002")</f>
        <v>http://dx.doi.org/10.1016/j.annals.2013.12.002</v>
      </c>
      <c r="BG142" t="s">
        <v>74</v>
      </c>
      <c r="BH142" t="s">
        <v>74</v>
      </c>
      <c r="BI142">
        <v>14</v>
      </c>
      <c r="BJ142" t="s">
        <v>3085</v>
      </c>
      <c r="BK142" t="s">
        <v>2881</v>
      </c>
      <c r="BL142" t="s">
        <v>3086</v>
      </c>
      <c r="BM142" t="s">
        <v>3087</v>
      </c>
      <c r="BN142" t="s">
        <v>74</v>
      </c>
      <c r="BO142" t="s">
        <v>74</v>
      </c>
      <c r="BP142" t="s">
        <v>74</v>
      </c>
      <c r="BQ142" t="s">
        <v>74</v>
      </c>
      <c r="BR142" t="s">
        <v>104</v>
      </c>
      <c r="BS142" t="s">
        <v>3088</v>
      </c>
      <c r="BT142" t="str">
        <f>HYPERLINK("https%3A%2F%2Fwww.webofscience.com%2Fwos%2Fwoscc%2Ffull-record%2FWOS:000332807300008","View Full Record in Web of Science")</f>
        <v>View Full Record in Web of Science</v>
      </c>
    </row>
    <row r="143" spans="1:72" x14ac:dyDescent="0.15">
      <c r="A143" t="s">
        <v>72</v>
      </c>
      <c r="B143" t="s">
        <v>3089</v>
      </c>
      <c r="C143" t="s">
        <v>74</v>
      </c>
      <c r="D143" t="s">
        <v>74</v>
      </c>
      <c r="E143" t="s">
        <v>74</v>
      </c>
      <c r="F143" t="s">
        <v>3090</v>
      </c>
      <c r="G143" t="s">
        <v>74</v>
      </c>
      <c r="H143" t="s">
        <v>74</v>
      </c>
      <c r="I143" t="s">
        <v>3091</v>
      </c>
      <c r="J143" t="s">
        <v>2053</v>
      </c>
      <c r="K143" t="s">
        <v>74</v>
      </c>
      <c r="L143" t="s">
        <v>74</v>
      </c>
      <c r="M143" t="s">
        <v>78</v>
      </c>
      <c r="N143" t="s">
        <v>79</v>
      </c>
      <c r="O143" t="s">
        <v>74</v>
      </c>
      <c r="P143" t="s">
        <v>74</v>
      </c>
      <c r="Q143" t="s">
        <v>74</v>
      </c>
      <c r="R143" t="s">
        <v>74</v>
      </c>
      <c r="S143" t="s">
        <v>74</v>
      </c>
      <c r="T143" t="s">
        <v>3092</v>
      </c>
      <c r="U143" t="s">
        <v>3093</v>
      </c>
      <c r="V143" t="s">
        <v>3094</v>
      </c>
      <c r="W143" t="s">
        <v>3095</v>
      </c>
      <c r="X143" t="s">
        <v>3096</v>
      </c>
      <c r="Y143" t="s">
        <v>3097</v>
      </c>
      <c r="Z143" t="s">
        <v>3098</v>
      </c>
      <c r="AA143" t="s">
        <v>3099</v>
      </c>
      <c r="AB143" t="s">
        <v>3100</v>
      </c>
      <c r="AC143" t="s">
        <v>3101</v>
      </c>
      <c r="AD143" t="s">
        <v>3102</v>
      </c>
      <c r="AE143" t="s">
        <v>3103</v>
      </c>
      <c r="AF143" t="s">
        <v>74</v>
      </c>
      <c r="AG143">
        <v>33</v>
      </c>
      <c r="AH143">
        <v>6</v>
      </c>
      <c r="AI143">
        <v>10</v>
      </c>
      <c r="AJ143">
        <v>0</v>
      </c>
      <c r="AK143">
        <v>12</v>
      </c>
      <c r="AL143" t="s">
        <v>652</v>
      </c>
      <c r="AM143" t="s">
        <v>653</v>
      </c>
      <c r="AN143" t="s">
        <v>654</v>
      </c>
      <c r="AO143" t="s">
        <v>2065</v>
      </c>
      <c r="AP143" t="s">
        <v>2066</v>
      </c>
      <c r="AQ143" t="s">
        <v>74</v>
      </c>
      <c r="AR143" t="s">
        <v>2053</v>
      </c>
      <c r="AS143" t="s">
        <v>2067</v>
      </c>
      <c r="AT143" t="s">
        <v>2644</v>
      </c>
      <c r="AU143">
        <v>2014</v>
      </c>
      <c r="AV143">
        <v>208</v>
      </c>
      <c r="AW143" t="s">
        <v>74</v>
      </c>
      <c r="AX143" t="s">
        <v>74</v>
      </c>
      <c r="AY143" t="s">
        <v>74</v>
      </c>
      <c r="AZ143" t="s">
        <v>74</v>
      </c>
      <c r="BA143" t="s">
        <v>74</v>
      </c>
      <c r="BB143">
        <v>200</v>
      </c>
      <c r="BC143">
        <v>206</v>
      </c>
      <c r="BD143" t="s">
        <v>74</v>
      </c>
      <c r="BE143" t="s">
        <v>3104</v>
      </c>
      <c r="BF143" t="str">
        <f>HYPERLINK("http://dx.doi.org/10.1016/j.geomorph.2013.12.005","http://dx.doi.org/10.1016/j.geomorph.2013.12.005")</f>
        <v>http://dx.doi.org/10.1016/j.geomorph.2013.12.005</v>
      </c>
      <c r="BG143" t="s">
        <v>74</v>
      </c>
      <c r="BH143" t="s">
        <v>74</v>
      </c>
      <c r="BI143">
        <v>7</v>
      </c>
      <c r="BJ143" t="s">
        <v>1415</v>
      </c>
      <c r="BK143" t="s">
        <v>101</v>
      </c>
      <c r="BL143" t="s">
        <v>1416</v>
      </c>
      <c r="BM143" t="s">
        <v>3105</v>
      </c>
      <c r="BN143" t="s">
        <v>74</v>
      </c>
      <c r="BO143" t="s">
        <v>74</v>
      </c>
      <c r="BP143" t="s">
        <v>74</v>
      </c>
      <c r="BQ143" t="s">
        <v>74</v>
      </c>
      <c r="BR143" t="s">
        <v>104</v>
      </c>
      <c r="BS143" t="s">
        <v>3106</v>
      </c>
      <c r="BT143" t="str">
        <f>HYPERLINK("https%3A%2F%2Fwww.webofscience.com%2Fwos%2Fwoscc%2Ffull-record%2FWOS:000332501000015","View Full Record in Web of Science")</f>
        <v>View Full Record in Web of Science</v>
      </c>
    </row>
    <row r="144" spans="1:72" x14ac:dyDescent="0.15">
      <c r="A144" t="s">
        <v>72</v>
      </c>
      <c r="B144" t="s">
        <v>3107</v>
      </c>
      <c r="C144" t="s">
        <v>74</v>
      </c>
      <c r="D144" t="s">
        <v>74</v>
      </c>
      <c r="E144" t="s">
        <v>74</v>
      </c>
      <c r="F144" t="s">
        <v>3108</v>
      </c>
      <c r="G144" t="s">
        <v>74</v>
      </c>
      <c r="H144" t="s">
        <v>74</v>
      </c>
      <c r="I144" t="s">
        <v>3109</v>
      </c>
      <c r="J144" t="s">
        <v>3110</v>
      </c>
      <c r="K144" t="s">
        <v>74</v>
      </c>
      <c r="L144" t="s">
        <v>74</v>
      </c>
      <c r="M144" t="s">
        <v>78</v>
      </c>
      <c r="N144" t="s">
        <v>79</v>
      </c>
      <c r="O144" t="s">
        <v>74</v>
      </c>
      <c r="P144" t="s">
        <v>74</v>
      </c>
      <c r="Q144" t="s">
        <v>74</v>
      </c>
      <c r="R144" t="s">
        <v>74</v>
      </c>
      <c r="S144" t="s">
        <v>74</v>
      </c>
      <c r="T144" t="s">
        <v>3111</v>
      </c>
      <c r="U144" t="s">
        <v>3112</v>
      </c>
      <c r="V144" t="s">
        <v>3113</v>
      </c>
      <c r="W144" t="s">
        <v>3114</v>
      </c>
      <c r="X144" t="s">
        <v>3115</v>
      </c>
      <c r="Y144" t="s">
        <v>3116</v>
      </c>
      <c r="Z144" t="s">
        <v>3117</v>
      </c>
      <c r="AA144" t="s">
        <v>3118</v>
      </c>
      <c r="AB144" t="s">
        <v>3119</v>
      </c>
      <c r="AC144" t="s">
        <v>3120</v>
      </c>
      <c r="AD144" t="s">
        <v>3121</v>
      </c>
      <c r="AE144" t="s">
        <v>3122</v>
      </c>
      <c r="AF144" t="s">
        <v>74</v>
      </c>
      <c r="AG144">
        <v>48</v>
      </c>
      <c r="AH144">
        <v>40</v>
      </c>
      <c r="AI144">
        <v>48</v>
      </c>
      <c r="AJ144">
        <v>0</v>
      </c>
      <c r="AK144">
        <v>31</v>
      </c>
      <c r="AL144" t="s">
        <v>876</v>
      </c>
      <c r="AM144" t="s">
        <v>877</v>
      </c>
      <c r="AN144" t="s">
        <v>878</v>
      </c>
      <c r="AO144" t="s">
        <v>3123</v>
      </c>
      <c r="AP144" t="s">
        <v>3124</v>
      </c>
      <c r="AQ144" t="s">
        <v>74</v>
      </c>
      <c r="AR144" t="s">
        <v>3125</v>
      </c>
      <c r="AS144" t="s">
        <v>3126</v>
      </c>
      <c r="AT144" t="s">
        <v>2376</v>
      </c>
      <c r="AU144">
        <v>2014</v>
      </c>
      <c r="AV144">
        <v>27</v>
      </c>
      <c r="AW144">
        <v>6</v>
      </c>
      <c r="AX144" t="s">
        <v>74</v>
      </c>
      <c r="AY144" t="s">
        <v>74</v>
      </c>
      <c r="AZ144" t="s">
        <v>74</v>
      </c>
      <c r="BA144" t="s">
        <v>74</v>
      </c>
      <c r="BB144">
        <v>2444</v>
      </c>
      <c r="BC144">
        <v>2456</v>
      </c>
      <c r="BD144" t="s">
        <v>74</v>
      </c>
      <c r="BE144" t="s">
        <v>3127</v>
      </c>
      <c r="BF144" t="str">
        <f>HYPERLINK("http://dx.doi.org/10.1175/JCLI-D-13-00411.1","http://dx.doi.org/10.1175/JCLI-D-13-00411.1")</f>
        <v>http://dx.doi.org/10.1175/JCLI-D-13-00411.1</v>
      </c>
      <c r="BG144" t="s">
        <v>74</v>
      </c>
      <c r="BH144" t="s">
        <v>74</v>
      </c>
      <c r="BI144">
        <v>13</v>
      </c>
      <c r="BJ144" t="s">
        <v>1391</v>
      </c>
      <c r="BK144" t="s">
        <v>101</v>
      </c>
      <c r="BL144" t="s">
        <v>1391</v>
      </c>
      <c r="BM144" t="s">
        <v>3128</v>
      </c>
      <c r="BN144" t="s">
        <v>74</v>
      </c>
      <c r="BO144" t="s">
        <v>1056</v>
      </c>
      <c r="BP144" t="s">
        <v>74</v>
      </c>
      <c r="BQ144" t="s">
        <v>74</v>
      </c>
      <c r="BR144" t="s">
        <v>104</v>
      </c>
      <c r="BS144" t="s">
        <v>3129</v>
      </c>
      <c r="BT144" t="str">
        <f>HYPERLINK("https%3A%2F%2Fwww.webofscience.com%2Fwos%2Fwoscc%2Ffull-record%2FWOS:000332684800015","View Full Record in Web of Science")</f>
        <v>View Full Record in Web of Science</v>
      </c>
    </row>
    <row r="145" spans="1:72" x14ac:dyDescent="0.15">
      <c r="A145" t="s">
        <v>72</v>
      </c>
      <c r="B145" t="s">
        <v>3130</v>
      </c>
      <c r="C145" t="s">
        <v>74</v>
      </c>
      <c r="D145" t="s">
        <v>74</v>
      </c>
      <c r="E145" t="s">
        <v>74</v>
      </c>
      <c r="F145" t="s">
        <v>3131</v>
      </c>
      <c r="G145" t="s">
        <v>74</v>
      </c>
      <c r="H145" t="s">
        <v>74</v>
      </c>
      <c r="I145" t="s">
        <v>3132</v>
      </c>
      <c r="J145" t="s">
        <v>3133</v>
      </c>
      <c r="K145" t="s">
        <v>74</v>
      </c>
      <c r="L145" t="s">
        <v>74</v>
      </c>
      <c r="M145" t="s">
        <v>78</v>
      </c>
      <c r="N145" t="s">
        <v>79</v>
      </c>
      <c r="O145" t="s">
        <v>74</v>
      </c>
      <c r="P145" t="s">
        <v>74</v>
      </c>
      <c r="Q145" t="s">
        <v>74</v>
      </c>
      <c r="R145" t="s">
        <v>74</v>
      </c>
      <c r="S145" t="s">
        <v>74</v>
      </c>
      <c r="T145" t="s">
        <v>3134</v>
      </c>
      <c r="U145" t="s">
        <v>3135</v>
      </c>
      <c r="V145" t="s">
        <v>3136</v>
      </c>
      <c r="W145" t="s">
        <v>3137</v>
      </c>
      <c r="X145" t="s">
        <v>3138</v>
      </c>
      <c r="Y145" t="s">
        <v>3139</v>
      </c>
      <c r="Z145" t="s">
        <v>3140</v>
      </c>
      <c r="AA145" t="s">
        <v>3141</v>
      </c>
      <c r="AB145" t="s">
        <v>74</v>
      </c>
      <c r="AC145" t="s">
        <v>3142</v>
      </c>
      <c r="AD145" t="s">
        <v>3143</v>
      </c>
      <c r="AE145" t="s">
        <v>3144</v>
      </c>
      <c r="AF145" t="s">
        <v>74</v>
      </c>
      <c r="AG145">
        <v>62</v>
      </c>
      <c r="AH145">
        <v>77</v>
      </c>
      <c r="AI145">
        <v>85</v>
      </c>
      <c r="AJ145">
        <v>3</v>
      </c>
      <c r="AK145">
        <v>53</v>
      </c>
      <c r="AL145" t="s">
        <v>3145</v>
      </c>
      <c r="AM145" t="s">
        <v>447</v>
      </c>
      <c r="AN145" t="s">
        <v>3146</v>
      </c>
      <c r="AO145" t="s">
        <v>3147</v>
      </c>
      <c r="AP145" t="s">
        <v>3148</v>
      </c>
      <c r="AQ145" t="s">
        <v>74</v>
      </c>
      <c r="AR145" t="s">
        <v>3149</v>
      </c>
      <c r="AS145" t="s">
        <v>3150</v>
      </c>
      <c r="AT145" t="s">
        <v>2376</v>
      </c>
      <c r="AU145">
        <v>2014</v>
      </c>
      <c r="AV145">
        <v>13</v>
      </c>
      <c r="AW145">
        <v>3</v>
      </c>
      <c r="AX145" t="s">
        <v>74</v>
      </c>
      <c r="AY145" t="s">
        <v>74</v>
      </c>
      <c r="AZ145" t="s">
        <v>74</v>
      </c>
      <c r="BA145" t="s">
        <v>74</v>
      </c>
      <c r="BB145">
        <v>1345</v>
      </c>
      <c r="BC145">
        <v>1358</v>
      </c>
      <c r="BD145" t="s">
        <v>74</v>
      </c>
      <c r="BE145" t="s">
        <v>3151</v>
      </c>
      <c r="BF145" t="str">
        <f>HYPERLINK("http://dx.doi.org/10.1021/pr4009223","http://dx.doi.org/10.1021/pr4009223")</f>
        <v>http://dx.doi.org/10.1021/pr4009223</v>
      </c>
      <c r="BG145" t="s">
        <v>74</v>
      </c>
      <c r="BH145" t="s">
        <v>74</v>
      </c>
      <c r="BI145">
        <v>14</v>
      </c>
      <c r="BJ145" t="s">
        <v>3152</v>
      </c>
      <c r="BK145" t="s">
        <v>101</v>
      </c>
      <c r="BL145" t="s">
        <v>3153</v>
      </c>
      <c r="BM145" t="s">
        <v>3154</v>
      </c>
      <c r="BN145">
        <v>24437924</v>
      </c>
      <c r="BO145" t="s">
        <v>74</v>
      </c>
      <c r="BP145" t="s">
        <v>74</v>
      </c>
      <c r="BQ145" t="s">
        <v>74</v>
      </c>
      <c r="BR145" t="s">
        <v>104</v>
      </c>
      <c r="BS145" t="s">
        <v>3155</v>
      </c>
      <c r="BT145" t="str">
        <f>HYPERLINK("https%3A%2F%2Fwww.webofscience.com%2Fwos%2Fwoscc%2Ffull-record%2FWOS:000332756300017","View Full Record in Web of Science")</f>
        <v>View Full Record in Web of Science</v>
      </c>
    </row>
    <row r="146" spans="1:72" x14ac:dyDescent="0.15">
      <c r="A146" t="s">
        <v>72</v>
      </c>
      <c r="B146" t="s">
        <v>3156</v>
      </c>
      <c r="C146" t="s">
        <v>74</v>
      </c>
      <c r="D146" t="s">
        <v>74</v>
      </c>
      <c r="E146" t="s">
        <v>74</v>
      </c>
      <c r="F146" t="s">
        <v>3157</v>
      </c>
      <c r="G146" t="s">
        <v>74</v>
      </c>
      <c r="H146" t="s">
        <v>74</v>
      </c>
      <c r="I146" t="s">
        <v>3158</v>
      </c>
      <c r="J146" t="s">
        <v>3159</v>
      </c>
      <c r="K146" t="s">
        <v>74</v>
      </c>
      <c r="L146" t="s">
        <v>74</v>
      </c>
      <c r="M146" t="s">
        <v>78</v>
      </c>
      <c r="N146" t="s">
        <v>79</v>
      </c>
      <c r="O146" t="s">
        <v>74</v>
      </c>
      <c r="P146" t="s">
        <v>74</v>
      </c>
      <c r="Q146" t="s">
        <v>74</v>
      </c>
      <c r="R146" t="s">
        <v>74</v>
      </c>
      <c r="S146" t="s">
        <v>74</v>
      </c>
      <c r="T146" t="s">
        <v>3160</v>
      </c>
      <c r="U146" t="s">
        <v>3161</v>
      </c>
      <c r="V146" t="s">
        <v>3162</v>
      </c>
      <c r="W146" t="s">
        <v>3163</v>
      </c>
      <c r="X146" t="s">
        <v>3164</v>
      </c>
      <c r="Y146" t="s">
        <v>3165</v>
      </c>
      <c r="Z146" t="s">
        <v>3166</v>
      </c>
      <c r="AA146" t="s">
        <v>3167</v>
      </c>
      <c r="AB146" t="s">
        <v>3168</v>
      </c>
      <c r="AC146" t="s">
        <v>3169</v>
      </c>
      <c r="AD146" t="s">
        <v>3169</v>
      </c>
      <c r="AE146" t="s">
        <v>3170</v>
      </c>
      <c r="AF146" t="s">
        <v>74</v>
      </c>
      <c r="AG146">
        <v>33</v>
      </c>
      <c r="AH146">
        <v>1</v>
      </c>
      <c r="AI146">
        <v>1</v>
      </c>
      <c r="AJ146">
        <v>0</v>
      </c>
      <c r="AK146">
        <v>6</v>
      </c>
      <c r="AL146" t="s">
        <v>91</v>
      </c>
      <c r="AM146" t="s">
        <v>92</v>
      </c>
      <c r="AN146" t="s">
        <v>93</v>
      </c>
      <c r="AO146" t="s">
        <v>3171</v>
      </c>
      <c r="AP146" t="s">
        <v>3172</v>
      </c>
      <c r="AQ146" t="s">
        <v>74</v>
      </c>
      <c r="AR146" t="s">
        <v>3173</v>
      </c>
      <c r="AS146" t="s">
        <v>3174</v>
      </c>
      <c r="AT146" t="s">
        <v>2376</v>
      </c>
      <c r="AU146">
        <v>2014</v>
      </c>
      <c r="AV146">
        <v>94</v>
      </c>
      <c r="AW146">
        <v>2</v>
      </c>
      <c r="AX146" t="s">
        <v>74</v>
      </c>
      <c r="AY146" t="s">
        <v>74</v>
      </c>
      <c r="AZ146" t="s">
        <v>74</v>
      </c>
      <c r="BA146" t="s">
        <v>74</v>
      </c>
      <c r="BB146">
        <v>309</v>
      </c>
      <c r="BC146">
        <v>316</v>
      </c>
      <c r="BD146" t="s">
        <v>74</v>
      </c>
      <c r="BE146" t="s">
        <v>3175</v>
      </c>
      <c r="BF146" t="str">
        <f>HYPERLINK("http://dx.doi.org/10.1017/S0025315413001628","http://dx.doi.org/10.1017/S0025315413001628")</f>
        <v>http://dx.doi.org/10.1017/S0025315413001628</v>
      </c>
      <c r="BG146" t="s">
        <v>74</v>
      </c>
      <c r="BH146" t="s">
        <v>74</v>
      </c>
      <c r="BI146">
        <v>8</v>
      </c>
      <c r="BJ146" t="s">
        <v>1028</v>
      </c>
      <c r="BK146" t="s">
        <v>101</v>
      </c>
      <c r="BL146" t="s">
        <v>1028</v>
      </c>
      <c r="BM146" t="s">
        <v>3176</v>
      </c>
      <c r="BN146" t="s">
        <v>74</v>
      </c>
      <c r="BO146" t="s">
        <v>74</v>
      </c>
      <c r="BP146" t="s">
        <v>74</v>
      </c>
      <c r="BQ146" t="s">
        <v>74</v>
      </c>
      <c r="BR146" t="s">
        <v>104</v>
      </c>
      <c r="BS146" t="s">
        <v>3177</v>
      </c>
      <c r="BT146" t="str">
        <f>HYPERLINK("https%3A%2F%2Fwww.webofscience.com%2Fwos%2Fwoscc%2Ffull-record%2FWOS:000332779800008","View Full Record in Web of Science")</f>
        <v>View Full Record in Web of Science</v>
      </c>
    </row>
    <row r="147" spans="1:72" x14ac:dyDescent="0.15">
      <c r="A147" t="s">
        <v>72</v>
      </c>
      <c r="B147" t="s">
        <v>3178</v>
      </c>
      <c r="C147" t="s">
        <v>74</v>
      </c>
      <c r="D147" t="s">
        <v>74</v>
      </c>
      <c r="E147" t="s">
        <v>74</v>
      </c>
      <c r="F147" t="s">
        <v>3179</v>
      </c>
      <c r="G147" t="s">
        <v>74</v>
      </c>
      <c r="H147" t="s">
        <v>74</v>
      </c>
      <c r="I147" t="s">
        <v>3180</v>
      </c>
      <c r="J147" t="s">
        <v>3181</v>
      </c>
      <c r="K147" t="s">
        <v>74</v>
      </c>
      <c r="L147" t="s">
        <v>74</v>
      </c>
      <c r="M147" t="s">
        <v>78</v>
      </c>
      <c r="N147" t="s">
        <v>79</v>
      </c>
      <c r="O147" t="s">
        <v>74</v>
      </c>
      <c r="P147" t="s">
        <v>74</v>
      </c>
      <c r="Q147" t="s">
        <v>74</v>
      </c>
      <c r="R147" t="s">
        <v>74</v>
      </c>
      <c r="S147" t="s">
        <v>74</v>
      </c>
      <c r="T147" t="s">
        <v>3182</v>
      </c>
      <c r="U147" t="s">
        <v>3183</v>
      </c>
      <c r="V147" t="s">
        <v>3184</v>
      </c>
      <c r="W147" t="s">
        <v>3185</v>
      </c>
      <c r="X147" t="s">
        <v>3186</v>
      </c>
      <c r="Y147" t="s">
        <v>3187</v>
      </c>
      <c r="Z147" t="s">
        <v>3188</v>
      </c>
      <c r="AA147" t="s">
        <v>3189</v>
      </c>
      <c r="AB147" t="s">
        <v>3190</v>
      </c>
      <c r="AC147" t="s">
        <v>3191</v>
      </c>
      <c r="AD147" t="s">
        <v>3191</v>
      </c>
      <c r="AE147" t="s">
        <v>3192</v>
      </c>
      <c r="AF147" t="s">
        <v>74</v>
      </c>
      <c r="AG147">
        <v>205</v>
      </c>
      <c r="AH147">
        <v>18</v>
      </c>
      <c r="AI147">
        <v>23</v>
      </c>
      <c r="AJ147">
        <v>0</v>
      </c>
      <c r="AK147">
        <v>11</v>
      </c>
      <c r="AL147" t="s">
        <v>403</v>
      </c>
      <c r="AM147" t="s">
        <v>404</v>
      </c>
      <c r="AN147" t="s">
        <v>405</v>
      </c>
      <c r="AO147" t="s">
        <v>3193</v>
      </c>
      <c r="AP147" t="s">
        <v>3194</v>
      </c>
      <c r="AQ147" t="s">
        <v>74</v>
      </c>
      <c r="AR147" t="s">
        <v>3181</v>
      </c>
      <c r="AS147" t="s">
        <v>2715</v>
      </c>
      <c r="AT147" t="s">
        <v>2376</v>
      </c>
      <c r="AU147">
        <v>2014</v>
      </c>
      <c r="AV147">
        <v>57</v>
      </c>
      <c r="AW147">
        <v>2</v>
      </c>
      <c r="AX147" t="s">
        <v>74</v>
      </c>
      <c r="AY147" t="s">
        <v>74</v>
      </c>
      <c r="AZ147" t="s">
        <v>74</v>
      </c>
      <c r="BA147" t="s">
        <v>74</v>
      </c>
      <c r="BB147">
        <v>299</v>
      </c>
      <c r="BC147">
        <v>342</v>
      </c>
      <c r="BD147" t="s">
        <v>74</v>
      </c>
      <c r="BE147" t="s">
        <v>3195</v>
      </c>
      <c r="BF147" t="str">
        <f>HYPERLINK("http://dx.doi.org/10.1111/pala.12067","http://dx.doi.org/10.1111/pala.12067")</f>
        <v>http://dx.doi.org/10.1111/pala.12067</v>
      </c>
      <c r="BG147" t="s">
        <v>74</v>
      </c>
      <c r="BH147" t="s">
        <v>74</v>
      </c>
      <c r="BI147">
        <v>44</v>
      </c>
      <c r="BJ147" t="s">
        <v>2715</v>
      </c>
      <c r="BK147" t="s">
        <v>101</v>
      </c>
      <c r="BL147" t="s">
        <v>2715</v>
      </c>
      <c r="BM147" t="s">
        <v>3196</v>
      </c>
      <c r="BN147" t="s">
        <v>74</v>
      </c>
      <c r="BO147" t="s">
        <v>1056</v>
      </c>
      <c r="BP147" t="s">
        <v>74</v>
      </c>
      <c r="BQ147" t="s">
        <v>74</v>
      </c>
      <c r="BR147" t="s">
        <v>104</v>
      </c>
      <c r="BS147" t="s">
        <v>3197</v>
      </c>
      <c r="BT147" t="str">
        <f>HYPERLINK("https%3A%2F%2Fwww.webofscience.com%2Fwos%2Fwoscc%2Ffull-record%2FWOS:000332776600005","View Full Record in Web of Science")</f>
        <v>View Full Record in Web of Science</v>
      </c>
    </row>
    <row r="148" spans="1:72" x14ac:dyDescent="0.15">
      <c r="A148" t="s">
        <v>72</v>
      </c>
      <c r="B148" t="s">
        <v>3198</v>
      </c>
      <c r="C148" t="s">
        <v>74</v>
      </c>
      <c r="D148" t="s">
        <v>74</v>
      </c>
      <c r="E148" t="s">
        <v>74</v>
      </c>
      <c r="F148" t="s">
        <v>3199</v>
      </c>
      <c r="G148" t="s">
        <v>74</v>
      </c>
      <c r="H148" t="s">
        <v>74</v>
      </c>
      <c r="I148" t="s">
        <v>3200</v>
      </c>
      <c r="J148" t="s">
        <v>3201</v>
      </c>
      <c r="K148" t="s">
        <v>74</v>
      </c>
      <c r="L148" t="s">
        <v>74</v>
      </c>
      <c r="M148" t="s">
        <v>78</v>
      </c>
      <c r="N148" t="s">
        <v>79</v>
      </c>
      <c r="O148" t="s">
        <v>74</v>
      </c>
      <c r="P148" t="s">
        <v>74</v>
      </c>
      <c r="Q148" t="s">
        <v>74</v>
      </c>
      <c r="R148" t="s">
        <v>74</v>
      </c>
      <c r="S148" t="s">
        <v>74</v>
      </c>
      <c r="T148" t="s">
        <v>3202</v>
      </c>
      <c r="U148" t="s">
        <v>3203</v>
      </c>
      <c r="V148" t="s">
        <v>3204</v>
      </c>
      <c r="W148" t="s">
        <v>3205</v>
      </c>
      <c r="X148" t="s">
        <v>3206</v>
      </c>
      <c r="Y148" t="s">
        <v>3207</v>
      </c>
      <c r="Z148" t="s">
        <v>3208</v>
      </c>
      <c r="AA148" t="s">
        <v>74</v>
      </c>
      <c r="AB148" t="s">
        <v>74</v>
      </c>
      <c r="AC148" t="s">
        <v>3209</v>
      </c>
      <c r="AD148" t="s">
        <v>992</v>
      </c>
      <c r="AE148" t="s">
        <v>3210</v>
      </c>
      <c r="AF148" t="s">
        <v>74</v>
      </c>
      <c r="AG148">
        <v>49</v>
      </c>
      <c r="AH148">
        <v>15</v>
      </c>
      <c r="AI148">
        <v>16</v>
      </c>
      <c r="AJ148">
        <v>1</v>
      </c>
      <c r="AK148">
        <v>25</v>
      </c>
      <c r="AL148" t="s">
        <v>145</v>
      </c>
      <c r="AM148" t="s">
        <v>92</v>
      </c>
      <c r="AN148" t="s">
        <v>472</v>
      </c>
      <c r="AO148" t="s">
        <v>3211</v>
      </c>
      <c r="AP148" t="s">
        <v>3212</v>
      </c>
      <c r="AQ148" t="s">
        <v>74</v>
      </c>
      <c r="AR148" t="s">
        <v>3213</v>
      </c>
      <c r="AS148" t="s">
        <v>3214</v>
      </c>
      <c r="AT148" t="s">
        <v>2376</v>
      </c>
      <c r="AU148">
        <v>2014</v>
      </c>
      <c r="AV148">
        <v>58</v>
      </c>
      <c r="AW148">
        <v>2</v>
      </c>
      <c r="AX148" t="s">
        <v>74</v>
      </c>
      <c r="AY148" t="s">
        <v>74</v>
      </c>
      <c r="AZ148" t="s">
        <v>660</v>
      </c>
      <c r="BA148" t="s">
        <v>74</v>
      </c>
      <c r="BB148">
        <v>263</v>
      </c>
      <c r="BC148">
        <v>275</v>
      </c>
      <c r="BD148" t="s">
        <v>74</v>
      </c>
      <c r="BE148" t="s">
        <v>3215</v>
      </c>
      <c r="BF148" t="str">
        <f>HYPERLINK("http://dx.doi.org/10.1007/s00484-013-0636-0","http://dx.doi.org/10.1007/s00484-013-0636-0")</f>
        <v>http://dx.doi.org/10.1007/s00484-013-0636-0</v>
      </c>
      <c r="BG148" t="s">
        <v>74</v>
      </c>
      <c r="BH148" t="s">
        <v>74</v>
      </c>
      <c r="BI148">
        <v>13</v>
      </c>
      <c r="BJ148" t="s">
        <v>3216</v>
      </c>
      <c r="BK148" t="s">
        <v>101</v>
      </c>
      <c r="BL148" t="s">
        <v>3217</v>
      </c>
      <c r="BM148" t="s">
        <v>3218</v>
      </c>
      <c r="BN148">
        <v>23404183</v>
      </c>
      <c r="BO148" t="s">
        <v>270</v>
      </c>
      <c r="BP148" t="s">
        <v>74</v>
      </c>
      <c r="BQ148" t="s">
        <v>74</v>
      </c>
      <c r="BR148" t="s">
        <v>104</v>
      </c>
      <c r="BS148" t="s">
        <v>3219</v>
      </c>
      <c r="BT148" t="str">
        <f>HYPERLINK("https%3A%2F%2Fwww.webofscience.com%2Fwos%2Fwoscc%2Ffull-record%2FWOS:000332324000016","View Full Record in Web of Science")</f>
        <v>View Full Record in Web of Science</v>
      </c>
    </row>
    <row r="149" spans="1:72" x14ac:dyDescent="0.15">
      <c r="A149" t="s">
        <v>72</v>
      </c>
      <c r="B149" t="s">
        <v>3220</v>
      </c>
      <c r="C149" t="s">
        <v>74</v>
      </c>
      <c r="D149" t="s">
        <v>74</v>
      </c>
      <c r="E149" t="s">
        <v>74</v>
      </c>
      <c r="F149" t="s">
        <v>3221</v>
      </c>
      <c r="G149" t="s">
        <v>74</v>
      </c>
      <c r="H149" t="s">
        <v>74</v>
      </c>
      <c r="I149" t="s">
        <v>3222</v>
      </c>
      <c r="J149" t="s">
        <v>3223</v>
      </c>
      <c r="K149" t="s">
        <v>74</v>
      </c>
      <c r="L149" t="s">
        <v>74</v>
      </c>
      <c r="M149" t="s">
        <v>78</v>
      </c>
      <c r="N149" t="s">
        <v>79</v>
      </c>
      <c r="O149" t="s">
        <v>74</v>
      </c>
      <c r="P149" t="s">
        <v>74</v>
      </c>
      <c r="Q149" t="s">
        <v>74</v>
      </c>
      <c r="R149" t="s">
        <v>74</v>
      </c>
      <c r="S149" t="s">
        <v>74</v>
      </c>
      <c r="T149" t="s">
        <v>3224</v>
      </c>
      <c r="U149" t="s">
        <v>3225</v>
      </c>
      <c r="V149" t="s">
        <v>3226</v>
      </c>
      <c r="W149" t="s">
        <v>3227</v>
      </c>
      <c r="X149" t="s">
        <v>3228</v>
      </c>
      <c r="Y149" t="s">
        <v>3229</v>
      </c>
      <c r="Z149" t="s">
        <v>3230</v>
      </c>
      <c r="AA149" t="s">
        <v>3231</v>
      </c>
      <c r="AB149" t="s">
        <v>3232</v>
      </c>
      <c r="AC149" t="s">
        <v>3233</v>
      </c>
      <c r="AD149" t="s">
        <v>3234</v>
      </c>
      <c r="AE149" t="s">
        <v>3235</v>
      </c>
      <c r="AF149" t="s">
        <v>74</v>
      </c>
      <c r="AG149">
        <v>30</v>
      </c>
      <c r="AH149">
        <v>7</v>
      </c>
      <c r="AI149">
        <v>7</v>
      </c>
      <c r="AJ149">
        <v>0</v>
      </c>
      <c r="AK149">
        <v>12</v>
      </c>
      <c r="AL149" t="s">
        <v>946</v>
      </c>
      <c r="AM149" t="s">
        <v>522</v>
      </c>
      <c r="AN149" t="s">
        <v>947</v>
      </c>
      <c r="AO149" t="s">
        <v>3236</v>
      </c>
      <c r="AP149" t="s">
        <v>3237</v>
      </c>
      <c r="AQ149" t="s">
        <v>74</v>
      </c>
      <c r="AR149" t="s">
        <v>3238</v>
      </c>
      <c r="AS149" t="s">
        <v>3239</v>
      </c>
      <c r="AT149" t="s">
        <v>2376</v>
      </c>
      <c r="AU149">
        <v>2014</v>
      </c>
      <c r="AV149">
        <v>109</v>
      </c>
      <c r="AW149" t="s">
        <v>74</v>
      </c>
      <c r="AX149" t="s">
        <v>74</v>
      </c>
      <c r="AY149" t="s">
        <v>74</v>
      </c>
      <c r="AZ149" t="s">
        <v>74</v>
      </c>
      <c r="BA149" t="s">
        <v>74</v>
      </c>
      <c r="BB149">
        <v>37</v>
      </c>
      <c r="BC149">
        <v>42</v>
      </c>
      <c r="BD149" t="s">
        <v>74</v>
      </c>
      <c r="BE149" t="s">
        <v>3240</v>
      </c>
      <c r="BF149" t="str">
        <f>HYPERLINK("http://dx.doi.org/10.1016/j.jastp.2013.12.017","http://dx.doi.org/10.1016/j.jastp.2013.12.017")</f>
        <v>http://dx.doi.org/10.1016/j.jastp.2013.12.017</v>
      </c>
      <c r="BG149" t="s">
        <v>74</v>
      </c>
      <c r="BH149" t="s">
        <v>74</v>
      </c>
      <c r="BI149">
        <v>6</v>
      </c>
      <c r="BJ149" t="s">
        <v>3241</v>
      </c>
      <c r="BK149" t="s">
        <v>101</v>
      </c>
      <c r="BL149" t="s">
        <v>3241</v>
      </c>
      <c r="BM149" t="s">
        <v>3242</v>
      </c>
      <c r="BN149" t="s">
        <v>74</v>
      </c>
      <c r="BO149" t="s">
        <v>74</v>
      </c>
      <c r="BP149" t="s">
        <v>74</v>
      </c>
      <c r="BQ149" t="s">
        <v>74</v>
      </c>
      <c r="BR149" t="s">
        <v>104</v>
      </c>
      <c r="BS149" t="s">
        <v>3243</v>
      </c>
      <c r="BT149" t="str">
        <f>HYPERLINK("https%3A%2F%2Fwww.webofscience.com%2Fwos%2Fwoscc%2Ffull-record%2FWOS:000332435900006","View Full Record in Web of Science")</f>
        <v>View Full Record in Web of Science</v>
      </c>
    </row>
    <row r="150" spans="1:72" x14ac:dyDescent="0.15">
      <c r="A150" t="s">
        <v>72</v>
      </c>
      <c r="B150" t="s">
        <v>3244</v>
      </c>
      <c r="C150" t="s">
        <v>74</v>
      </c>
      <c r="D150" t="s">
        <v>74</v>
      </c>
      <c r="E150" t="s">
        <v>74</v>
      </c>
      <c r="F150" t="s">
        <v>3245</v>
      </c>
      <c r="G150" t="s">
        <v>74</v>
      </c>
      <c r="H150" t="s">
        <v>74</v>
      </c>
      <c r="I150" t="s">
        <v>3246</v>
      </c>
      <c r="J150" t="s">
        <v>3247</v>
      </c>
      <c r="K150" t="s">
        <v>74</v>
      </c>
      <c r="L150" t="s">
        <v>74</v>
      </c>
      <c r="M150" t="s">
        <v>78</v>
      </c>
      <c r="N150" t="s">
        <v>79</v>
      </c>
      <c r="O150" t="s">
        <v>74</v>
      </c>
      <c r="P150" t="s">
        <v>74</v>
      </c>
      <c r="Q150" t="s">
        <v>74</v>
      </c>
      <c r="R150" t="s">
        <v>74</v>
      </c>
      <c r="S150" t="s">
        <v>74</v>
      </c>
      <c r="T150" t="s">
        <v>74</v>
      </c>
      <c r="U150" t="s">
        <v>3248</v>
      </c>
      <c r="V150" t="s">
        <v>3249</v>
      </c>
      <c r="W150" t="s">
        <v>3250</v>
      </c>
      <c r="X150" t="s">
        <v>3251</v>
      </c>
      <c r="Y150" t="s">
        <v>3252</v>
      </c>
      <c r="Z150" t="s">
        <v>3253</v>
      </c>
      <c r="AA150" t="s">
        <v>3254</v>
      </c>
      <c r="AB150" t="s">
        <v>74</v>
      </c>
      <c r="AC150" t="s">
        <v>3255</v>
      </c>
      <c r="AD150" t="s">
        <v>3256</v>
      </c>
      <c r="AE150" t="s">
        <v>3257</v>
      </c>
      <c r="AF150" t="s">
        <v>74</v>
      </c>
      <c r="AG150">
        <v>97</v>
      </c>
      <c r="AH150">
        <v>5</v>
      </c>
      <c r="AI150">
        <v>5</v>
      </c>
      <c r="AJ150">
        <v>1</v>
      </c>
      <c r="AK150">
        <v>23</v>
      </c>
      <c r="AL150" t="s">
        <v>3258</v>
      </c>
      <c r="AM150" t="s">
        <v>3259</v>
      </c>
      <c r="AN150" t="s">
        <v>3260</v>
      </c>
      <c r="AO150" t="s">
        <v>3261</v>
      </c>
      <c r="AP150" t="s">
        <v>3262</v>
      </c>
      <c r="AQ150" t="s">
        <v>74</v>
      </c>
      <c r="AR150" t="s">
        <v>3263</v>
      </c>
      <c r="AS150" t="s">
        <v>3264</v>
      </c>
      <c r="AT150" t="s">
        <v>2376</v>
      </c>
      <c r="AU150">
        <v>2014</v>
      </c>
      <c r="AV150">
        <v>49</v>
      </c>
      <c r="AW150">
        <v>2</v>
      </c>
      <c r="AX150" t="s">
        <v>74</v>
      </c>
      <c r="AY150" t="s">
        <v>74</v>
      </c>
      <c r="AZ150" t="s">
        <v>74</v>
      </c>
      <c r="BA150" t="s">
        <v>74</v>
      </c>
      <c r="BB150">
        <v>117</v>
      </c>
      <c r="BC150">
        <v>137</v>
      </c>
      <c r="BD150" t="s">
        <v>74</v>
      </c>
      <c r="BE150" t="s">
        <v>3265</v>
      </c>
      <c r="BF150" t="str">
        <f>HYPERLINK("http://dx.doi.org/10.1134/S0024490214020060","http://dx.doi.org/10.1134/S0024490214020060")</f>
        <v>http://dx.doi.org/10.1134/S0024490214020060</v>
      </c>
      <c r="BG150" t="s">
        <v>74</v>
      </c>
      <c r="BH150" t="s">
        <v>74</v>
      </c>
      <c r="BI150">
        <v>21</v>
      </c>
      <c r="BJ150" t="s">
        <v>3266</v>
      </c>
      <c r="BK150" t="s">
        <v>101</v>
      </c>
      <c r="BL150" t="s">
        <v>3266</v>
      </c>
      <c r="BM150" t="s">
        <v>3267</v>
      </c>
      <c r="BN150" t="s">
        <v>74</v>
      </c>
      <c r="BO150" t="s">
        <v>74</v>
      </c>
      <c r="BP150" t="s">
        <v>74</v>
      </c>
      <c r="BQ150" t="s">
        <v>74</v>
      </c>
      <c r="BR150" t="s">
        <v>104</v>
      </c>
      <c r="BS150" t="s">
        <v>3268</v>
      </c>
      <c r="BT150" t="str">
        <f>HYPERLINK("https%3A%2F%2Fwww.webofscience.com%2Fwos%2Fwoscc%2Ffull-record%2FWOS:000332582400001","View Full Record in Web of Science")</f>
        <v>View Full Record in Web of Science</v>
      </c>
    </row>
    <row r="151" spans="1:72" x14ac:dyDescent="0.15">
      <c r="A151" t="s">
        <v>72</v>
      </c>
      <c r="B151" t="s">
        <v>3269</v>
      </c>
      <c r="C151" t="s">
        <v>74</v>
      </c>
      <c r="D151" t="s">
        <v>74</v>
      </c>
      <c r="E151" t="s">
        <v>74</v>
      </c>
      <c r="F151" t="s">
        <v>3270</v>
      </c>
      <c r="G151" t="s">
        <v>74</v>
      </c>
      <c r="H151" t="s">
        <v>74</v>
      </c>
      <c r="I151" t="s">
        <v>3271</v>
      </c>
      <c r="J151" t="s">
        <v>3247</v>
      </c>
      <c r="K151" t="s">
        <v>74</v>
      </c>
      <c r="L151" t="s">
        <v>74</v>
      </c>
      <c r="M151" t="s">
        <v>78</v>
      </c>
      <c r="N151" t="s">
        <v>79</v>
      </c>
      <c r="O151" t="s">
        <v>74</v>
      </c>
      <c r="P151" t="s">
        <v>74</v>
      </c>
      <c r="Q151" t="s">
        <v>74</v>
      </c>
      <c r="R151" t="s">
        <v>74</v>
      </c>
      <c r="S151" t="s">
        <v>74</v>
      </c>
      <c r="T151" t="s">
        <v>74</v>
      </c>
      <c r="U151" t="s">
        <v>74</v>
      </c>
      <c r="V151" t="s">
        <v>3272</v>
      </c>
      <c r="W151" t="s">
        <v>3273</v>
      </c>
      <c r="X151" t="s">
        <v>3274</v>
      </c>
      <c r="Y151" t="s">
        <v>3275</v>
      </c>
      <c r="Z151" t="s">
        <v>3276</v>
      </c>
      <c r="AA151" t="s">
        <v>3277</v>
      </c>
      <c r="AB151" t="s">
        <v>74</v>
      </c>
      <c r="AC151" t="s">
        <v>3278</v>
      </c>
      <c r="AD151" t="s">
        <v>3279</v>
      </c>
      <c r="AE151" t="s">
        <v>3280</v>
      </c>
      <c r="AF151" t="s">
        <v>74</v>
      </c>
      <c r="AG151">
        <v>16</v>
      </c>
      <c r="AH151">
        <v>3</v>
      </c>
      <c r="AI151">
        <v>3</v>
      </c>
      <c r="AJ151">
        <v>0</v>
      </c>
      <c r="AK151">
        <v>8</v>
      </c>
      <c r="AL151" t="s">
        <v>3258</v>
      </c>
      <c r="AM151" t="s">
        <v>3259</v>
      </c>
      <c r="AN151" t="s">
        <v>3260</v>
      </c>
      <c r="AO151" t="s">
        <v>3261</v>
      </c>
      <c r="AP151" t="s">
        <v>3262</v>
      </c>
      <c r="AQ151" t="s">
        <v>74</v>
      </c>
      <c r="AR151" t="s">
        <v>3263</v>
      </c>
      <c r="AS151" t="s">
        <v>3264</v>
      </c>
      <c r="AT151" t="s">
        <v>2376</v>
      </c>
      <c r="AU151">
        <v>2014</v>
      </c>
      <c r="AV151">
        <v>49</v>
      </c>
      <c r="AW151">
        <v>2</v>
      </c>
      <c r="AX151" t="s">
        <v>74</v>
      </c>
      <c r="AY151" t="s">
        <v>74</v>
      </c>
      <c r="AZ151" t="s">
        <v>74</v>
      </c>
      <c r="BA151" t="s">
        <v>74</v>
      </c>
      <c r="BB151">
        <v>177</v>
      </c>
      <c r="BC151">
        <v>183</v>
      </c>
      <c r="BD151" t="s">
        <v>74</v>
      </c>
      <c r="BE151" t="s">
        <v>3281</v>
      </c>
      <c r="BF151" t="str">
        <f>HYPERLINK("http://dx.doi.org/10.1134/S0024490214020023","http://dx.doi.org/10.1134/S0024490214020023")</f>
        <v>http://dx.doi.org/10.1134/S0024490214020023</v>
      </c>
      <c r="BG151" t="s">
        <v>74</v>
      </c>
      <c r="BH151" t="s">
        <v>74</v>
      </c>
      <c r="BI151">
        <v>7</v>
      </c>
      <c r="BJ151" t="s">
        <v>3266</v>
      </c>
      <c r="BK151" t="s">
        <v>101</v>
      </c>
      <c r="BL151" t="s">
        <v>3266</v>
      </c>
      <c r="BM151" t="s">
        <v>3267</v>
      </c>
      <c r="BN151" t="s">
        <v>74</v>
      </c>
      <c r="BO151" t="s">
        <v>74</v>
      </c>
      <c r="BP151" t="s">
        <v>74</v>
      </c>
      <c r="BQ151" t="s">
        <v>74</v>
      </c>
      <c r="BR151" t="s">
        <v>104</v>
      </c>
      <c r="BS151" t="s">
        <v>3282</v>
      </c>
      <c r="BT151" t="str">
        <f>HYPERLINK("https%3A%2F%2Fwww.webofscience.com%2Fwos%2Fwoscc%2Ffull-record%2FWOS:000332582400004","View Full Record in Web of Science")</f>
        <v>View Full Record in Web of Science</v>
      </c>
    </row>
    <row r="152" spans="1:72" x14ac:dyDescent="0.15">
      <c r="A152" t="s">
        <v>72</v>
      </c>
      <c r="B152" t="s">
        <v>3283</v>
      </c>
      <c r="C152" t="s">
        <v>74</v>
      </c>
      <c r="D152" t="s">
        <v>74</v>
      </c>
      <c r="E152" t="s">
        <v>74</v>
      </c>
      <c r="F152" t="s">
        <v>3284</v>
      </c>
      <c r="G152" t="s">
        <v>74</v>
      </c>
      <c r="H152" t="s">
        <v>74</v>
      </c>
      <c r="I152" t="s">
        <v>3285</v>
      </c>
      <c r="J152" t="s">
        <v>3286</v>
      </c>
      <c r="K152" t="s">
        <v>74</v>
      </c>
      <c r="L152" t="s">
        <v>74</v>
      </c>
      <c r="M152" t="s">
        <v>78</v>
      </c>
      <c r="N152" t="s">
        <v>79</v>
      </c>
      <c r="O152" t="s">
        <v>74</v>
      </c>
      <c r="P152" t="s">
        <v>74</v>
      </c>
      <c r="Q152" t="s">
        <v>74</v>
      </c>
      <c r="R152" t="s">
        <v>74</v>
      </c>
      <c r="S152" t="s">
        <v>74</v>
      </c>
      <c r="T152" t="s">
        <v>3287</v>
      </c>
      <c r="U152" t="s">
        <v>3288</v>
      </c>
      <c r="V152" t="s">
        <v>3289</v>
      </c>
      <c r="W152" t="s">
        <v>3290</v>
      </c>
      <c r="X152" t="s">
        <v>3291</v>
      </c>
      <c r="Y152" t="s">
        <v>3292</v>
      </c>
      <c r="Z152" t="s">
        <v>3293</v>
      </c>
      <c r="AA152" t="s">
        <v>3294</v>
      </c>
      <c r="AB152" t="s">
        <v>74</v>
      </c>
      <c r="AC152" t="s">
        <v>3295</v>
      </c>
      <c r="AD152" t="s">
        <v>3296</v>
      </c>
      <c r="AE152" t="s">
        <v>3297</v>
      </c>
      <c r="AF152" t="s">
        <v>74</v>
      </c>
      <c r="AG152">
        <v>54</v>
      </c>
      <c r="AH152">
        <v>0</v>
      </c>
      <c r="AI152">
        <v>1</v>
      </c>
      <c r="AJ152">
        <v>0</v>
      </c>
      <c r="AK152">
        <v>41</v>
      </c>
      <c r="AL152" t="s">
        <v>2795</v>
      </c>
      <c r="AM152" t="s">
        <v>2796</v>
      </c>
      <c r="AN152" t="s">
        <v>2797</v>
      </c>
      <c r="AO152" t="s">
        <v>3298</v>
      </c>
      <c r="AP152" t="s">
        <v>3299</v>
      </c>
      <c r="AQ152" t="s">
        <v>74</v>
      </c>
      <c r="AR152" t="s">
        <v>3300</v>
      </c>
      <c r="AS152" t="s">
        <v>3301</v>
      </c>
      <c r="AT152" t="s">
        <v>2376</v>
      </c>
      <c r="AU152">
        <v>2014</v>
      </c>
      <c r="AV152">
        <v>57</v>
      </c>
      <c r="AW152">
        <v>3</v>
      </c>
      <c r="AX152" t="s">
        <v>74</v>
      </c>
      <c r="AY152" t="s">
        <v>74</v>
      </c>
      <c r="AZ152" t="s">
        <v>74</v>
      </c>
      <c r="BA152" t="s">
        <v>74</v>
      </c>
      <c r="BB152">
        <v>558</v>
      </c>
      <c r="BC152">
        <v>568</v>
      </c>
      <c r="BD152" t="s">
        <v>74</v>
      </c>
      <c r="BE152" t="s">
        <v>3302</v>
      </c>
      <c r="BF152" t="str">
        <f>HYPERLINK("http://dx.doi.org/10.1007/s11430-013-4765-4","http://dx.doi.org/10.1007/s11430-013-4765-4")</f>
        <v>http://dx.doi.org/10.1007/s11430-013-4765-4</v>
      </c>
      <c r="BG152" t="s">
        <v>74</v>
      </c>
      <c r="BH152" t="s">
        <v>74</v>
      </c>
      <c r="BI152">
        <v>11</v>
      </c>
      <c r="BJ152" t="s">
        <v>952</v>
      </c>
      <c r="BK152" t="s">
        <v>101</v>
      </c>
      <c r="BL152" t="s">
        <v>597</v>
      </c>
      <c r="BM152" t="s">
        <v>3303</v>
      </c>
      <c r="BN152" t="s">
        <v>74</v>
      </c>
      <c r="BO152" t="s">
        <v>74</v>
      </c>
      <c r="BP152" t="s">
        <v>74</v>
      </c>
      <c r="BQ152" t="s">
        <v>74</v>
      </c>
      <c r="BR152" t="s">
        <v>104</v>
      </c>
      <c r="BS152" t="s">
        <v>3304</v>
      </c>
      <c r="BT152" t="str">
        <f>HYPERLINK("https%3A%2F%2Fwww.webofscience.com%2Fwos%2Fwoscc%2Ffull-record%2FWOS:000332662000018","View Full Record in Web of Science")</f>
        <v>View Full Record in Web of Science</v>
      </c>
    </row>
    <row r="153" spans="1:72" x14ac:dyDescent="0.15">
      <c r="A153" t="s">
        <v>72</v>
      </c>
      <c r="B153" t="s">
        <v>3305</v>
      </c>
      <c r="C153" t="s">
        <v>74</v>
      </c>
      <c r="D153" t="s">
        <v>74</v>
      </c>
      <c r="E153" t="s">
        <v>74</v>
      </c>
      <c r="F153" t="s">
        <v>3306</v>
      </c>
      <c r="G153" t="s">
        <v>74</v>
      </c>
      <c r="H153" t="s">
        <v>74</v>
      </c>
      <c r="I153" t="s">
        <v>3307</v>
      </c>
      <c r="J153" t="s">
        <v>3110</v>
      </c>
      <c r="K153" t="s">
        <v>74</v>
      </c>
      <c r="L153" t="s">
        <v>74</v>
      </c>
      <c r="M153" t="s">
        <v>78</v>
      </c>
      <c r="N153" t="s">
        <v>79</v>
      </c>
      <c r="O153" t="s">
        <v>74</v>
      </c>
      <c r="P153" t="s">
        <v>74</v>
      </c>
      <c r="Q153" t="s">
        <v>74</v>
      </c>
      <c r="R153" t="s">
        <v>74</v>
      </c>
      <c r="S153" t="s">
        <v>74</v>
      </c>
      <c r="T153" t="s">
        <v>3308</v>
      </c>
      <c r="U153" t="s">
        <v>3309</v>
      </c>
      <c r="V153" t="s">
        <v>3310</v>
      </c>
      <c r="W153" t="s">
        <v>3311</v>
      </c>
      <c r="X153" t="s">
        <v>3312</v>
      </c>
      <c r="Y153" t="s">
        <v>3313</v>
      </c>
      <c r="Z153" t="s">
        <v>3314</v>
      </c>
      <c r="AA153" t="s">
        <v>3315</v>
      </c>
      <c r="AB153" t="s">
        <v>3316</v>
      </c>
      <c r="AC153" t="s">
        <v>3317</v>
      </c>
      <c r="AD153" t="s">
        <v>3318</v>
      </c>
      <c r="AE153" t="s">
        <v>3319</v>
      </c>
      <c r="AF153" t="s">
        <v>74</v>
      </c>
      <c r="AG153">
        <v>31</v>
      </c>
      <c r="AH153">
        <v>66</v>
      </c>
      <c r="AI153">
        <v>71</v>
      </c>
      <c r="AJ153">
        <v>0</v>
      </c>
      <c r="AK153">
        <v>46</v>
      </c>
      <c r="AL153" t="s">
        <v>876</v>
      </c>
      <c r="AM153" t="s">
        <v>877</v>
      </c>
      <c r="AN153" t="s">
        <v>878</v>
      </c>
      <c r="AO153" t="s">
        <v>3123</v>
      </c>
      <c r="AP153" t="s">
        <v>3124</v>
      </c>
      <c r="AQ153" t="s">
        <v>74</v>
      </c>
      <c r="AR153" t="s">
        <v>3125</v>
      </c>
      <c r="AS153" t="s">
        <v>3126</v>
      </c>
      <c r="AT153" t="s">
        <v>2376</v>
      </c>
      <c r="AU153">
        <v>2014</v>
      </c>
      <c r="AV153">
        <v>27</v>
      </c>
      <c r="AW153">
        <v>5</v>
      </c>
      <c r="AX153" t="s">
        <v>74</v>
      </c>
      <c r="AY153" t="s">
        <v>74</v>
      </c>
      <c r="AZ153" t="s">
        <v>74</v>
      </c>
      <c r="BA153" t="s">
        <v>74</v>
      </c>
      <c r="BB153">
        <v>1999</v>
      </c>
      <c r="BC153">
        <v>2013</v>
      </c>
      <c r="BD153" t="s">
        <v>74</v>
      </c>
      <c r="BE153" t="s">
        <v>3320</v>
      </c>
      <c r="BF153" t="str">
        <f>HYPERLINK("http://dx.doi.org/10.1175/JCLI-D-13-00287.1","http://dx.doi.org/10.1175/JCLI-D-13-00287.1")</f>
        <v>http://dx.doi.org/10.1175/JCLI-D-13-00287.1</v>
      </c>
      <c r="BG153" t="s">
        <v>74</v>
      </c>
      <c r="BH153" t="s">
        <v>74</v>
      </c>
      <c r="BI153">
        <v>15</v>
      </c>
      <c r="BJ153" t="s">
        <v>1391</v>
      </c>
      <c r="BK153" t="s">
        <v>101</v>
      </c>
      <c r="BL153" t="s">
        <v>1391</v>
      </c>
      <c r="BM153" t="s">
        <v>3321</v>
      </c>
      <c r="BN153" t="s">
        <v>74</v>
      </c>
      <c r="BO153" t="s">
        <v>74</v>
      </c>
      <c r="BP153" t="s">
        <v>74</v>
      </c>
      <c r="BQ153" t="s">
        <v>74</v>
      </c>
      <c r="BR153" t="s">
        <v>104</v>
      </c>
      <c r="BS153" t="s">
        <v>3322</v>
      </c>
      <c r="BT153" t="str">
        <f>HYPERLINK("https%3A%2F%2Fwww.webofscience.com%2Fwos%2Fwoscc%2Ffull-record%2FWOS:000331689900007","View Full Record in Web of Science")</f>
        <v>View Full Record in Web of Science</v>
      </c>
    </row>
    <row r="154" spans="1:72" x14ac:dyDescent="0.15">
      <c r="A154" t="s">
        <v>72</v>
      </c>
      <c r="B154" t="s">
        <v>3323</v>
      </c>
      <c r="C154" t="s">
        <v>74</v>
      </c>
      <c r="D154" t="s">
        <v>74</v>
      </c>
      <c r="E154" t="s">
        <v>74</v>
      </c>
      <c r="F154" t="s">
        <v>3324</v>
      </c>
      <c r="G154" t="s">
        <v>74</v>
      </c>
      <c r="H154" t="s">
        <v>74</v>
      </c>
      <c r="I154" t="s">
        <v>3325</v>
      </c>
      <c r="J154" t="s">
        <v>3326</v>
      </c>
      <c r="K154" t="s">
        <v>74</v>
      </c>
      <c r="L154" t="s">
        <v>74</v>
      </c>
      <c r="M154" t="s">
        <v>78</v>
      </c>
      <c r="N154" t="s">
        <v>79</v>
      </c>
      <c r="O154" t="s">
        <v>74</v>
      </c>
      <c r="P154" t="s">
        <v>74</v>
      </c>
      <c r="Q154" t="s">
        <v>74</v>
      </c>
      <c r="R154" t="s">
        <v>74</v>
      </c>
      <c r="S154" t="s">
        <v>74</v>
      </c>
      <c r="T154" t="s">
        <v>3327</v>
      </c>
      <c r="U154" t="s">
        <v>3328</v>
      </c>
      <c r="V154" t="s">
        <v>3329</v>
      </c>
      <c r="W154" t="s">
        <v>3330</v>
      </c>
      <c r="X154" t="s">
        <v>3331</v>
      </c>
      <c r="Y154" t="s">
        <v>3332</v>
      </c>
      <c r="Z154" t="s">
        <v>3333</v>
      </c>
      <c r="AA154" t="s">
        <v>3334</v>
      </c>
      <c r="AB154" t="s">
        <v>3335</v>
      </c>
      <c r="AC154" t="s">
        <v>74</v>
      </c>
      <c r="AD154" t="s">
        <v>74</v>
      </c>
      <c r="AE154" t="s">
        <v>74</v>
      </c>
      <c r="AF154" t="s">
        <v>74</v>
      </c>
      <c r="AG154">
        <v>37</v>
      </c>
      <c r="AH154">
        <v>5</v>
      </c>
      <c r="AI154">
        <v>6</v>
      </c>
      <c r="AJ154">
        <v>0</v>
      </c>
      <c r="AK154">
        <v>16</v>
      </c>
      <c r="AL154" t="s">
        <v>145</v>
      </c>
      <c r="AM154" t="s">
        <v>146</v>
      </c>
      <c r="AN154" t="s">
        <v>147</v>
      </c>
      <c r="AO154" t="s">
        <v>3336</v>
      </c>
      <c r="AP154" t="s">
        <v>3337</v>
      </c>
      <c r="AQ154" t="s">
        <v>74</v>
      </c>
      <c r="AR154" t="s">
        <v>3338</v>
      </c>
      <c r="AS154" t="s">
        <v>3339</v>
      </c>
      <c r="AT154" t="s">
        <v>2376</v>
      </c>
      <c r="AU154">
        <v>2014</v>
      </c>
      <c r="AV154">
        <v>299</v>
      </c>
      <c r="AW154">
        <v>3</v>
      </c>
      <c r="AX154" t="s">
        <v>74</v>
      </c>
      <c r="AY154" t="s">
        <v>74</v>
      </c>
      <c r="AZ154" t="s">
        <v>74</v>
      </c>
      <c r="BA154" t="s">
        <v>74</v>
      </c>
      <c r="BB154">
        <v>1615</v>
      </c>
      <c r="BC154">
        <v>1623</v>
      </c>
      <c r="BD154" t="s">
        <v>74</v>
      </c>
      <c r="BE154" t="s">
        <v>3340</v>
      </c>
      <c r="BF154" t="str">
        <f>HYPERLINK("http://dx.doi.org/10.1007/s10967-013-2851-x","http://dx.doi.org/10.1007/s10967-013-2851-x")</f>
        <v>http://dx.doi.org/10.1007/s10967-013-2851-x</v>
      </c>
      <c r="BG154" t="s">
        <v>74</v>
      </c>
      <c r="BH154" t="s">
        <v>74</v>
      </c>
      <c r="BI154">
        <v>9</v>
      </c>
      <c r="BJ154" t="s">
        <v>3341</v>
      </c>
      <c r="BK154" t="s">
        <v>101</v>
      </c>
      <c r="BL154" t="s">
        <v>3342</v>
      </c>
      <c r="BM154" t="s">
        <v>3343</v>
      </c>
      <c r="BN154" t="s">
        <v>74</v>
      </c>
      <c r="BO154" t="s">
        <v>270</v>
      </c>
      <c r="BP154" t="s">
        <v>74</v>
      </c>
      <c r="BQ154" t="s">
        <v>74</v>
      </c>
      <c r="BR154" t="s">
        <v>104</v>
      </c>
      <c r="BS154" t="s">
        <v>3344</v>
      </c>
      <c r="BT154" t="str">
        <f>HYPERLINK("https%3A%2F%2Fwww.webofscience.com%2Fwos%2Fwoscc%2Ffull-record%2FWOS:000332034400060","View Full Record in Web of Science")</f>
        <v>View Full Record in Web of Science</v>
      </c>
    </row>
    <row r="155" spans="1:72" x14ac:dyDescent="0.15">
      <c r="A155" t="s">
        <v>72</v>
      </c>
      <c r="B155" t="s">
        <v>3345</v>
      </c>
      <c r="C155" t="s">
        <v>74</v>
      </c>
      <c r="D155" t="s">
        <v>74</v>
      </c>
      <c r="E155" t="s">
        <v>74</v>
      </c>
      <c r="F155" t="s">
        <v>3346</v>
      </c>
      <c r="G155" t="s">
        <v>74</v>
      </c>
      <c r="H155" t="s">
        <v>74</v>
      </c>
      <c r="I155" t="s">
        <v>3347</v>
      </c>
      <c r="J155" t="s">
        <v>3348</v>
      </c>
      <c r="K155" t="s">
        <v>74</v>
      </c>
      <c r="L155" t="s">
        <v>74</v>
      </c>
      <c r="M155" t="s">
        <v>78</v>
      </c>
      <c r="N155" t="s">
        <v>79</v>
      </c>
      <c r="O155" t="s">
        <v>74</v>
      </c>
      <c r="P155" t="s">
        <v>74</v>
      </c>
      <c r="Q155" t="s">
        <v>74</v>
      </c>
      <c r="R155" t="s">
        <v>74</v>
      </c>
      <c r="S155" t="s">
        <v>74</v>
      </c>
      <c r="T155" t="s">
        <v>3349</v>
      </c>
      <c r="U155" t="s">
        <v>3350</v>
      </c>
      <c r="V155" t="s">
        <v>3351</v>
      </c>
      <c r="W155" t="s">
        <v>3352</v>
      </c>
      <c r="X155" t="s">
        <v>3353</v>
      </c>
      <c r="Y155" t="s">
        <v>3354</v>
      </c>
      <c r="Z155" t="s">
        <v>3355</v>
      </c>
      <c r="AA155" t="s">
        <v>3356</v>
      </c>
      <c r="AB155" t="s">
        <v>3357</v>
      </c>
      <c r="AC155" t="s">
        <v>74</v>
      </c>
      <c r="AD155" t="s">
        <v>74</v>
      </c>
      <c r="AE155" t="s">
        <v>74</v>
      </c>
      <c r="AF155" t="s">
        <v>74</v>
      </c>
      <c r="AG155">
        <v>25</v>
      </c>
      <c r="AH155">
        <v>5</v>
      </c>
      <c r="AI155">
        <v>5</v>
      </c>
      <c r="AJ155">
        <v>1</v>
      </c>
      <c r="AK155">
        <v>41</v>
      </c>
      <c r="AL155" t="s">
        <v>2996</v>
      </c>
      <c r="AM155" t="s">
        <v>404</v>
      </c>
      <c r="AN155" t="s">
        <v>405</v>
      </c>
      <c r="AO155" t="s">
        <v>3358</v>
      </c>
      <c r="AP155" t="s">
        <v>3359</v>
      </c>
      <c r="AQ155" t="s">
        <v>74</v>
      </c>
      <c r="AR155" t="s">
        <v>3360</v>
      </c>
      <c r="AS155" t="s">
        <v>3361</v>
      </c>
      <c r="AT155" t="s">
        <v>2376</v>
      </c>
      <c r="AU155">
        <v>2014</v>
      </c>
      <c r="AV155">
        <v>25</v>
      </c>
      <c r="AW155">
        <v>2</v>
      </c>
      <c r="AX155" t="s">
        <v>74</v>
      </c>
      <c r="AY155" t="s">
        <v>74</v>
      </c>
      <c r="AZ155" t="s">
        <v>74</v>
      </c>
      <c r="BA155" t="s">
        <v>74</v>
      </c>
      <c r="BB155">
        <v>601</v>
      </c>
      <c r="BC155">
        <v>605</v>
      </c>
      <c r="BD155" t="s">
        <v>74</v>
      </c>
      <c r="BE155" t="s">
        <v>3362</v>
      </c>
      <c r="BF155" t="str">
        <f>HYPERLINK("http://dx.doi.org/10.1111/jvs.12122","http://dx.doi.org/10.1111/jvs.12122")</f>
        <v>http://dx.doi.org/10.1111/jvs.12122</v>
      </c>
      <c r="BG155" t="s">
        <v>74</v>
      </c>
      <c r="BH155" t="s">
        <v>74</v>
      </c>
      <c r="BI155">
        <v>5</v>
      </c>
      <c r="BJ155" t="s">
        <v>3363</v>
      </c>
      <c r="BK155" t="s">
        <v>101</v>
      </c>
      <c r="BL155" t="s">
        <v>3364</v>
      </c>
      <c r="BM155" t="s">
        <v>3365</v>
      </c>
      <c r="BN155" t="s">
        <v>74</v>
      </c>
      <c r="BO155" t="s">
        <v>74</v>
      </c>
      <c r="BP155" t="s">
        <v>74</v>
      </c>
      <c r="BQ155" t="s">
        <v>74</v>
      </c>
      <c r="BR155" t="s">
        <v>104</v>
      </c>
      <c r="BS155" t="s">
        <v>3366</v>
      </c>
      <c r="BT155" t="str">
        <f>HYPERLINK("https%3A%2F%2Fwww.webofscience.com%2Fwos%2Fwoscc%2Ffull-record%2FWOS:000331693300026","View Full Record in Web of Science")</f>
        <v>View Full Record in Web of Science</v>
      </c>
    </row>
    <row r="156" spans="1:72" x14ac:dyDescent="0.15">
      <c r="A156" t="s">
        <v>72</v>
      </c>
      <c r="B156" t="s">
        <v>3367</v>
      </c>
      <c r="C156" t="s">
        <v>74</v>
      </c>
      <c r="D156" t="s">
        <v>74</v>
      </c>
      <c r="E156" t="s">
        <v>74</v>
      </c>
      <c r="F156" t="s">
        <v>3368</v>
      </c>
      <c r="G156" t="s">
        <v>74</v>
      </c>
      <c r="H156" t="s">
        <v>74</v>
      </c>
      <c r="I156" t="s">
        <v>3369</v>
      </c>
      <c r="J156" t="s">
        <v>3348</v>
      </c>
      <c r="K156" t="s">
        <v>74</v>
      </c>
      <c r="L156" t="s">
        <v>74</v>
      </c>
      <c r="M156" t="s">
        <v>78</v>
      </c>
      <c r="N156" t="s">
        <v>79</v>
      </c>
      <c r="O156" t="s">
        <v>74</v>
      </c>
      <c r="P156" t="s">
        <v>74</v>
      </c>
      <c r="Q156" t="s">
        <v>74</v>
      </c>
      <c r="R156" t="s">
        <v>74</v>
      </c>
      <c r="S156" t="s">
        <v>74</v>
      </c>
      <c r="T156" t="s">
        <v>3370</v>
      </c>
      <c r="U156" t="s">
        <v>3371</v>
      </c>
      <c r="V156" t="s">
        <v>3372</v>
      </c>
      <c r="W156" t="s">
        <v>3373</v>
      </c>
      <c r="X156" t="s">
        <v>3374</v>
      </c>
      <c r="Y156" t="s">
        <v>3375</v>
      </c>
      <c r="Z156" t="s">
        <v>3376</v>
      </c>
      <c r="AA156" t="s">
        <v>3377</v>
      </c>
      <c r="AB156" t="s">
        <v>3378</v>
      </c>
      <c r="AC156" t="s">
        <v>74</v>
      </c>
      <c r="AD156" t="s">
        <v>74</v>
      </c>
      <c r="AE156" t="s">
        <v>74</v>
      </c>
      <c r="AF156" t="s">
        <v>74</v>
      </c>
      <c r="AG156">
        <v>20</v>
      </c>
      <c r="AH156">
        <v>3</v>
      </c>
      <c r="AI156">
        <v>3</v>
      </c>
      <c r="AJ156">
        <v>1</v>
      </c>
      <c r="AK156">
        <v>18</v>
      </c>
      <c r="AL156" t="s">
        <v>403</v>
      </c>
      <c r="AM156" t="s">
        <v>404</v>
      </c>
      <c r="AN156" t="s">
        <v>405</v>
      </c>
      <c r="AO156" t="s">
        <v>3358</v>
      </c>
      <c r="AP156" t="s">
        <v>3359</v>
      </c>
      <c r="AQ156" t="s">
        <v>74</v>
      </c>
      <c r="AR156" t="s">
        <v>3360</v>
      </c>
      <c r="AS156" t="s">
        <v>3361</v>
      </c>
      <c r="AT156" t="s">
        <v>2376</v>
      </c>
      <c r="AU156">
        <v>2014</v>
      </c>
      <c r="AV156">
        <v>25</v>
      </c>
      <c r="AW156">
        <v>2</v>
      </c>
      <c r="AX156" t="s">
        <v>74</v>
      </c>
      <c r="AY156" t="s">
        <v>74</v>
      </c>
      <c r="AZ156" t="s">
        <v>74</v>
      </c>
      <c r="BA156" t="s">
        <v>74</v>
      </c>
      <c r="BB156">
        <v>606</v>
      </c>
      <c r="BC156">
        <v>608</v>
      </c>
      <c r="BD156" t="s">
        <v>74</v>
      </c>
      <c r="BE156" t="s">
        <v>3379</v>
      </c>
      <c r="BF156" t="str">
        <f>HYPERLINK("http://dx.doi.org/10.1111/jvs.12141","http://dx.doi.org/10.1111/jvs.12141")</f>
        <v>http://dx.doi.org/10.1111/jvs.12141</v>
      </c>
      <c r="BG156" t="s">
        <v>74</v>
      </c>
      <c r="BH156" t="s">
        <v>74</v>
      </c>
      <c r="BI156">
        <v>3</v>
      </c>
      <c r="BJ156" t="s">
        <v>3363</v>
      </c>
      <c r="BK156" t="s">
        <v>101</v>
      </c>
      <c r="BL156" t="s">
        <v>3364</v>
      </c>
      <c r="BM156" t="s">
        <v>3365</v>
      </c>
      <c r="BN156" t="s">
        <v>74</v>
      </c>
      <c r="BO156" t="s">
        <v>200</v>
      </c>
      <c r="BP156" t="s">
        <v>74</v>
      </c>
      <c r="BQ156" t="s">
        <v>74</v>
      </c>
      <c r="BR156" t="s">
        <v>104</v>
      </c>
      <c r="BS156" t="s">
        <v>3380</v>
      </c>
      <c r="BT156" t="str">
        <f>HYPERLINK("https%3A%2F%2Fwww.webofscience.com%2Fwos%2Fwoscc%2Ffull-record%2FWOS:000331693300027","View Full Record in Web of Science")</f>
        <v>View Full Record in Web of Science</v>
      </c>
    </row>
    <row r="157" spans="1:72" x14ac:dyDescent="0.15">
      <c r="A157" t="s">
        <v>72</v>
      </c>
      <c r="B157" t="s">
        <v>3381</v>
      </c>
      <c r="C157" t="s">
        <v>74</v>
      </c>
      <c r="D157" t="s">
        <v>74</v>
      </c>
      <c r="E157" t="s">
        <v>74</v>
      </c>
      <c r="F157" t="s">
        <v>3382</v>
      </c>
      <c r="G157" t="s">
        <v>74</v>
      </c>
      <c r="H157" t="s">
        <v>74</v>
      </c>
      <c r="I157" t="s">
        <v>3383</v>
      </c>
      <c r="J157" t="s">
        <v>3384</v>
      </c>
      <c r="K157" t="s">
        <v>74</v>
      </c>
      <c r="L157" t="s">
        <v>74</v>
      </c>
      <c r="M157" t="s">
        <v>78</v>
      </c>
      <c r="N157" t="s">
        <v>79</v>
      </c>
      <c r="O157" t="s">
        <v>74</v>
      </c>
      <c r="P157" t="s">
        <v>74</v>
      </c>
      <c r="Q157" t="s">
        <v>74</v>
      </c>
      <c r="R157" t="s">
        <v>74</v>
      </c>
      <c r="S157" t="s">
        <v>74</v>
      </c>
      <c r="T157" t="s">
        <v>3385</v>
      </c>
      <c r="U157" t="s">
        <v>74</v>
      </c>
      <c r="V157" t="s">
        <v>3386</v>
      </c>
      <c r="W157" t="s">
        <v>3387</v>
      </c>
      <c r="X157" t="s">
        <v>3388</v>
      </c>
      <c r="Y157" t="s">
        <v>3389</v>
      </c>
      <c r="Z157" t="s">
        <v>3390</v>
      </c>
      <c r="AA157" t="s">
        <v>74</v>
      </c>
      <c r="AB157" t="s">
        <v>74</v>
      </c>
      <c r="AC157" t="s">
        <v>74</v>
      </c>
      <c r="AD157" t="s">
        <v>74</v>
      </c>
      <c r="AE157" t="s">
        <v>74</v>
      </c>
      <c r="AF157" t="s">
        <v>74</v>
      </c>
      <c r="AG157">
        <v>8</v>
      </c>
      <c r="AH157">
        <v>9</v>
      </c>
      <c r="AI157">
        <v>9</v>
      </c>
      <c r="AJ157">
        <v>3</v>
      </c>
      <c r="AK157">
        <v>239</v>
      </c>
      <c r="AL157" t="s">
        <v>3391</v>
      </c>
      <c r="AM157" t="s">
        <v>3392</v>
      </c>
      <c r="AN157" t="s">
        <v>3393</v>
      </c>
      <c r="AO157" t="s">
        <v>3394</v>
      </c>
      <c r="AP157" t="s">
        <v>3395</v>
      </c>
      <c r="AQ157" t="s">
        <v>74</v>
      </c>
      <c r="AR157" t="s">
        <v>3396</v>
      </c>
      <c r="AS157" t="s">
        <v>3397</v>
      </c>
      <c r="AT157" t="s">
        <v>2376</v>
      </c>
      <c r="AU157">
        <v>2014</v>
      </c>
      <c r="AV157">
        <v>25</v>
      </c>
      <c r="AW157">
        <v>1</v>
      </c>
      <c r="AX157" t="s">
        <v>74</v>
      </c>
      <c r="AY157" t="s">
        <v>74</v>
      </c>
      <c r="AZ157" t="s">
        <v>74</v>
      </c>
      <c r="BA157" t="s">
        <v>74</v>
      </c>
      <c r="BB157">
        <v>29</v>
      </c>
      <c r="BC157">
        <v>48</v>
      </c>
      <c r="BD157" t="s">
        <v>74</v>
      </c>
      <c r="BE157" t="s">
        <v>3398</v>
      </c>
      <c r="BF157" t="str">
        <f>HYPERLINK("http://dx.doi.org/10.1007/s12210-014-0287-z","http://dx.doi.org/10.1007/s12210-014-0287-z")</f>
        <v>http://dx.doi.org/10.1007/s12210-014-0287-z</v>
      </c>
      <c r="BG157" t="s">
        <v>74</v>
      </c>
      <c r="BH157" t="s">
        <v>74</v>
      </c>
      <c r="BI157">
        <v>20</v>
      </c>
      <c r="BJ157" t="s">
        <v>1100</v>
      </c>
      <c r="BK157" t="s">
        <v>101</v>
      </c>
      <c r="BL157" t="s">
        <v>1101</v>
      </c>
      <c r="BM157" t="s">
        <v>3399</v>
      </c>
      <c r="BN157" t="s">
        <v>74</v>
      </c>
      <c r="BO157" t="s">
        <v>200</v>
      </c>
      <c r="BP157" t="s">
        <v>74</v>
      </c>
      <c r="BQ157" t="s">
        <v>74</v>
      </c>
      <c r="BR157" t="s">
        <v>104</v>
      </c>
      <c r="BS157" t="s">
        <v>3400</v>
      </c>
      <c r="BT157" t="str">
        <f>HYPERLINK("https%3A%2F%2Fwww.webofscience.com%2Fwos%2Fwoscc%2Ffull-record%2FWOS:000332103200005","View Full Record in Web of Science")</f>
        <v>View Full Record in Web of Science</v>
      </c>
    </row>
    <row r="158" spans="1:72" x14ac:dyDescent="0.15">
      <c r="A158" t="s">
        <v>72</v>
      </c>
      <c r="B158" t="s">
        <v>3401</v>
      </c>
      <c r="C158" t="s">
        <v>74</v>
      </c>
      <c r="D158" t="s">
        <v>74</v>
      </c>
      <c r="E158" t="s">
        <v>74</v>
      </c>
      <c r="F158" t="s">
        <v>3402</v>
      </c>
      <c r="G158" t="s">
        <v>74</v>
      </c>
      <c r="H158" t="s">
        <v>74</v>
      </c>
      <c r="I158" t="s">
        <v>3403</v>
      </c>
      <c r="J158" t="s">
        <v>3404</v>
      </c>
      <c r="K158" t="s">
        <v>74</v>
      </c>
      <c r="L158" t="s">
        <v>74</v>
      </c>
      <c r="M158" t="s">
        <v>78</v>
      </c>
      <c r="N158" t="s">
        <v>79</v>
      </c>
      <c r="O158" t="s">
        <v>74</v>
      </c>
      <c r="P158" t="s">
        <v>74</v>
      </c>
      <c r="Q158" t="s">
        <v>74</v>
      </c>
      <c r="R158" t="s">
        <v>74</v>
      </c>
      <c r="S158" t="s">
        <v>74</v>
      </c>
      <c r="T158" t="s">
        <v>3405</v>
      </c>
      <c r="U158" t="s">
        <v>3406</v>
      </c>
      <c r="V158" t="s">
        <v>3407</v>
      </c>
      <c r="W158" t="s">
        <v>3408</v>
      </c>
      <c r="X158" t="s">
        <v>3409</v>
      </c>
      <c r="Y158" t="s">
        <v>3410</v>
      </c>
      <c r="Z158" t="s">
        <v>3411</v>
      </c>
      <c r="AA158" t="s">
        <v>74</v>
      </c>
      <c r="AB158" t="s">
        <v>74</v>
      </c>
      <c r="AC158" t="s">
        <v>3412</v>
      </c>
      <c r="AD158" t="s">
        <v>3413</v>
      </c>
      <c r="AE158" t="s">
        <v>3414</v>
      </c>
      <c r="AF158" t="s">
        <v>74</v>
      </c>
      <c r="AG158">
        <v>78</v>
      </c>
      <c r="AH158">
        <v>24</v>
      </c>
      <c r="AI158">
        <v>29</v>
      </c>
      <c r="AJ158">
        <v>0</v>
      </c>
      <c r="AK158">
        <v>75</v>
      </c>
      <c r="AL158" t="s">
        <v>946</v>
      </c>
      <c r="AM158" t="s">
        <v>522</v>
      </c>
      <c r="AN158" t="s">
        <v>947</v>
      </c>
      <c r="AO158" t="s">
        <v>3415</v>
      </c>
      <c r="AP158" t="s">
        <v>3416</v>
      </c>
      <c r="AQ158" t="s">
        <v>74</v>
      </c>
      <c r="AR158" t="s">
        <v>3417</v>
      </c>
      <c r="AS158" t="s">
        <v>3418</v>
      </c>
      <c r="AT158" t="s">
        <v>2376</v>
      </c>
      <c r="AU158">
        <v>2014</v>
      </c>
      <c r="AV158">
        <v>70</v>
      </c>
      <c r="AW158" t="s">
        <v>74</v>
      </c>
      <c r="AX158" t="s">
        <v>74</v>
      </c>
      <c r="AY158" t="s">
        <v>74</v>
      </c>
      <c r="AZ158" t="s">
        <v>74</v>
      </c>
      <c r="BA158" t="s">
        <v>74</v>
      </c>
      <c r="BB158">
        <v>272</v>
      </c>
      <c r="BC158">
        <v>284</v>
      </c>
      <c r="BD158" t="s">
        <v>74</v>
      </c>
      <c r="BE158" t="s">
        <v>3419</v>
      </c>
      <c r="BF158" t="str">
        <f>HYPERLINK("http://dx.doi.org/10.1016/j.soilbio.2013.12.016","http://dx.doi.org/10.1016/j.soilbio.2013.12.016")</f>
        <v>http://dx.doi.org/10.1016/j.soilbio.2013.12.016</v>
      </c>
      <c r="BG158" t="s">
        <v>74</v>
      </c>
      <c r="BH158" t="s">
        <v>74</v>
      </c>
      <c r="BI158">
        <v>13</v>
      </c>
      <c r="BJ158" t="s">
        <v>3420</v>
      </c>
      <c r="BK158" t="s">
        <v>101</v>
      </c>
      <c r="BL158" t="s">
        <v>3421</v>
      </c>
      <c r="BM158" t="s">
        <v>3422</v>
      </c>
      <c r="BN158" t="s">
        <v>74</v>
      </c>
      <c r="BO158" t="s">
        <v>74</v>
      </c>
      <c r="BP158" t="s">
        <v>74</v>
      </c>
      <c r="BQ158" t="s">
        <v>74</v>
      </c>
      <c r="BR158" t="s">
        <v>104</v>
      </c>
      <c r="BS158" t="s">
        <v>3423</v>
      </c>
      <c r="BT158" t="str">
        <f>HYPERLINK("https%3A%2F%2Fwww.webofscience.com%2Fwos%2Fwoscc%2Ffull-record%2FWOS:000332439800033","View Full Record in Web of Science")</f>
        <v>View Full Record in Web of Science</v>
      </c>
    </row>
    <row r="159" spans="1:72" x14ac:dyDescent="0.15">
      <c r="A159" t="s">
        <v>72</v>
      </c>
      <c r="B159" t="s">
        <v>3424</v>
      </c>
      <c r="C159" t="s">
        <v>74</v>
      </c>
      <c r="D159" t="s">
        <v>74</v>
      </c>
      <c r="E159" t="s">
        <v>74</v>
      </c>
      <c r="F159" t="s">
        <v>3425</v>
      </c>
      <c r="G159" t="s">
        <v>74</v>
      </c>
      <c r="H159" t="s">
        <v>74</v>
      </c>
      <c r="I159" t="s">
        <v>3426</v>
      </c>
      <c r="J159" t="s">
        <v>3427</v>
      </c>
      <c r="K159" t="s">
        <v>74</v>
      </c>
      <c r="L159" t="s">
        <v>74</v>
      </c>
      <c r="M159" t="s">
        <v>78</v>
      </c>
      <c r="N159" t="s">
        <v>79</v>
      </c>
      <c r="O159" t="s">
        <v>74</v>
      </c>
      <c r="P159" t="s">
        <v>74</v>
      </c>
      <c r="Q159" t="s">
        <v>74</v>
      </c>
      <c r="R159" t="s">
        <v>74</v>
      </c>
      <c r="S159" t="s">
        <v>74</v>
      </c>
      <c r="T159" t="s">
        <v>3428</v>
      </c>
      <c r="U159" t="s">
        <v>3429</v>
      </c>
      <c r="V159" t="s">
        <v>3430</v>
      </c>
      <c r="W159" t="s">
        <v>3431</v>
      </c>
      <c r="X159" t="s">
        <v>3432</v>
      </c>
      <c r="Y159" t="s">
        <v>3433</v>
      </c>
      <c r="Z159" t="s">
        <v>3434</v>
      </c>
      <c r="AA159" t="s">
        <v>74</v>
      </c>
      <c r="AB159" t="s">
        <v>74</v>
      </c>
      <c r="AC159" t="s">
        <v>3435</v>
      </c>
      <c r="AD159" t="s">
        <v>3436</v>
      </c>
      <c r="AE159" t="s">
        <v>3437</v>
      </c>
      <c r="AF159" t="s">
        <v>74</v>
      </c>
      <c r="AG159">
        <v>87</v>
      </c>
      <c r="AH159">
        <v>11</v>
      </c>
      <c r="AI159">
        <v>11</v>
      </c>
      <c r="AJ159">
        <v>1</v>
      </c>
      <c r="AK159">
        <v>16</v>
      </c>
      <c r="AL159" t="s">
        <v>145</v>
      </c>
      <c r="AM159" t="s">
        <v>92</v>
      </c>
      <c r="AN159" t="s">
        <v>3045</v>
      </c>
      <c r="AO159" t="s">
        <v>3438</v>
      </c>
      <c r="AP159" t="s">
        <v>3439</v>
      </c>
      <c r="AQ159" t="s">
        <v>74</v>
      </c>
      <c r="AR159" t="s">
        <v>3440</v>
      </c>
      <c r="AS159" t="s">
        <v>3441</v>
      </c>
      <c r="AT159" t="s">
        <v>2376</v>
      </c>
      <c r="AU159">
        <v>2014</v>
      </c>
      <c r="AV159">
        <v>42</v>
      </c>
      <c r="AW159" t="s">
        <v>3442</v>
      </c>
      <c r="AX159" t="s">
        <v>74</v>
      </c>
      <c r="AY159" t="s">
        <v>74</v>
      </c>
      <c r="AZ159" t="s">
        <v>74</v>
      </c>
      <c r="BA159" t="s">
        <v>74</v>
      </c>
      <c r="BB159">
        <v>1405</v>
      </c>
      <c r="BC159">
        <v>1424</v>
      </c>
      <c r="BD159" t="s">
        <v>74</v>
      </c>
      <c r="BE159" t="s">
        <v>3443</v>
      </c>
      <c r="BF159" t="str">
        <f>HYPERLINK("http://dx.doi.org/10.1007/s00382-013-1900-z","http://dx.doi.org/10.1007/s00382-013-1900-z")</f>
        <v>http://dx.doi.org/10.1007/s00382-013-1900-z</v>
      </c>
      <c r="BG159" t="s">
        <v>74</v>
      </c>
      <c r="BH159" t="s">
        <v>74</v>
      </c>
      <c r="BI159">
        <v>20</v>
      </c>
      <c r="BJ159" t="s">
        <v>1391</v>
      </c>
      <c r="BK159" t="s">
        <v>101</v>
      </c>
      <c r="BL159" t="s">
        <v>1391</v>
      </c>
      <c r="BM159" t="s">
        <v>3444</v>
      </c>
      <c r="BN159" t="s">
        <v>74</v>
      </c>
      <c r="BO159" t="s">
        <v>1244</v>
      </c>
      <c r="BP159" t="s">
        <v>74</v>
      </c>
      <c r="BQ159" t="s">
        <v>74</v>
      </c>
      <c r="BR159" t="s">
        <v>104</v>
      </c>
      <c r="BS159" t="s">
        <v>3445</v>
      </c>
      <c r="BT159" t="str">
        <f>HYPERLINK("https%3A%2F%2Fwww.webofscience.com%2Fwos%2Fwoscc%2Ffull-record%2FWOS:000331969800019","View Full Record in Web of Science")</f>
        <v>View Full Record in Web of Science</v>
      </c>
    </row>
    <row r="160" spans="1:72" x14ac:dyDescent="0.15">
      <c r="A160" t="s">
        <v>72</v>
      </c>
      <c r="B160" t="s">
        <v>3446</v>
      </c>
      <c r="C160" t="s">
        <v>74</v>
      </c>
      <c r="D160" t="s">
        <v>74</v>
      </c>
      <c r="E160" t="s">
        <v>74</v>
      </c>
      <c r="F160" t="s">
        <v>3447</v>
      </c>
      <c r="G160" t="s">
        <v>74</v>
      </c>
      <c r="H160" t="s">
        <v>74</v>
      </c>
      <c r="I160" t="s">
        <v>3448</v>
      </c>
      <c r="J160" t="s">
        <v>3449</v>
      </c>
      <c r="K160" t="s">
        <v>74</v>
      </c>
      <c r="L160" t="s">
        <v>74</v>
      </c>
      <c r="M160" t="s">
        <v>78</v>
      </c>
      <c r="N160" t="s">
        <v>79</v>
      </c>
      <c r="O160" t="s">
        <v>74</v>
      </c>
      <c r="P160" t="s">
        <v>74</v>
      </c>
      <c r="Q160" t="s">
        <v>74</v>
      </c>
      <c r="R160" t="s">
        <v>74</v>
      </c>
      <c r="S160" t="s">
        <v>74</v>
      </c>
      <c r="T160" t="s">
        <v>3450</v>
      </c>
      <c r="U160" t="s">
        <v>3451</v>
      </c>
      <c r="V160" t="s">
        <v>3452</v>
      </c>
      <c r="W160" t="s">
        <v>3453</v>
      </c>
      <c r="X160" t="s">
        <v>3454</v>
      </c>
      <c r="Y160" t="s">
        <v>3455</v>
      </c>
      <c r="Z160" t="s">
        <v>3456</v>
      </c>
      <c r="AA160" t="s">
        <v>3457</v>
      </c>
      <c r="AB160" t="s">
        <v>3458</v>
      </c>
      <c r="AC160" t="s">
        <v>74</v>
      </c>
      <c r="AD160" t="s">
        <v>74</v>
      </c>
      <c r="AE160" t="s">
        <v>74</v>
      </c>
      <c r="AF160" t="s">
        <v>74</v>
      </c>
      <c r="AG160">
        <v>5</v>
      </c>
      <c r="AH160">
        <v>0</v>
      </c>
      <c r="AI160">
        <v>0</v>
      </c>
      <c r="AJ160">
        <v>0</v>
      </c>
      <c r="AK160">
        <v>6</v>
      </c>
      <c r="AL160" t="s">
        <v>145</v>
      </c>
      <c r="AM160" t="s">
        <v>146</v>
      </c>
      <c r="AN160" t="s">
        <v>147</v>
      </c>
      <c r="AO160" t="s">
        <v>3459</v>
      </c>
      <c r="AP160" t="s">
        <v>3460</v>
      </c>
      <c r="AQ160" t="s">
        <v>74</v>
      </c>
      <c r="AR160" t="s">
        <v>3461</v>
      </c>
      <c r="AS160" t="s">
        <v>3462</v>
      </c>
      <c r="AT160" t="s">
        <v>2376</v>
      </c>
      <c r="AU160">
        <v>2014</v>
      </c>
      <c r="AV160">
        <v>6</v>
      </c>
      <c r="AW160">
        <v>1</v>
      </c>
      <c r="AX160" t="s">
        <v>74</v>
      </c>
      <c r="AY160" t="s">
        <v>74</v>
      </c>
      <c r="AZ160" t="s">
        <v>74</v>
      </c>
      <c r="BA160" t="s">
        <v>74</v>
      </c>
      <c r="BB160">
        <v>237</v>
      </c>
      <c r="BC160">
        <v>239</v>
      </c>
      <c r="BD160" t="s">
        <v>74</v>
      </c>
      <c r="BE160" t="s">
        <v>3463</v>
      </c>
      <c r="BF160" t="str">
        <f>HYPERLINK("http://dx.doi.org/10.1007/s12686-013-0069-4","http://dx.doi.org/10.1007/s12686-013-0069-4")</f>
        <v>http://dx.doi.org/10.1007/s12686-013-0069-4</v>
      </c>
      <c r="BG160" t="s">
        <v>74</v>
      </c>
      <c r="BH160" t="s">
        <v>74</v>
      </c>
      <c r="BI160">
        <v>3</v>
      </c>
      <c r="BJ160" t="s">
        <v>3464</v>
      </c>
      <c r="BK160" t="s">
        <v>101</v>
      </c>
      <c r="BL160" t="s">
        <v>3465</v>
      </c>
      <c r="BM160" t="s">
        <v>3466</v>
      </c>
      <c r="BN160" t="s">
        <v>74</v>
      </c>
      <c r="BO160" t="s">
        <v>74</v>
      </c>
      <c r="BP160" t="s">
        <v>74</v>
      </c>
      <c r="BQ160" t="s">
        <v>74</v>
      </c>
      <c r="BR160" t="s">
        <v>104</v>
      </c>
      <c r="BS160" t="s">
        <v>3467</v>
      </c>
      <c r="BT160" t="str">
        <f>HYPERLINK("https%3A%2F%2Fwww.webofscience.com%2Fwos%2Fwoscc%2Ffull-record%2FWOS:000331708300064","View Full Record in Web of Science")</f>
        <v>View Full Record in Web of Science</v>
      </c>
    </row>
    <row r="161" spans="1:72" x14ac:dyDescent="0.15">
      <c r="A161" t="s">
        <v>72</v>
      </c>
      <c r="B161" t="s">
        <v>3468</v>
      </c>
      <c r="C161" t="s">
        <v>74</v>
      </c>
      <c r="D161" t="s">
        <v>74</v>
      </c>
      <c r="E161" t="s">
        <v>74</v>
      </c>
      <c r="F161" t="s">
        <v>3469</v>
      </c>
      <c r="G161" t="s">
        <v>74</v>
      </c>
      <c r="H161" t="s">
        <v>74</v>
      </c>
      <c r="I161" t="s">
        <v>3470</v>
      </c>
      <c r="J161" t="s">
        <v>3471</v>
      </c>
      <c r="K161" t="s">
        <v>74</v>
      </c>
      <c r="L161" t="s">
        <v>74</v>
      </c>
      <c r="M161" t="s">
        <v>78</v>
      </c>
      <c r="N161" t="s">
        <v>79</v>
      </c>
      <c r="O161" t="s">
        <v>74</v>
      </c>
      <c r="P161" t="s">
        <v>74</v>
      </c>
      <c r="Q161" t="s">
        <v>74</v>
      </c>
      <c r="R161" t="s">
        <v>74</v>
      </c>
      <c r="S161" t="s">
        <v>74</v>
      </c>
      <c r="T161" t="s">
        <v>3472</v>
      </c>
      <c r="U161" t="s">
        <v>3473</v>
      </c>
      <c r="V161" t="s">
        <v>3474</v>
      </c>
      <c r="W161" t="s">
        <v>3475</v>
      </c>
      <c r="X161" t="s">
        <v>3476</v>
      </c>
      <c r="Y161" t="s">
        <v>3477</v>
      </c>
      <c r="Z161" t="s">
        <v>3478</v>
      </c>
      <c r="AA161" t="s">
        <v>74</v>
      </c>
      <c r="AB161" t="s">
        <v>3479</v>
      </c>
      <c r="AC161" t="s">
        <v>3480</v>
      </c>
      <c r="AD161" t="s">
        <v>3481</v>
      </c>
      <c r="AE161" t="s">
        <v>3482</v>
      </c>
      <c r="AF161" t="s">
        <v>74</v>
      </c>
      <c r="AG161">
        <v>94</v>
      </c>
      <c r="AH161">
        <v>16</v>
      </c>
      <c r="AI161">
        <v>19</v>
      </c>
      <c r="AJ161">
        <v>1</v>
      </c>
      <c r="AK161">
        <v>37</v>
      </c>
      <c r="AL161" t="s">
        <v>652</v>
      </c>
      <c r="AM161" t="s">
        <v>653</v>
      </c>
      <c r="AN161" t="s">
        <v>654</v>
      </c>
      <c r="AO161" t="s">
        <v>3483</v>
      </c>
      <c r="AP161" t="s">
        <v>3484</v>
      </c>
      <c r="AQ161" t="s">
        <v>74</v>
      </c>
      <c r="AR161" t="s">
        <v>3485</v>
      </c>
      <c r="AS161" t="s">
        <v>3486</v>
      </c>
      <c r="AT161" t="s">
        <v>2644</v>
      </c>
      <c r="AU161">
        <v>2014</v>
      </c>
      <c r="AV161">
        <v>389</v>
      </c>
      <c r="AW161" t="s">
        <v>74</v>
      </c>
      <c r="AX161" t="s">
        <v>74</v>
      </c>
      <c r="AY161" t="s">
        <v>74</v>
      </c>
      <c r="AZ161" t="s">
        <v>74</v>
      </c>
      <c r="BA161" t="s">
        <v>74</v>
      </c>
      <c r="BB161">
        <v>52</v>
      </c>
      <c r="BC161">
        <v>61</v>
      </c>
      <c r="BD161" t="s">
        <v>74</v>
      </c>
      <c r="BE161" t="s">
        <v>3487</v>
      </c>
      <c r="BF161" t="str">
        <f>HYPERLINK("http://dx.doi.org/10.1016/j.epsl.2013.12.022","http://dx.doi.org/10.1016/j.epsl.2013.12.022")</f>
        <v>http://dx.doi.org/10.1016/j.epsl.2013.12.022</v>
      </c>
      <c r="BG161" t="s">
        <v>74</v>
      </c>
      <c r="BH161" t="s">
        <v>74</v>
      </c>
      <c r="BI161">
        <v>10</v>
      </c>
      <c r="BJ161" t="s">
        <v>574</v>
      </c>
      <c r="BK161" t="s">
        <v>101</v>
      </c>
      <c r="BL161" t="s">
        <v>574</v>
      </c>
      <c r="BM161" t="s">
        <v>3488</v>
      </c>
      <c r="BN161" t="s">
        <v>74</v>
      </c>
      <c r="BO161" t="s">
        <v>74</v>
      </c>
      <c r="BP161" t="s">
        <v>74</v>
      </c>
      <c r="BQ161" t="s">
        <v>74</v>
      </c>
      <c r="BR161" t="s">
        <v>104</v>
      </c>
      <c r="BS161" t="s">
        <v>3489</v>
      </c>
      <c r="BT161" t="str">
        <f>HYPERLINK("https%3A%2F%2Fwww.webofscience.com%2Fwos%2Fwoscc%2Ffull-record%2FWOS:000331923400006","View Full Record in Web of Science")</f>
        <v>View Full Record in Web of Science</v>
      </c>
    </row>
    <row r="162" spans="1:72" x14ac:dyDescent="0.15">
      <c r="A162" t="s">
        <v>72</v>
      </c>
      <c r="B162" t="s">
        <v>3490</v>
      </c>
      <c r="C162" t="s">
        <v>74</v>
      </c>
      <c r="D162" t="s">
        <v>74</v>
      </c>
      <c r="E162" t="s">
        <v>74</v>
      </c>
      <c r="F162" t="s">
        <v>3491</v>
      </c>
      <c r="G162" t="s">
        <v>74</v>
      </c>
      <c r="H162" t="s">
        <v>74</v>
      </c>
      <c r="I162" t="s">
        <v>3492</v>
      </c>
      <c r="J162" t="s">
        <v>3493</v>
      </c>
      <c r="K162" t="s">
        <v>74</v>
      </c>
      <c r="L162" t="s">
        <v>74</v>
      </c>
      <c r="M162" t="s">
        <v>78</v>
      </c>
      <c r="N162" t="s">
        <v>79</v>
      </c>
      <c r="O162" t="s">
        <v>74</v>
      </c>
      <c r="P162" t="s">
        <v>74</v>
      </c>
      <c r="Q162" t="s">
        <v>74</v>
      </c>
      <c r="R162" t="s">
        <v>74</v>
      </c>
      <c r="S162" t="s">
        <v>74</v>
      </c>
      <c r="T162" t="s">
        <v>3494</v>
      </c>
      <c r="U162" t="s">
        <v>3495</v>
      </c>
      <c r="V162" t="s">
        <v>3496</v>
      </c>
      <c r="W162" t="s">
        <v>3497</v>
      </c>
      <c r="X162" t="s">
        <v>3498</v>
      </c>
      <c r="Y162" t="s">
        <v>3499</v>
      </c>
      <c r="Z162" t="s">
        <v>3500</v>
      </c>
      <c r="AA162" t="s">
        <v>3501</v>
      </c>
      <c r="AB162" t="s">
        <v>3502</v>
      </c>
      <c r="AC162" t="s">
        <v>3503</v>
      </c>
      <c r="AD162" t="s">
        <v>3504</v>
      </c>
      <c r="AE162" t="s">
        <v>3505</v>
      </c>
      <c r="AF162" t="s">
        <v>74</v>
      </c>
      <c r="AG162">
        <v>48</v>
      </c>
      <c r="AH162">
        <v>52</v>
      </c>
      <c r="AI162">
        <v>53</v>
      </c>
      <c r="AJ162">
        <v>1</v>
      </c>
      <c r="AK162">
        <v>58</v>
      </c>
      <c r="AL162" t="s">
        <v>521</v>
      </c>
      <c r="AM162" t="s">
        <v>522</v>
      </c>
      <c r="AN162" t="s">
        <v>523</v>
      </c>
      <c r="AO162" t="s">
        <v>3506</v>
      </c>
      <c r="AP162" t="s">
        <v>3507</v>
      </c>
      <c r="AQ162" t="s">
        <v>74</v>
      </c>
      <c r="AR162" t="s">
        <v>3508</v>
      </c>
      <c r="AS162" t="s">
        <v>3509</v>
      </c>
      <c r="AT162" t="s">
        <v>2376</v>
      </c>
      <c r="AU162">
        <v>2014</v>
      </c>
      <c r="AV162">
        <v>94</v>
      </c>
      <c r="AW162" t="s">
        <v>74</v>
      </c>
      <c r="AX162" t="s">
        <v>74</v>
      </c>
      <c r="AY162" t="s">
        <v>74</v>
      </c>
      <c r="AZ162" t="s">
        <v>74</v>
      </c>
      <c r="BA162" t="s">
        <v>74</v>
      </c>
      <c r="BB162">
        <v>24</v>
      </c>
      <c r="BC162">
        <v>31</v>
      </c>
      <c r="BD162" t="s">
        <v>74</v>
      </c>
      <c r="BE162" t="s">
        <v>3510</v>
      </c>
      <c r="BF162" t="str">
        <f>HYPERLINK("http://dx.doi.org/10.1016/j.marenvres.2013.11.004","http://dx.doi.org/10.1016/j.marenvres.2013.11.004")</f>
        <v>http://dx.doi.org/10.1016/j.marenvres.2013.11.004</v>
      </c>
      <c r="BG162" t="s">
        <v>74</v>
      </c>
      <c r="BH162" t="s">
        <v>74</v>
      </c>
      <c r="BI162">
        <v>8</v>
      </c>
      <c r="BJ162" t="s">
        <v>3511</v>
      </c>
      <c r="BK162" t="s">
        <v>101</v>
      </c>
      <c r="BL162" t="s">
        <v>3512</v>
      </c>
      <c r="BM162" t="s">
        <v>3513</v>
      </c>
      <c r="BN162">
        <v>24315760</v>
      </c>
      <c r="BO162" t="s">
        <v>74</v>
      </c>
      <c r="BP162" t="s">
        <v>74</v>
      </c>
      <c r="BQ162" t="s">
        <v>74</v>
      </c>
      <c r="BR162" t="s">
        <v>104</v>
      </c>
      <c r="BS162" t="s">
        <v>3514</v>
      </c>
      <c r="BT162" t="str">
        <f>HYPERLINK("https%3A%2F%2Fwww.webofscience.com%2Fwos%2Fwoscc%2Ffull-record%2FWOS:000331684500004","View Full Record in Web of Science")</f>
        <v>View Full Record in Web of Science</v>
      </c>
    </row>
    <row r="163" spans="1:72" x14ac:dyDescent="0.15">
      <c r="A163" t="s">
        <v>72</v>
      </c>
      <c r="B163" t="s">
        <v>3515</v>
      </c>
      <c r="C163" t="s">
        <v>74</v>
      </c>
      <c r="D163" t="s">
        <v>74</v>
      </c>
      <c r="E163" t="s">
        <v>74</v>
      </c>
      <c r="F163" t="s">
        <v>3516</v>
      </c>
      <c r="G163" t="s">
        <v>74</v>
      </c>
      <c r="H163" t="s">
        <v>74</v>
      </c>
      <c r="I163" t="s">
        <v>3517</v>
      </c>
      <c r="J163" t="s">
        <v>1297</v>
      </c>
      <c r="K163" t="s">
        <v>74</v>
      </c>
      <c r="L163" t="s">
        <v>74</v>
      </c>
      <c r="M163" t="s">
        <v>78</v>
      </c>
      <c r="N163" t="s">
        <v>79</v>
      </c>
      <c r="O163" t="s">
        <v>74</v>
      </c>
      <c r="P163" t="s">
        <v>74</v>
      </c>
      <c r="Q163" t="s">
        <v>74</v>
      </c>
      <c r="R163" t="s">
        <v>74</v>
      </c>
      <c r="S163" t="s">
        <v>74</v>
      </c>
      <c r="T163" t="s">
        <v>3518</v>
      </c>
      <c r="U163" t="s">
        <v>3519</v>
      </c>
      <c r="V163" t="s">
        <v>3520</v>
      </c>
      <c r="W163" t="s">
        <v>3521</v>
      </c>
      <c r="X163" t="s">
        <v>3522</v>
      </c>
      <c r="Y163" t="s">
        <v>3523</v>
      </c>
      <c r="Z163" t="s">
        <v>3524</v>
      </c>
      <c r="AA163" t="s">
        <v>3525</v>
      </c>
      <c r="AB163" t="s">
        <v>3526</v>
      </c>
      <c r="AC163" t="s">
        <v>3527</v>
      </c>
      <c r="AD163" t="s">
        <v>3527</v>
      </c>
      <c r="AE163" t="s">
        <v>3528</v>
      </c>
      <c r="AF163" t="s">
        <v>74</v>
      </c>
      <c r="AG163">
        <v>44</v>
      </c>
      <c r="AH163">
        <v>6</v>
      </c>
      <c r="AI163">
        <v>7</v>
      </c>
      <c r="AJ163">
        <v>1</v>
      </c>
      <c r="AK163">
        <v>33</v>
      </c>
      <c r="AL163" t="s">
        <v>145</v>
      </c>
      <c r="AM163" t="s">
        <v>92</v>
      </c>
      <c r="AN163" t="s">
        <v>472</v>
      </c>
      <c r="AO163" t="s">
        <v>1310</v>
      </c>
      <c r="AP163" t="s">
        <v>1311</v>
      </c>
      <c r="AQ163" t="s">
        <v>74</v>
      </c>
      <c r="AR163" t="s">
        <v>1312</v>
      </c>
      <c r="AS163" t="s">
        <v>1313</v>
      </c>
      <c r="AT163" t="s">
        <v>2376</v>
      </c>
      <c r="AU163">
        <v>2014</v>
      </c>
      <c r="AV163">
        <v>37</v>
      </c>
      <c r="AW163">
        <v>3</v>
      </c>
      <c r="AX163" t="s">
        <v>74</v>
      </c>
      <c r="AY163" t="s">
        <v>74</v>
      </c>
      <c r="AZ163" t="s">
        <v>74</v>
      </c>
      <c r="BA163" t="s">
        <v>74</v>
      </c>
      <c r="BB163">
        <v>359</v>
      </c>
      <c r="BC163">
        <v>366</v>
      </c>
      <c r="BD163" t="s">
        <v>74</v>
      </c>
      <c r="BE163" t="s">
        <v>3529</v>
      </c>
      <c r="BF163" t="str">
        <f>HYPERLINK("http://dx.doi.org/10.1007/s00300-013-1436-z","http://dx.doi.org/10.1007/s00300-013-1436-z")</f>
        <v>http://dx.doi.org/10.1007/s00300-013-1436-z</v>
      </c>
      <c r="BG163" t="s">
        <v>74</v>
      </c>
      <c r="BH163" t="s">
        <v>74</v>
      </c>
      <c r="BI163">
        <v>8</v>
      </c>
      <c r="BJ163" t="s">
        <v>1315</v>
      </c>
      <c r="BK163" t="s">
        <v>101</v>
      </c>
      <c r="BL163" t="s">
        <v>412</v>
      </c>
      <c r="BM163" t="s">
        <v>3530</v>
      </c>
      <c r="BN163" t="s">
        <v>74</v>
      </c>
      <c r="BO163" t="s">
        <v>74</v>
      </c>
      <c r="BP163" t="s">
        <v>74</v>
      </c>
      <c r="BQ163" t="s">
        <v>74</v>
      </c>
      <c r="BR163" t="s">
        <v>104</v>
      </c>
      <c r="BS163" t="s">
        <v>3531</v>
      </c>
      <c r="BT163" t="str">
        <f>HYPERLINK("https%3A%2F%2Fwww.webofscience.com%2Fwos%2Fwoscc%2Ffull-record%2FWOS:000331721000006","View Full Record in Web of Science")</f>
        <v>View Full Record in Web of Science</v>
      </c>
    </row>
    <row r="164" spans="1:72" x14ac:dyDescent="0.15">
      <c r="A164" t="s">
        <v>72</v>
      </c>
      <c r="B164" t="s">
        <v>3532</v>
      </c>
      <c r="C164" t="s">
        <v>74</v>
      </c>
      <c r="D164" t="s">
        <v>74</v>
      </c>
      <c r="E164" t="s">
        <v>74</v>
      </c>
      <c r="F164" t="s">
        <v>3533</v>
      </c>
      <c r="G164" t="s">
        <v>74</v>
      </c>
      <c r="H164" t="s">
        <v>74</v>
      </c>
      <c r="I164" t="s">
        <v>3534</v>
      </c>
      <c r="J164" t="s">
        <v>1297</v>
      </c>
      <c r="K164" t="s">
        <v>74</v>
      </c>
      <c r="L164" t="s">
        <v>74</v>
      </c>
      <c r="M164" t="s">
        <v>78</v>
      </c>
      <c r="N164" t="s">
        <v>79</v>
      </c>
      <c r="O164" t="s">
        <v>74</v>
      </c>
      <c r="P164" t="s">
        <v>74</v>
      </c>
      <c r="Q164" t="s">
        <v>74</v>
      </c>
      <c r="R164" t="s">
        <v>74</v>
      </c>
      <c r="S164" t="s">
        <v>74</v>
      </c>
      <c r="T164" t="s">
        <v>3535</v>
      </c>
      <c r="U164" t="s">
        <v>3536</v>
      </c>
      <c r="V164" t="s">
        <v>3537</v>
      </c>
      <c r="W164" t="s">
        <v>3538</v>
      </c>
      <c r="X164" t="s">
        <v>3539</v>
      </c>
      <c r="Y164" t="s">
        <v>3540</v>
      </c>
      <c r="Z164" t="s">
        <v>3541</v>
      </c>
      <c r="AA164" t="s">
        <v>3542</v>
      </c>
      <c r="AB164" t="s">
        <v>3543</v>
      </c>
      <c r="AC164" t="s">
        <v>3544</v>
      </c>
      <c r="AD164" t="s">
        <v>3545</v>
      </c>
      <c r="AE164" t="s">
        <v>3546</v>
      </c>
      <c r="AF164" t="s">
        <v>74</v>
      </c>
      <c r="AG164">
        <v>33</v>
      </c>
      <c r="AH164">
        <v>5</v>
      </c>
      <c r="AI164">
        <v>6</v>
      </c>
      <c r="AJ164">
        <v>1</v>
      </c>
      <c r="AK164">
        <v>53</v>
      </c>
      <c r="AL164" t="s">
        <v>145</v>
      </c>
      <c r="AM164" t="s">
        <v>92</v>
      </c>
      <c r="AN164" t="s">
        <v>3045</v>
      </c>
      <c r="AO164" t="s">
        <v>1310</v>
      </c>
      <c r="AP164" t="s">
        <v>1311</v>
      </c>
      <c r="AQ164" t="s">
        <v>74</v>
      </c>
      <c r="AR164" t="s">
        <v>1312</v>
      </c>
      <c r="AS164" t="s">
        <v>1313</v>
      </c>
      <c r="AT164" t="s">
        <v>2376</v>
      </c>
      <c r="AU164">
        <v>2014</v>
      </c>
      <c r="AV164">
        <v>37</v>
      </c>
      <c r="AW164">
        <v>3</v>
      </c>
      <c r="AX164" t="s">
        <v>74</v>
      </c>
      <c r="AY164" t="s">
        <v>74</v>
      </c>
      <c r="AZ164" t="s">
        <v>74</v>
      </c>
      <c r="BA164" t="s">
        <v>74</v>
      </c>
      <c r="BB164">
        <v>367</v>
      </c>
      <c r="BC164">
        <v>373</v>
      </c>
      <c r="BD164" t="s">
        <v>74</v>
      </c>
      <c r="BE164" t="s">
        <v>3547</v>
      </c>
      <c r="BF164" t="str">
        <f>HYPERLINK("http://dx.doi.org/10.1007/s00300-013-1437-y","http://dx.doi.org/10.1007/s00300-013-1437-y")</f>
        <v>http://dx.doi.org/10.1007/s00300-013-1437-y</v>
      </c>
      <c r="BG164" t="s">
        <v>74</v>
      </c>
      <c r="BH164" t="s">
        <v>74</v>
      </c>
      <c r="BI164">
        <v>7</v>
      </c>
      <c r="BJ164" t="s">
        <v>1315</v>
      </c>
      <c r="BK164" t="s">
        <v>101</v>
      </c>
      <c r="BL164" t="s">
        <v>412</v>
      </c>
      <c r="BM164" t="s">
        <v>3530</v>
      </c>
      <c r="BN164" t="s">
        <v>74</v>
      </c>
      <c r="BO164" t="s">
        <v>74</v>
      </c>
      <c r="BP164" t="s">
        <v>74</v>
      </c>
      <c r="BQ164" t="s">
        <v>74</v>
      </c>
      <c r="BR164" t="s">
        <v>104</v>
      </c>
      <c r="BS164" t="s">
        <v>3548</v>
      </c>
      <c r="BT164" t="str">
        <f>HYPERLINK("https%3A%2F%2Fwww.webofscience.com%2Fwos%2Fwoscc%2Ffull-record%2FWOS:000331721000007","View Full Record in Web of Science")</f>
        <v>View Full Record in Web of Science</v>
      </c>
    </row>
    <row r="165" spans="1:72" x14ac:dyDescent="0.15">
      <c r="A165" t="s">
        <v>72</v>
      </c>
      <c r="B165" t="s">
        <v>3549</v>
      </c>
      <c r="C165" t="s">
        <v>74</v>
      </c>
      <c r="D165" t="s">
        <v>74</v>
      </c>
      <c r="E165" t="s">
        <v>74</v>
      </c>
      <c r="F165" t="s">
        <v>3550</v>
      </c>
      <c r="G165" t="s">
        <v>74</v>
      </c>
      <c r="H165" t="s">
        <v>74</v>
      </c>
      <c r="I165" t="s">
        <v>3551</v>
      </c>
      <c r="J165" t="s">
        <v>1297</v>
      </c>
      <c r="K165" t="s">
        <v>74</v>
      </c>
      <c r="L165" t="s">
        <v>74</v>
      </c>
      <c r="M165" t="s">
        <v>78</v>
      </c>
      <c r="N165" t="s">
        <v>79</v>
      </c>
      <c r="O165" t="s">
        <v>74</v>
      </c>
      <c r="P165" t="s">
        <v>74</v>
      </c>
      <c r="Q165" t="s">
        <v>74</v>
      </c>
      <c r="R165" t="s">
        <v>74</v>
      </c>
      <c r="S165" t="s">
        <v>74</v>
      </c>
      <c r="T165" t="s">
        <v>3552</v>
      </c>
      <c r="U165" t="s">
        <v>3553</v>
      </c>
      <c r="V165" t="s">
        <v>3554</v>
      </c>
      <c r="W165" t="s">
        <v>3555</v>
      </c>
      <c r="X165" t="s">
        <v>3556</v>
      </c>
      <c r="Y165" t="s">
        <v>3557</v>
      </c>
      <c r="Z165" t="s">
        <v>3558</v>
      </c>
      <c r="AA165" t="s">
        <v>74</v>
      </c>
      <c r="AB165" t="s">
        <v>3559</v>
      </c>
      <c r="AC165" t="s">
        <v>3560</v>
      </c>
      <c r="AD165" t="s">
        <v>3560</v>
      </c>
      <c r="AE165" t="s">
        <v>3561</v>
      </c>
      <c r="AF165" t="s">
        <v>74</v>
      </c>
      <c r="AG165">
        <v>55</v>
      </c>
      <c r="AH165">
        <v>28</v>
      </c>
      <c r="AI165">
        <v>31</v>
      </c>
      <c r="AJ165">
        <v>2</v>
      </c>
      <c r="AK165">
        <v>82</v>
      </c>
      <c r="AL165" t="s">
        <v>145</v>
      </c>
      <c r="AM165" t="s">
        <v>92</v>
      </c>
      <c r="AN165" t="s">
        <v>472</v>
      </c>
      <c r="AO165" t="s">
        <v>1310</v>
      </c>
      <c r="AP165" t="s">
        <v>1311</v>
      </c>
      <c r="AQ165" t="s">
        <v>74</v>
      </c>
      <c r="AR165" t="s">
        <v>1312</v>
      </c>
      <c r="AS165" t="s">
        <v>1313</v>
      </c>
      <c r="AT165" t="s">
        <v>2376</v>
      </c>
      <c r="AU165">
        <v>2014</v>
      </c>
      <c r="AV165">
        <v>37</v>
      </c>
      <c r="AW165">
        <v>3</v>
      </c>
      <c r="AX165" t="s">
        <v>74</v>
      </c>
      <c r="AY165" t="s">
        <v>74</v>
      </c>
      <c r="AZ165" t="s">
        <v>74</v>
      </c>
      <c r="BA165" t="s">
        <v>74</v>
      </c>
      <c r="BB165">
        <v>427</v>
      </c>
      <c r="BC165">
        <v>433</v>
      </c>
      <c r="BD165" t="s">
        <v>74</v>
      </c>
      <c r="BE165" t="s">
        <v>3562</v>
      </c>
      <c r="BF165" t="str">
        <f>HYPERLINK("http://dx.doi.org/10.1007/s00300-014-1448-3","http://dx.doi.org/10.1007/s00300-014-1448-3")</f>
        <v>http://dx.doi.org/10.1007/s00300-014-1448-3</v>
      </c>
      <c r="BG165" t="s">
        <v>74</v>
      </c>
      <c r="BH165" t="s">
        <v>74</v>
      </c>
      <c r="BI165">
        <v>7</v>
      </c>
      <c r="BJ165" t="s">
        <v>1315</v>
      </c>
      <c r="BK165" t="s">
        <v>101</v>
      </c>
      <c r="BL165" t="s">
        <v>412</v>
      </c>
      <c r="BM165" t="s">
        <v>3530</v>
      </c>
      <c r="BN165" t="s">
        <v>74</v>
      </c>
      <c r="BO165" t="s">
        <v>74</v>
      </c>
      <c r="BP165" t="s">
        <v>74</v>
      </c>
      <c r="BQ165" t="s">
        <v>74</v>
      </c>
      <c r="BR165" t="s">
        <v>104</v>
      </c>
      <c r="BS165" t="s">
        <v>3563</v>
      </c>
      <c r="BT165" t="str">
        <f>HYPERLINK("https%3A%2F%2Fwww.webofscience.com%2Fwos%2Fwoscc%2Ffull-record%2FWOS:000331721000013","View Full Record in Web of Science")</f>
        <v>View Full Record in Web of Science</v>
      </c>
    </row>
    <row r="166" spans="1:72" x14ac:dyDescent="0.15">
      <c r="A166" t="s">
        <v>72</v>
      </c>
      <c r="B166" t="s">
        <v>3564</v>
      </c>
      <c r="C166" t="s">
        <v>74</v>
      </c>
      <c r="D166" t="s">
        <v>74</v>
      </c>
      <c r="E166" t="s">
        <v>74</v>
      </c>
      <c r="F166" t="s">
        <v>3565</v>
      </c>
      <c r="G166" t="s">
        <v>74</v>
      </c>
      <c r="H166" t="s">
        <v>74</v>
      </c>
      <c r="I166" t="s">
        <v>3566</v>
      </c>
      <c r="J166" t="s">
        <v>3567</v>
      </c>
      <c r="K166" t="s">
        <v>74</v>
      </c>
      <c r="L166" t="s">
        <v>74</v>
      </c>
      <c r="M166" t="s">
        <v>78</v>
      </c>
      <c r="N166" t="s">
        <v>79</v>
      </c>
      <c r="O166" t="s">
        <v>74</v>
      </c>
      <c r="P166" t="s">
        <v>74</v>
      </c>
      <c r="Q166" t="s">
        <v>74</v>
      </c>
      <c r="R166" t="s">
        <v>74</v>
      </c>
      <c r="S166" t="s">
        <v>74</v>
      </c>
      <c r="T166" t="s">
        <v>74</v>
      </c>
      <c r="U166" t="s">
        <v>3568</v>
      </c>
      <c r="V166" t="s">
        <v>3569</v>
      </c>
      <c r="W166" t="s">
        <v>3570</v>
      </c>
      <c r="X166" t="s">
        <v>3571</v>
      </c>
      <c r="Y166" t="s">
        <v>3572</v>
      </c>
      <c r="Z166" t="s">
        <v>3573</v>
      </c>
      <c r="AA166" t="s">
        <v>3574</v>
      </c>
      <c r="AB166" t="s">
        <v>3575</v>
      </c>
      <c r="AC166" t="s">
        <v>3576</v>
      </c>
      <c r="AD166" t="s">
        <v>3577</v>
      </c>
      <c r="AE166" t="s">
        <v>3578</v>
      </c>
      <c r="AF166" t="s">
        <v>74</v>
      </c>
      <c r="AG166">
        <v>71</v>
      </c>
      <c r="AH166">
        <v>34</v>
      </c>
      <c r="AI166">
        <v>35</v>
      </c>
      <c r="AJ166">
        <v>0</v>
      </c>
      <c r="AK166">
        <v>24</v>
      </c>
      <c r="AL166" t="s">
        <v>946</v>
      </c>
      <c r="AM166" t="s">
        <v>522</v>
      </c>
      <c r="AN166" t="s">
        <v>947</v>
      </c>
      <c r="AO166" t="s">
        <v>3579</v>
      </c>
      <c r="AP166" t="s">
        <v>3580</v>
      </c>
      <c r="AQ166" t="s">
        <v>74</v>
      </c>
      <c r="AR166" t="s">
        <v>3581</v>
      </c>
      <c r="AS166" t="s">
        <v>3582</v>
      </c>
      <c r="AT166" t="s">
        <v>2644</v>
      </c>
      <c r="AU166">
        <v>2014</v>
      </c>
      <c r="AV166">
        <v>128</v>
      </c>
      <c r="AW166" t="s">
        <v>74</v>
      </c>
      <c r="AX166" t="s">
        <v>74</v>
      </c>
      <c r="AY166" t="s">
        <v>74</v>
      </c>
      <c r="AZ166" t="s">
        <v>74</v>
      </c>
      <c r="BA166" t="s">
        <v>74</v>
      </c>
      <c r="BB166">
        <v>71</v>
      </c>
      <c r="BC166">
        <v>94</v>
      </c>
      <c r="BD166" t="s">
        <v>74</v>
      </c>
      <c r="BE166" t="s">
        <v>3583</v>
      </c>
      <c r="BF166" t="str">
        <f>HYPERLINK("http://dx.doi.org/10.1016/j.gca.2013.11.042","http://dx.doi.org/10.1016/j.gca.2013.11.042")</f>
        <v>http://dx.doi.org/10.1016/j.gca.2013.11.042</v>
      </c>
      <c r="BG166" t="s">
        <v>74</v>
      </c>
      <c r="BH166" t="s">
        <v>74</v>
      </c>
      <c r="BI166">
        <v>24</v>
      </c>
      <c r="BJ166" t="s">
        <v>574</v>
      </c>
      <c r="BK166" t="s">
        <v>101</v>
      </c>
      <c r="BL166" t="s">
        <v>574</v>
      </c>
      <c r="BM166" t="s">
        <v>3584</v>
      </c>
      <c r="BN166" t="s">
        <v>74</v>
      </c>
      <c r="BO166" t="s">
        <v>74</v>
      </c>
      <c r="BP166" t="s">
        <v>74</v>
      </c>
      <c r="BQ166" t="s">
        <v>74</v>
      </c>
      <c r="BR166" t="s">
        <v>104</v>
      </c>
      <c r="BS166" t="s">
        <v>3585</v>
      </c>
      <c r="BT166" t="str">
        <f>HYPERLINK("https%3A%2F%2Fwww.webofscience.com%2Fwos%2Fwoscc%2Ffull-record%2FWOS:000331105700006","View Full Record in Web of Science")</f>
        <v>View Full Record in Web of Science</v>
      </c>
    </row>
    <row r="167" spans="1:72" x14ac:dyDescent="0.15">
      <c r="A167" t="s">
        <v>72</v>
      </c>
      <c r="B167" t="s">
        <v>3586</v>
      </c>
      <c r="C167" t="s">
        <v>74</v>
      </c>
      <c r="D167" t="s">
        <v>74</v>
      </c>
      <c r="E167" t="s">
        <v>74</v>
      </c>
      <c r="F167" t="s">
        <v>3587</v>
      </c>
      <c r="G167" t="s">
        <v>74</v>
      </c>
      <c r="H167" t="s">
        <v>74</v>
      </c>
      <c r="I167" t="s">
        <v>3588</v>
      </c>
      <c r="J167" t="s">
        <v>132</v>
      </c>
      <c r="K167" t="s">
        <v>74</v>
      </c>
      <c r="L167" t="s">
        <v>74</v>
      </c>
      <c r="M167" t="s">
        <v>78</v>
      </c>
      <c r="N167" t="s">
        <v>79</v>
      </c>
      <c r="O167" t="s">
        <v>74</v>
      </c>
      <c r="P167" t="s">
        <v>74</v>
      </c>
      <c r="Q167" t="s">
        <v>74</v>
      </c>
      <c r="R167" t="s">
        <v>74</v>
      </c>
      <c r="S167" t="s">
        <v>74</v>
      </c>
      <c r="T167" t="s">
        <v>3589</v>
      </c>
      <c r="U167" t="s">
        <v>3590</v>
      </c>
      <c r="V167" t="s">
        <v>3591</v>
      </c>
      <c r="W167" t="s">
        <v>3592</v>
      </c>
      <c r="X167" t="s">
        <v>3593</v>
      </c>
      <c r="Y167" t="s">
        <v>3594</v>
      </c>
      <c r="Z167" t="s">
        <v>3595</v>
      </c>
      <c r="AA167" t="s">
        <v>3596</v>
      </c>
      <c r="AB167" t="s">
        <v>74</v>
      </c>
      <c r="AC167" t="s">
        <v>3597</v>
      </c>
      <c r="AD167" t="s">
        <v>3598</v>
      </c>
      <c r="AE167" t="s">
        <v>3599</v>
      </c>
      <c r="AF167" t="s">
        <v>74</v>
      </c>
      <c r="AG167">
        <v>27</v>
      </c>
      <c r="AH167">
        <v>9</v>
      </c>
      <c r="AI167">
        <v>15</v>
      </c>
      <c r="AJ167">
        <v>0</v>
      </c>
      <c r="AK167">
        <v>23</v>
      </c>
      <c r="AL167" t="s">
        <v>145</v>
      </c>
      <c r="AM167" t="s">
        <v>92</v>
      </c>
      <c r="AN167" t="s">
        <v>472</v>
      </c>
      <c r="AO167" t="s">
        <v>148</v>
      </c>
      <c r="AP167" t="s">
        <v>149</v>
      </c>
      <c r="AQ167" t="s">
        <v>74</v>
      </c>
      <c r="AR167" t="s">
        <v>150</v>
      </c>
      <c r="AS167" t="s">
        <v>151</v>
      </c>
      <c r="AT167" t="s">
        <v>2376</v>
      </c>
      <c r="AU167">
        <v>2014</v>
      </c>
      <c r="AV167">
        <v>30</v>
      </c>
      <c r="AW167">
        <v>3</v>
      </c>
      <c r="AX167" t="s">
        <v>74</v>
      </c>
      <c r="AY167" t="s">
        <v>74</v>
      </c>
      <c r="AZ167" t="s">
        <v>74</v>
      </c>
      <c r="BA167" t="s">
        <v>74</v>
      </c>
      <c r="BB167">
        <v>879</v>
      </c>
      <c r="BC167">
        <v>886</v>
      </c>
      <c r="BD167" t="s">
        <v>74</v>
      </c>
      <c r="BE167" t="s">
        <v>3600</v>
      </c>
      <c r="BF167" t="str">
        <f>HYPERLINK("http://dx.doi.org/10.1007/s11274-013-1496-9","http://dx.doi.org/10.1007/s11274-013-1496-9")</f>
        <v>http://dx.doi.org/10.1007/s11274-013-1496-9</v>
      </c>
      <c r="BG167" t="s">
        <v>74</v>
      </c>
      <c r="BH167" t="s">
        <v>74</v>
      </c>
      <c r="BI167">
        <v>8</v>
      </c>
      <c r="BJ167" t="s">
        <v>153</v>
      </c>
      <c r="BK167" t="s">
        <v>101</v>
      </c>
      <c r="BL167" t="s">
        <v>153</v>
      </c>
      <c r="BM167" t="s">
        <v>3601</v>
      </c>
      <c r="BN167">
        <v>24353039</v>
      </c>
      <c r="BO167" t="s">
        <v>74</v>
      </c>
      <c r="BP167" t="s">
        <v>74</v>
      </c>
      <c r="BQ167" t="s">
        <v>74</v>
      </c>
      <c r="BR167" t="s">
        <v>104</v>
      </c>
      <c r="BS167" t="s">
        <v>3602</v>
      </c>
      <c r="BT167" t="str">
        <f>HYPERLINK("https%3A%2F%2Fwww.webofscience.com%2Fwos%2Fwoscc%2Ffull-record%2FWOS:000331101000010","View Full Record in Web of Science")</f>
        <v>View Full Record in Web of Science</v>
      </c>
    </row>
    <row r="168" spans="1:72" x14ac:dyDescent="0.15">
      <c r="A168" t="s">
        <v>72</v>
      </c>
      <c r="B168" t="s">
        <v>3603</v>
      </c>
      <c r="C168" t="s">
        <v>74</v>
      </c>
      <c r="D168" t="s">
        <v>74</v>
      </c>
      <c r="E168" t="s">
        <v>74</v>
      </c>
      <c r="F168" t="s">
        <v>3604</v>
      </c>
      <c r="G168" t="s">
        <v>74</v>
      </c>
      <c r="H168" t="s">
        <v>74</v>
      </c>
      <c r="I168" t="s">
        <v>3605</v>
      </c>
      <c r="J168" t="s">
        <v>3606</v>
      </c>
      <c r="K168" t="s">
        <v>74</v>
      </c>
      <c r="L168" t="s">
        <v>74</v>
      </c>
      <c r="M168" t="s">
        <v>78</v>
      </c>
      <c r="N168" t="s">
        <v>79</v>
      </c>
      <c r="O168" t="s">
        <v>74</v>
      </c>
      <c r="P168" t="s">
        <v>74</v>
      </c>
      <c r="Q168" t="s">
        <v>74</v>
      </c>
      <c r="R168" t="s">
        <v>74</v>
      </c>
      <c r="S168" t="s">
        <v>74</v>
      </c>
      <c r="T168" t="s">
        <v>3607</v>
      </c>
      <c r="U168" t="s">
        <v>3608</v>
      </c>
      <c r="V168" t="s">
        <v>3609</v>
      </c>
      <c r="W168" t="s">
        <v>3610</v>
      </c>
      <c r="X168" t="s">
        <v>3611</v>
      </c>
      <c r="Y168" t="s">
        <v>3612</v>
      </c>
      <c r="Z168" t="s">
        <v>3613</v>
      </c>
      <c r="AA168" t="s">
        <v>3614</v>
      </c>
      <c r="AB168" t="s">
        <v>3615</v>
      </c>
      <c r="AC168" t="s">
        <v>3616</v>
      </c>
      <c r="AD168" t="s">
        <v>3617</v>
      </c>
      <c r="AE168" t="s">
        <v>3618</v>
      </c>
      <c r="AF168" t="s">
        <v>74</v>
      </c>
      <c r="AG168">
        <v>41</v>
      </c>
      <c r="AH168">
        <v>16</v>
      </c>
      <c r="AI168">
        <v>17</v>
      </c>
      <c r="AJ168">
        <v>1</v>
      </c>
      <c r="AK168">
        <v>24</v>
      </c>
      <c r="AL168" t="s">
        <v>145</v>
      </c>
      <c r="AM168" t="s">
        <v>146</v>
      </c>
      <c r="AN168" t="s">
        <v>147</v>
      </c>
      <c r="AO168" t="s">
        <v>3619</v>
      </c>
      <c r="AP168" t="s">
        <v>3620</v>
      </c>
      <c r="AQ168" t="s">
        <v>74</v>
      </c>
      <c r="AR168" t="s">
        <v>3621</v>
      </c>
      <c r="AS168" t="s">
        <v>3622</v>
      </c>
      <c r="AT168" t="s">
        <v>2376</v>
      </c>
      <c r="AU168">
        <v>2014</v>
      </c>
      <c r="AV168">
        <v>105</v>
      </c>
      <c r="AW168">
        <v>3</v>
      </c>
      <c r="AX168" t="s">
        <v>74</v>
      </c>
      <c r="AY168" t="s">
        <v>74</v>
      </c>
      <c r="AZ168" t="s">
        <v>74</v>
      </c>
      <c r="BA168" t="s">
        <v>74</v>
      </c>
      <c r="BB168">
        <v>593</v>
      </c>
      <c r="BC168">
        <v>601</v>
      </c>
      <c r="BD168" t="s">
        <v>74</v>
      </c>
      <c r="BE168" t="s">
        <v>3623</v>
      </c>
      <c r="BF168" t="str">
        <f>HYPERLINK("http://dx.doi.org/10.1007/s10482-014-0114-7","http://dx.doi.org/10.1007/s10482-014-0114-7")</f>
        <v>http://dx.doi.org/10.1007/s10482-014-0114-7</v>
      </c>
      <c r="BG168" t="s">
        <v>74</v>
      </c>
      <c r="BH168" t="s">
        <v>74</v>
      </c>
      <c r="BI168">
        <v>9</v>
      </c>
      <c r="BJ168" t="s">
        <v>3624</v>
      </c>
      <c r="BK168" t="s">
        <v>101</v>
      </c>
      <c r="BL168" t="s">
        <v>3624</v>
      </c>
      <c r="BM168" t="s">
        <v>3625</v>
      </c>
      <c r="BN168">
        <v>24435686</v>
      </c>
      <c r="BO168" t="s">
        <v>74</v>
      </c>
      <c r="BP168" t="s">
        <v>74</v>
      </c>
      <c r="BQ168" t="s">
        <v>74</v>
      </c>
      <c r="BR168" t="s">
        <v>104</v>
      </c>
      <c r="BS168" t="s">
        <v>3626</v>
      </c>
      <c r="BT168" t="str">
        <f>HYPERLINK("https%3A%2F%2Fwww.webofscience.com%2Fwos%2Fwoscc%2Ffull-record%2FWOS:000330953700016","View Full Record in Web of Science")</f>
        <v>View Full Record in Web of Science</v>
      </c>
    </row>
    <row r="169" spans="1:72" x14ac:dyDescent="0.15">
      <c r="A169" t="s">
        <v>72</v>
      </c>
      <c r="B169" t="s">
        <v>3627</v>
      </c>
      <c r="C169" t="s">
        <v>74</v>
      </c>
      <c r="D169" t="s">
        <v>74</v>
      </c>
      <c r="E169" t="s">
        <v>74</v>
      </c>
      <c r="F169" t="s">
        <v>3628</v>
      </c>
      <c r="G169" t="s">
        <v>74</v>
      </c>
      <c r="H169" t="s">
        <v>74</v>
      </c>
      <c r="I169" t="s">
        <v>3629</v>
      </c>
      <c r="J169" t="s">
        <v>3630</v>
      </c>
      <c r="K169" t="s">
        <v>74</v>
      </c>
      <c r="L169" t="s">
        <v>74</v>
      </c>
      <c r="M169" t="s">
        <v>78</v>
      </c>
      <c r="N169" t="s">
        <v>79</v>
      </c>
      <c r="O169" t="s">
        <v>74</v>
      </c>
      <c r="P169" t="s">
        <v>74</v>
      </c>
      <c r="Q169" t="s">
        <v>74</v>
      </c>
      <c r="R169" t="s">
        <v>74</v>
      </c>
      <c r="S169" t="s">
        <v>74</v>
      </c>
      <c r="T169" t="s">
        <v>3631</v>
      </c>
      <c r="U169" t="s">
        <v>3632</v>
      </c>
      <c r="V169" t="s">
        <v>3633</v>
      </c>
      <c r="W169" t="s">
        <v>3634</v>
      </c>
      <c r="X169" t="s">
        <v>3635</v>
      </c>
      <c r="Y169" t="s">
        <v>3636</v>
      </c>
      <c r="Z169" t="s">
        <v>3637</v>
      </c>
      <c r="AA169" t="s">
        <v>74</v>
      </c>
      <c r="AB169" t="s">
        <v>74</v>
      </c>
      <c r="AC169" t="s">
        <v>74</v>
      </c>
      <c r="AD169" t="s">
        <v>74</v>
      </c>
      <c r="AE169" t="s">
        <v>74</v>
      </c>
      <c r="AF169" t="s">
        <v>74</v>
      </c>
      <c r="AG169">
        <v>33</v>
      </c>
      <c r="AH169">
        <v>57</v>
      </c>
      <c r="AI169">
        <v>66</v>
      </c>
      <c r="AJ169">
        <v>1</v>
      </c>
      <c r="AK169">
        <v>70</v>
      </c>
      <c r="AL169" t="s">
        <v>145</v>
      </c>
      <c r="AM169" t="s">
        <v>146</v>
      </c>
      <c r="AN169" t="s">
        <v>147</v>
      </c>
      <c r="AO169" t="s">
        <v>3638</v>
      </c>
      <c r="AP169" t="s">
        <v>3639</v>
      </c>
      <c r="AQ169" t="s">
        <v>74</v>
      </c>
      <c r="AR169" t="s">
        <v>3630</v>
      </c>
      <c r="AS169" t="s">
        <v>3640</v>
      </c>
      <c r="AT169" t="s">
        <v>2376</v>
      </c>
      <c r="AU169">
        <v>2014</v>
      </c>
      <c r="AV169">
        <v>43</v>
      </c>
      <c r="AW169">
        <v>2</v>
      </c>
      <c r="AX169" t="s">
        <v>74</v>
      </c>
      <c r="AY169" t="s">
        <v>74</v>
      </c>
      <c r="AZ169" t="s">
        <v>74</v>
      </c>
      <c r="BA169" t="s">
        <v>74</v>
      </c>
      <c r="BB169">
        <v>191</v>
      </c>
      <c r="BC169">
        <v>195</v>
      </c>
      <c r="BD169" t="s">
        <v>74</v>
      </c>
      <c r="BE169" t="s">
        <v>3641</v>
      </c>
      <c r="BF169" t="str">
        <f>HYPERLINK("http://dx.doi.org/10.1007/s13280-013-0418-2","http://dx.doi.org/10.1007/s13280-013-0418-2")</f>
        <v>http://dx.doi.org/10.1007/s13280-013-0418-2</v>
      </c>
      <c r="BG169" t="s">
        <v>74</v>
      </c>
      <c r="BH169" t="s">
        <v>74</v>
      </c>
      <c r="BI169">
        <v>5</v>
      </c>
      <c r="BJ169" t="s">
        <v>3642</v>
      </c>
      <c r="BK169" t="s">
        <v>101</v>
      </c>
      <c r="BL169" t="s">
        <v>3643</v>
      </c>
      <c r="BM169" t="s">
        <v>3644</v>
      </c>
      <c r="BN169">
        <v>23852880</v>
      </c>
      <c r="BO169" t="s">
        <v>234</v>
      </c>
      <c r="BP169" t="s">
        <v>74</v>
      </c>
      <c r="BQ169" t="s">
        <v>74</v>
      </c>
      <c r="BR169" t="s">
        <v>104</v>
      </c>
      <c r="BS169" t="s">
        <v>3645</v>
      </c>
      <c r="BT169" t="str">
        <f>HYPERLINK("https%3A%2F%2Fwww.webofscience.com%2Fwos%2Fwoscc%2Ffull-record%2FWOS:000330956900006","View Full Record in Web of Science")</f>
        <v>View Full Record in Web of Science</v>
      </c>
    </row>
    <row r="170" spans="1:72" x14ac:dyDescent="0.15">
      <c r="A170" t="s">
        <v>72</v>
      </c>
      <c r="B170" t="s">
        <v>3646</v>
      </c>
      <c r="C170" t="s">
        <v>74</v>
      </c>
      <c r="D170" t="s">
        <v>74</v>
      </c>
      <c r="E170" t="s">
        <v>74</v>
      </c>
      <c r="F170" t="s">
        <v>3647</v>
      </c>
      <c r="G170" t="s">
        <v>74</v>
      </c>
      <c r="H170" t="s">
        <v>74</v>
      </c>
      <c r="I170" t="s">
        <v>3648</v>
      </c>
      <c r="J170" t="s">
        <v>3649</v>
      </c>
      <c r="K170" t="s">
        <v>74</v>
      </c>
      <c r="L170" t="s">
        <v>74</v>
      </c>
      <c r="M170" t="s">
        <v>78</v>
      </c>
      <c r="N170" t="s">
        <v>79</v>
      </c>
      <c r="O170" t="s">
        <v>74</v>
      </c>
      <c r="P170" t="s">
        <v>74</v>
      </c>
      <c r="Q170" t="s">
        <v>74</v>
      </c>
      <c r="R170" t="s">
        <v>74</v>
      </c>
      <c r="S170" t="s">
        <v>74</v>
      </c>
      <c r="T170" t="s">
        <v>3650</v>
      </c>
      <c r="U170" t="s">
        <v>3651</v>
      </c>
      <c r="V170" t="s">
        <v>3652</v>
      </c>
      <c r="W170" t="s">
        <v>3653</v>
      </c>
      <c r="X170" t="s">
        <v>2706</v>
      </c>
      <c r="Y170" t="s">
        <v>3654</v>
      </c>
      <c r="Z170" t="s">
        <v>3655</v>
      </c>
      <c r="AA170" t="s">
        <v>3656</v>
      </c>
      <c r="AB170" t="s">
        <v>3657</v>
      </c>
      <c r="AC170" t="s">
        <v>3658</v>
      </c>
      <c r="AD170" t="s">
        <v>3659</v>
      </c>
      <c r="AE170" t="s">
        <v>3660</v>
      </c>
      <c r="AF170" t="s">
        <v>74</v>
      </c>
      <c r="AG170">
        <v>33</v>
      </c>
      <c r="AH170">
        <v>1</v>
      </c>
      <c r="AI170">
        <v>1</v>
      </c>
      <c r="AJ170">
        <v>1</v>
      </c>
      <c r="AK170">
        <v>17</v>
      </c>
      <c r="AL170" t="s">
        <v>3661</v>
      </c>
      <c r="AM170" t="s">
        <v>704</v>
      </c>
      <c r="AN170" t="s">
        <v>3662</v>
      </c>
      <c r="AO170" t="s">
        <v>3663</v>
      </c>
      <c r="AP170" t="s">
        <v>3664</v>
      </c>
      <c r="AQ170" t="s">
        <v>74</v>
      </c>
      <c r="AR170" t="s">
        <v>3665</v>
      </c>
      <c r="AS170" t="s">
        <v>3666</v>
      </c>
      <c r="AT170" t="s">
        <v>2376</v>
      </c>
      <c r="AU170">
        <v>2014</v>
      </c>
      <c r="AV170">
        <v>64</v>
      </c>
      <c r="AW170">
        <v>1</v>
      </c>
      <c r="AX170" t="s">
        <v>74</v>
      </c>
      <c r="AY170" t="s">
        <v>74</v>
      </c>
      <c r="AZ170" t="s">
        <v>74</v>
      </c>
      <c r="BA170" t="s">
        <v>74</v>
      </c>
      <c r="BB170">
        <v>365</v>
      </c>
      <c r="BC170">
        <v>376</v>
      </c>
      <c r="BD170" t="s">
        <v>74</v>
      </c>
      <c r="BE170" t="s">
        <v>3667</v>
      </c>
      <c r="BF170" t="str">
        <f>HYPERLINK("http://dx.doi.org/10.1007/s13213-013-0671-4","http://dx.doi.org/10.1007/s13213-013-0671-4")</f>
        <v>http://dx.doi.org/10.1007/s13213-013-0671-4</v>
      </c>
      <c r="BG170" t="s">
        <v>74</v>
      </c>
      <c r="BH170" t="s">
        <v>74</v>
      </c>
      <c r="BI170">
        <v>12</v>
      </c>
      <c r="BJ170" t="s">
        <v>3668</v>
      </c>
      <c r="BK170" t="s">
        <v>101</v>
      </c>
      <c r="BL170" t="s">
        <v>3668</v>
      </c>
      <c r="BM170" t="s">
        <v>3669</v>
      </c>
      <c r="BN170" t="s">
        <v>74</v>
      </c>
      <c r="BO170" t="s">
        <v>200</v>
      </c>
      <c r="BP170" t="s">
        <v>74</v>
      </c>
      <c r="BQ170" t="s">
        <v>74</v>
      </c>
      <c r="BR170" t="s">
        <v>104</v>
      </c>
      <c r="BS170" t="s">
        <v>3670</v>
      </c>
      <c r="BT170" t="str">
        <f>HYPERLINK("https%3A%2F%2Fwww.webofscience.com%2Fwos%2Fwoscc%2Ffull-record%2FWOS:000331648300038","View Full Record in Web of Science")</f>
        <v>View Full Record in Web of Science</v>
      </c>
    </row>
    <row r="171" spans="1:72" x14ac:dyDescent="0.15">
      <c r="A171" t="s">
        <v>72</v>
      </c>
      <c r="B171" t="s">
        <v>3671</v>
      </c>
      <c r="C171" t="s">
        <v>74</v>
      </c>
      <c r="D171" t="s">
        <v>74</v>
      </c>
      <c r="E171" t="s">
        <v>74</v>
      </c>
      <c r="F171" t="s">
        <v>3672</v>
      </c>
      <c r="G171" t="s">
        <v>74</v>
      </c>
      <c r="H171" t="s">
        <v>74</v>
      </c>
      <c r="I171" t="s">
        <v>3673</v>
      </c>
      <c r="J171" t="s">
        <v>3674</v>
      </c>
      <c r="K171" t="s">
        <v>74</v>
      </c>
      <c r="L171" t="s">
        <v>74</v>
      </c>
      <c r="M171" t="s">
        <v>78</v>
      </c>
      <c r="N171" t="s">
        <v>79</v>
      </c>
      <c r="O171" t="s">
        <v>74</v>
      </c>
      <c r="P171" t="s">
        <v>74</v>
      </c>
      <c r="Q171" t="s">
        <v>74</v>
      </c>
      <c r="R171" t="s">
        <v>74</v>
      </c>
      <c r="S171" t="s">
        <v>74</v>
      </c>
      <c r="T171" t="s">
        <v>3675</v>
      </c>
      <c r="U171" t="s">
        <v>3676</v>
      </c>
      <c r="V171" t="s">
        <v>3677</v>
      </c>
      <c r="W171" t="s">
        <v>3678</v>
      </c>
      <c r="X171" t="s">
        <v>3679</v>
      </c>
      <c r="Y171" t="s">
        <v>3680</v>
      </c>
      <c r="Z171" t="s">
        <v>3681</v>
      </c>
      <c r="AA171" t="s">
        <v>3682</v>
      </c>
      <c r="AB171" t="s">
        <v>3683</v>
      </c>
      <c r="AC171" t="s">
        <v>3684</v>
      </c>
      <c r="AD171" t="s">
        <v>3685</v>
      </c>
      <c r="AE171" t="s">
        <v>3686</v>
      </c>
      <c r="AF171" t="s">
        <v>74</v>
      </c>
      <c r="AG171">
        <v>28</v>
      </c>
      <c r="AH171">
        <v>27</v>
      </c>
      <c r="AI171">
        <v>27</v>
      </c>
      <c r="AJ171">
        <v>0</v>
      </c>
      <c r="AK171">
        <v>25</v>
      </c>
      <c r="AL171" t="s">
        <v>145</v>
      </c>
      <c r="AM171" t="s">
        <v>92</v>
      </c>
      <c r="AN171" t="s">
        <v>472</v>
      </c>
      <c r="AO171" t="s">
        <v>3687</v>
      </c>
      <c r="AP171" t="s">
        <v>3688</v>
      </c>
      <c r="AQ171" t="s">
        <v>74</v>
      </c>
      <c r="AR171" t="s">
        <v>3689</v>
      </c>
      <c r="AS171" t="s">
        <v>3690</v>
      </c>
      <c r="AT171" t="s">
        <v>2376</v>
      </c>
      <c r="AU171">
        <v>2014</v>
      </c>
      <c r="AV171">
        <v>172</v>
      </c>
      <c r="AW171">
        <v>6</v>
      </c>
      <c r="AX171" t="s">
        <v>74</v>
      </c>
      <c r="AY171" t="s">
        <v>74</v>
      </c>
      <c r="AZ171" t="s">
        <v>74</v>
      </c>
      <c r="BA171" t="s">
        <v>74</v>
      </c>
      <c r="BB171">
        <v>3054</v>
      </c>
      <c r="BC171">
        <v>3068</v>
      </c>
      <c r="BD171" t="s">
        <v>74</v>
      </c>
      <c r="BE171" t="s">
        <v>3691</v>
      </c>
      <c r="BF171" t="str">
        <f>HYPERLINK("http://dx.doi.org/10.1007/s12010-013-0713-1","http://dx.doi.org/10.1007/s12010-013-0713-1")</f>
        <v>http://dx.doi.org/10.1007/s12010-013-0713-1</v>
      </c>
      <c r="BG171" t="s">
        <v>74</v>
      </c>
      <c r="BH171" t="s">
        <v>74</v>
      </c>
      <c r="BI171">
        <v>15</v>
      </c>
      <c r="BJ171" t="s">
        <v>3692</v>
      </c>
      <c r="BK171" t="s">
        <v>101</v>
      </c>
      <c r="BL171" t="s">
        <v>3692</v>
      </c>
      <c r="BM171" t="s">
        <v>3693</v>
      </c>
      <c r="BN171">
        <v>24488777</v>
      </c>
      <c r="BO171" t="s">
        <v>74</v>
      </c>
      <c r="BP171" t="s">
        <v>74</v>
      </c>
      <c r="BQ171" t="s">
        <v>74</v>
      </c>
      <c r="BR171" t="s">
        <v>104</v>
      </c>
      <c r="BS171" t="s">
        <v>3694</v>
      </c>
      <c r="BT171" t="str">
        <f>HYPERLINK("https%3A%2F%2Fwww.webofscience.com%2Fwos%2Fwoscc%2Ffull-record%2FWOS:000334432400021","View Full Record in Web of Science")</f>
        <v>View Full Record in Web of Science</v>
      </c>
    </row>
    <row r="172" spans="1:72" x14ac:dyDescent="0.15">
      <c r="A172" t="s">
        <v>72</v>
      </c>
      <c r="B172" t="s">
        <v>3695</v>
      </c>
      <c r="C172" t="s">
        <v>74</v>
      </c>
      <c r="D172" t="s">
        <v>74</v>
      </c>
      <c r="E172" t="s">
        <v>74</v>
      </c>
      <c r="F172" t="s">
        <v>3696</v>
      </c>
      <c r="G172" t="s">
        <v>74</v>
      </c>
      <c r="H172" t="s">
        <v>74</v>
      </c>
      <c r="I172" t="s">
        <v>3697</v>
      </c>
      <c r="J172" t="s">
        <v>3698</v>
      </c>
      <c r="K172" t="s">
        <v>74</v>
      </c>
      <c r="L172" t="s">
        <v>74</v>
      </c>
      <c r="M172" t="s">
        <v>78</v>
      </c>
      <c r="N172" t="s">
        <v>79</v>
      </c>
      <c r="O172" t="s">
        <v>74</v>
      </c>
      <c r="P172" t="s">
        <v>74</v>
      </c>
      <c r="Q172" t="s">
        <v>74</v>
      </c>
      <c r="R172" t="s">
        <v>74</v>
      </c>
      <c r="S172" t="s">
        <v>74</v>
      </c>
      <c r="T172" t="s">
        <v>3699</v>
      </c>
      <c r="U172" t="s">
        <v>3700</v>
      </c>
      <c r="V172" t="s">
        <v>3701</v>
      </c>
      <c r="W172" t="s">
        <v>3702</v>
      </c>
      <c r="X172" t="s">
        <v>3703</v>
      </c>
      <c r="Y172" t="s">
        <v>3704</v>
      </c>
      <c r="Z172" t="s">
        <v>3705</v>
      </c>
      <c r="AA172" t="s">
        <v>3706</v>
      </c>
      <c r="AB172" t="s">
        <v>3707</v>
      </c>
      <c r="AC172" t="s">
        <v>74</v>
      </c>
      <c r="AD172" t="s">
        <v>74</v>
      </c>
      <c r="AE172" t="s">
        <v>74</v>
      </c>
      <c r="AF172" t="s">
        <v>74</v>
      </c>
      <c r="AG172">
        <v>13</v>
      </c>
      <c r="AH172">
        <v>49</v>
      </c>
      <c r="AI172">
        <v>54</v>
      </c>
      <c r="AJ172">
        <v>0</v>
      </c>
      <c r="AK172">
        <v>8</v>
      </c>
      <c r="AL172" t="s">
        <v>946</v>
      </c>
      <c r="AM172" t="s">
        <v>522</v>
      </c>
      <c r="AN172" t="s">
        <v>947</v>
      </c>
      <c r="AO172" t="s">
        <v>3708</v>
      </c>
      <c r="AP172" t="s">
        <v>74</v>
      </c>
      <c r="AQ172" t="s">
        <v>74</v>
      </c>
      <c r="AR172" t="s">
        <v>3709</v>
      </c>
      <c r="AS172" t="s">
        <v>3710</v>
      </c>
      <c r="AT172" t="s">
        <v>2376</v>
      </c>
      <c r="AU172">
        <v>2014</v>
      </c>
      <c r="AV172">
        <v>29</v>
      </c>
      <c r="AW172" t="s">
        <v>74</v>
      </c>
      <c r="AX172" t="s">
        <v>74</v>
      </c>
      <c r="AY172" t="s">
        <v>74</v>
      </c>
      <c r="AZ172" t="s">
        <v>74</v>
      </c>
      <c r="BA172" t="s">
        <v>74</v>
      </c>
      <c r="BB172">
        <v>20</v>
      </c>
      <c r="BC172">
        <v>25</v>
      </c>
      <c r="BD172" t="s">
        <v>74</v>
      </c>
      <c r="BE172" t="s">
        <v>3711</v>
      </c>
      <c r="BF172" t="str">
        <f>HYPERLINK("http://dx.doi.org/10.1016/j.aml.2013.10.008","http://dx.doi.org/10.1016/j.aml.2013.10.008")</f>
        <v>http://dx.doi.org/10.1016/j.aml.2013.10.008</v>
      </c>
      <c r="BG172" t="s">
        <v>74</v>
      </c>
      <c r="BH172" t="s">
        <v>74</v>
      </c>
      <c r="BI172">
        <v>6</v>
      </c>
      <c r="BJ172" t="s">
        <v>3712</v>
      </c>
      <c r="BK172" t="s">
        <v>101</v>
      </c>
      <c r="BL172" t="s">
        <v>3713</v>
      </c>
      <c r="BM172" t="s">
        <v>3714</v>
      </c>
      <c r="BN172" t="s">
        <v>74</v>
      </c>
      <c r="BO172" t="s">
        <v>1244</v>
      </c>
      <c r="BP172" t="s">
        <v>74</v>
      </c>
      <c r="BQ172" t="s">
        <v>74</v>
      </c>
      <c r="BR172" t="s">
        <v>104</v>
      </c>
      <c r="BS172" t="s">
        <v>3715</v>
      </c>
      <c r="BT172" t="str">
        <f>HYPERLINK("https%3A%2F%2Fwww.webofscience.com%2Fwos%2Fwoscc%2Ffull-record%2FWOS:000329382000004","View Full Record in Web of Science")</f>
        <v>View Full Record in Web of Science</v>
      </c>
    </row>
    <row r="173" spans="1:72" x14ac:dyDescent="0.15">
      <c r="A173" t="s">
        <v>72</v>
      </c>
      <c r="B173" t="s">
        <v>3716</v>
      </c>
      <c r="C173" t="s">
        <v>74</v>
      </c>
      <c r="D173" t="s">
        <v>74</v>
      </c>
      <c r="E173" t="s">
        <v>74</v>
      </c>
      <c r="F173" t="s">
        <v>3717</v>
      </c>
      <c r="G173" t="s">
        <v>74</v>
      </c>
      <c r="H173" t="s">
        <v>74</v>
      </c>
      <c r="I173" t="s">
        <v>3718</v>
      </c>
      <c r="J173" t="s">
        <v>3719</v>
      </c>
      <c r="K173" t="s">
        <v>74</v>
      </c>
      <c r="L173" t="s">
        <v>74</v>
      </c>
      <c r="M173" t="s">
        <v>78</v>
      </c>
      <c r="N173" t="s">
        <v>79</v>
      </c>
      <c r="O173" t="s">
        <v>74</v>
      </c>
      <c r="P173" t="s">
        <v>74</v>
      </c>
      <c r="Q173" t="s">
        <v>74</v>
      </c>
      <c r="R173" t="s">
        <v>74</v>
      </c>
      <c r="S173" t="s">
        <v>74</v>
      </c>
      <c r="T173" t="s">
        <v>3720</v>
      </c>
      <c r="U173" t="s">
        <v>3721</v>
      </c>
      <c r="V173" t="s">
        <v>3722</v>
      </c>
      <c r="W173" t="s">
        <v>3723</v>
      </c>
      <c r="X173" t="s">
        <v>3724</v>
      </c>
      <c r="Y173" t="s">
        <v>3725</v>
      </c>
      <c r="Z173" t="s">
        <v>3726</v>
      </c>
      <c r="AA173" t="s">
        <v>3727</v>
      </c>
      <c r="AB173" t="s">
        <v>3728</v>
      </c>
      <c r="AC173" t="s">
        <v>3729</v>
      </c>
      <c r="AD173" t="s">
        <v>3730</v>
      </c>
      <c r="AE173" t="s">
        <v>3731</v>
      </c>
      <c r="AF173" t="s">
        <v>74</v>
      </c>
      <c r="AG173">
        <v>86</v>
      </c>
      <c r="AH173">
        <v>41</v>
      </c>
      <c r="AI173">
        <v>41</v>
      </c>
      <c r="AJ173">
        <v>2</v>
      </c>
      <c r="AK173">
        <v>46</v>
      </c>
      <c r="AL173" t="s">
        <v>521</v>
      </c>
      <c r="AM173" t="s">
        <v>522</v>
      </c>
      <c r="AN173" t="s">
        <v>523</v>
      </c>
      <c r="AO173" t="s">
        <v>3732</v>
      </c>
      <c r="AP173" t="s">
        <v>3733</v>
      </c>
      <c r="AQ173" t="s">
        <v>74</v>
      </c>
      <c r="AR173" t="s">
        <v>3734</v>
      </c>
      <c r="AS173" t="s">
        <v>3735</v>
      </c>
      <c r="AT173" t="s">
        <v>2376</v>
      </c>
      <c r="AU173">
        <v>2014</v>
      </c>
      <c r="AV173">
        <v>171</v>
      </c>
      <c r="AW173" t="s">
        <v>74</v>
      </c>
      <c r="AX173" t="s">
        <v>74</v>
      </c>
      <c r="AY173" t="s">
        <v>74</v>
      </c>
      <c r="AZ173" t="s">
        <v>74</v>
      </c>
      <c r="BA173" t="s">
        <v>74</v>
      </c>
      <c r="BB173">
        <v>9</v>
      </c>
      <c r="BC173">
        <v>20</v>
      </c>
      <c r="BD173" t="s">
        <v>74</v>
      </c>
      <c r="BE173" t="s">
        <v>3736</v>
      </c>
      <c r="BF173" t="str">
        <f>HYPERLINK("http://dx.doi.org/10.1016/j.biocon.2013.12.035","http://dx.doi.org/10.1016/j.biocon.2013.12.035")</f>
        <v>http://dx.doi.org/10.1016/j.biocon.2013.12.035</v>
      </c>
      <c r="BG173" t="s">
        <v>74</v>
      </c>
      <c r="BH173" t="s">
        <v>74</v>
      </c>
      <c r="BI173">
        <v>12</v>
      </c>
      <c r="BJ173" t="s">
        <v>411</v>
      </c>
      <c r="BK173" t="s">
        <v>101</v>
      </c>
      <c r="BL173" t="s">
        <v>412</v>
      </c>
      <c r="BM173" t="s">
        <v>3737</v>
      </c>
      <c r="BN173" t="s">
        <v>74</v>
      </c>
      <c r="BO173" t="s">
        <v>252</v>
      </c>
      <c r="BP173" t="s">
        <v>74</v>
      </c>
      <c r="BQ173" t="s">
        <v>74</v>
      </c>
      <c r="BR173" t="s">
        <v>104</v>
      </c>
      <c r="BS173" t="s">
        <v>3738</v>
      </c>
      <c r="BT173" t="str">
        <f>HYPERLINK("https%3A%2F%2Fwww.webofscience.com%2Fwos%2Fwoscc%2Ffull-record%2FWOS:000335486400002","View Full Record in Web of Science")</f>
        <v>View Full Record in Web of Science</v>
      </c>
    </row>
    <row r="174" spans="1:72" x14ac:dyDescent="0.15">
      <c r="A174" t="s">
        <v>72</v>
      </c>
      <c r="B174" t="s">
        <v>3739</v>
      </c>
      <c r="C174" t="s">
        <v>74</v>
      </c>
      <c r="D174" t="s">
        <v>74</v>
      </c>
      <c r="E174" t="s">
        <v>74</v>
      </c>
      <c r="F174" t="s">
        <v>3740</v>
      </c>
      <c r="G174" t="s">
        <v>74</v>
      </c>
      <c r="H174" t="s">
        <v>74</v>
      </c>
      <c r="I174" t="s">
        <v>3741</v>
      </c>
      <c r="J174" t="s">
        <v>3719</v>
      </c>
      <c r="K174" t="s">
        <v>74</v>
      </c>
      <c r="L174" t="s">
        <v>74</v>
      </c>
      <c r="M174" t="s">
        <v>78</v>
      </c>
      <c r="N174" t="s">
        <v>79</v>
      </c>
      <c r="O174" t="s">
        <v>74</v>
      </c>
      <c r="P174" t="s">
        <v>74</v>
      </c>
      <c r="Q174" t="s">
        <v>74</v>
      </c>
      <c r="R174" t="s">
        <v>74</v>
      </c>
      <c r="S174" t="s">
        <v>74</v>
      </c>
      <c r="T174" t="s">
        <v>3742</v>
      </c>
      <c r="U174" t="s">
        <v>3743</v>
      </c>
      <c r="V174" t="s">
        <v>3744</v>
      </c>
      <c r="W174" t="s">
        <v>3745</v>
      </c>
      <c r="X174" t="s">
        <v>3746</v>
      </c>
      <c r="Y174" t="s">
        <v>3747</v>
      </c>
      <c r="Z174" t="s">
        <v>3748</v>
      </c>
      <c r="AA174" t="s">
        <v>3749</v>
      </c>
      <c r="AB174" t="s">
        <v>3750</v>
      </c>
      <c r="AC174" t="s">
        <v>3751</v>
      </c>
      <c r="AD174" t="s">
        <v>3752</v>
      </c>
      <c r="AE174" t="s">
        <v>3753</v>
      </c>
      <c r="AF174" t="s">
        <v>74</v>
      </c>
      <c r="AG174">
        <v>61</v>
      </c>
      <c r="AH174">
        <v>57</v>
      </c>
      <c r="AI174">
        <v>63</v>
      </c>
      <c r="AJ174">
        <v>0</v>
      </c>
      <c r="AK174">
        <v>98</v>
      </c>
      <c r="AL174" t="s">
        <v>521</v>
      </c>
      <c r="AM174" t="s">
        <v>522</v>
      </c>
      <c r="AN174" t="s">
        <v>523</v>
      </c>
      <c r="AO174" t="s">
        <v>3732</v>
      </c>
      <c r="AP174" t="s">
        <v>3733</v>
      </c>
      <c r="AQ174" t="s">
        <v>74</v>
      </c>
      <c r="AR174" t="s">
        <v>3734</v>
      </c>
      <c r="AS174" t="s">
        <v>3735</v>
      </c>
      <c r="AT174" t="s">
        <v>2376</v>
      </c>
      <c r="AU174">
        <v>2014</v>
      </c>
      <c r="AV174">
        <v>171</v>
      </c>
      <c r="AW174" t="s">
        <v>74</v>
      </c>
      <c r="AX174" t="s">
        <v>74</v>
      </c>
      <c r="AY174" t="s">
        <v>74</v>
      </c>
      <c r="AZ174" t="s">
        <v>74</v>
      </c>
      <c r="BA174" t="s">
        <v>74</v>
      </c>
      <c r="BB174">
        <v>278</v>
      </c>
      <c r="BC174">
        <v>284</v>
      </c>
      <c r="BD174" t="s">
        <v>74</v>
      </c>
      <c r="BE174" t="s">
        <v>3754</v>
      </c>
      <c r="BF174" t="str">
        <f>HYPERLINK("http://dx.doi.org/10.1016/j.biocon.2014.01.038","http://dx.doi.org/10.1016/j.biocon.2014.01.038")</f>
        <v>http://dx.doi.org/10.1016/j.biocon.2014.01.038</v>
      </c>
      <c r="BG174" t="s">
        <v>74</v>
      </c>
      <c r="BH174" t="s">
        <v>74</v>
      </c>
      <c r="BI174">
        <v>7</v>
      </c>
      <c r="BJ174" t="s">
        <v>411</v>
      </c>
      <c r="BK174" t="s">
        <v>101</v>
      </c>
      <c r="BL174" t="s">
        <v>412</v>
      </c>
      <c r="BM174" t="s">
        <v>3737</v>
      </c>
      <c r="BN174" t="s">
        <v>74</v>
      </c>
      <c r="BO174" t="s">
        <v>3755</v>
      </c>
      <c r="BP174" t="s">
        <v>74</v>
      </c>
      <c r="BQ174" t="s">
        <v>74</v>
      </c>
      <c r="BR174" t="s">
        <v>104</v>
      </c>
      <c r="BS174" t="s">
        <v>3756</v>
      </c>
      <c r="BT174" t="str">
        <f>HYPERLINK("https%3A%2F%2Fwww.webofscience.com%2Fwos%2Fwoscc%2Ffull-record%2FWOS:000335486400030","View Full Record in Web of Science")</f>
        <v>View Full Record in Web of Science</v>
      </c>
    </row>
    <row r="175" spans="1:72" x14ac:dyDescent="0.15">
      <c r="A175" t="s">
        <v>72</v>
      </c>
      <c r="B175" t="s">
        <v>3757</v>
      </c>
      <c r="C175" t="s">
        <v>74</v>
      </c>
      <c r="D175" t="s">
        <v>74</v>
      </c>
      <c r="E175" t="s">
        <v>74</v>
      </c>
      <c r="F175" t="s">
        <v>3758</v>
      </c>
      <c r="G175" t="s">
        <v>74</v>
      </c>
      <c r="H175" t="s">
        <v>74</v>
      </c>
      <c r="I175" t="s">
        <v>3759</v>
      </c>
      <c r="J175" t="s">
        <v>3471</v>
      </c>
      <c r="K175" t="s">
        <v>74</v>
      </c>
      <c r="L175" t="s">
        <v>74</v>
      </c>
      <c r="M175" t="s">
        <v>78</v>
      </c>
      <c r="N175" t="s">
        <v>79</v>
      </c>
      <c r="O175" t="s">
        <v>74</v>
      </c>
      <c r="P175" t="s">
        <v>74</v>
      </c>
      <c r="Q175" t="s">
        <v>74</v>
      </c>
      <c r="R175" t="s">
        <v>74</v>
      </c>
      <c r="S175" t="s">
        <v>74</v>
      </c>
      <c r="T175" t="s">
        <v>3760</v>
      </c>
      <c r="U175" t="s">
        <v>3761</v>
      </c>
      <c r="V175" t="s">
        <v>3762</v>
      </c>
      <c r="W175" t="s">
        <v>3763</v>
      </c>
      <c r="X175" t="s">
        <v>3764</v>
      </c>
      <c r="Y175" t="s">
        <v>3765</v>
      </c>
      <c r="Z175" t="s">
        <v>3766</v>
      </c>
      <c r="AA175" t="s">
        <v>3767</v>
      </c>
      <c r="AB175" t="s">
        <v>3768</v>
      </c>
      <c r="AC175" t="s">
        <v>3769</v>
      </c>
      <c r="AD175" t="s">
        <v>3770</v>
      </c>
      <c r="AE175" t="s">
        <v>3771</v>
      </c>
      <c r="AF175" t="s">
        <v>74</v>
      </c>
      <c r="AG175">
        <v>73</v>
      </c>
      <c r="AH175">
        <v>66</v>
      </c>
      <c r="AI175">
        <v>72</v>
      </c>
      <c r="AJ175">
        <v>2</v>
      </c>
      <c r="AK175">
        <v>58</v>
      </c>
      <c r="AL175" t="s">
        <v>652</v>
      </c>
      <c r="AM175" t="s">
        <v>653</v>
      </c>
      <c r="AN175" t="s">
        <v>654</v>
      </c>
      <c r="AO175" t="s">
        <v>3483</v>
      </c>
      <c r="AP175" t="s">
        <v>3484</v>
      </c>
      <c r="AQ175" t="s">
        <v>74</v>
      </c>
      <c r="AR175" t="s">
        <v>3485</v>
      </c>
      <c r="AS175" t="s">
        <v>3486</v>
      </c>
      <c r="AT175" t="s">
        <v>2644</v>
      </c>
      <c r="AU175">
        <v>2014</v>
      </c>
      <c r="AV175">
        <v>389</v>
      </c>
      <c r="AW175" t="s">
        <v>74</v>
      </c>
      <c r="AX175" t="s">
        <v>74</v>
      </c>
      <c r="AY175" t="s">
        <v>74</v>
      </c>
      <c r="AZ175" t="s">
        <v>74</v>
      </c>
      <c r="BA175" t="s">
        <v>74</v>
      </c>
      <c r="BB175">
        <v>200</v>
      </c>
      <c r="BC175">
        <v>208</v>
      </c>
      <c r="BD175" t="s">
        <v>74</v>
      </c>
      <c r="BE175" t="s">
        <v>3772</v>
      </c>
      <c r="BF175" t="str">
        <f>HYPERLINK("http://dx.doi.org/10.1016/j.epsl.2013.12.037","http://dx.doi.org/10.1016/j.epsl.2013.12.037")</f>
        <v>http://dx.doi.org/10.1016/j.epsl.2013.12.037</v>
      </c>
      <c r="BG175" t="s">
        <v>74</v>
      </c>
      <c r="BH175" t="s">
        <v>74</v>
      </c>
      <c r="BI175">
        <v>9</v>
      </c>
      <c r="BJ175" t="s">
        <v>574</v>
      </c>
      <c r="BK175" t="s">
        <v>101</v>
      </c>
      <c r="BL175" t="s">
        <v>574</v>
      </c>
      <c r="BM175" t="s">
        <v>3488</v>
      </c>
      <c r="BN175" t="s">
        <v>74</v>
      </c>
      <c r="BO175" t="s">
        <v>3773</v>
      </c>
      <c r="BP175" t="s">
        <v>74</v>
      </c>
      <c r="BQ175" t="s">
        <v>74</v>
      </c>
      <c r="BR175" t="s">
        <v>104</v>
      </c>
      <c r="BS175" t="s">
        <v>3774</v>
      </c>
      <c r="BT175" t="str">
        <f>HYPERLINK("https%3A%2F%2Fwww.webofscience.com%2Fwos%2Fwoscc%2Ffull-record%2FWOS:000331923400020","View Full Record in Web of Science")</f>
        <v>View Full Record in Web of Science</v>
      </c>
    </row>
    <row r="176" spans="1:72" x14ac:dyDescent="0.15">
      <c r="A176" t="s">
        <v>72</v>
      </c>
      <c r="B176" t="s">
        <v>3775</v>
      </c>
      <c r="C176" t="s">
        <v>74</v>
      </c>
      <c r="D176" t="s">
        <v>74</v>
      </c>
      <c r="E176" t="s">
        <v>74</v>
      </c>
      <c r="F176" t="s">
        <v>3776</v>
      </c>
      <c r="G176" t="s">
        <v>74</v>
      </c>
      <c r="H176" t="s">
        <v>74</v>
      </c>
      <c r="I176" t="s">
        <v>3777</v>
      </c>
      <c r="J176" t="s">
        <v>3778</v>
      </c>
      <c r="K176" t="s">
        <v>74</v>
      </c>
      <c r="L176" t="s">
        <v>74</v>
      </c>
      <c r="M176" t="s">
        <v>78</v>
      </c>
      <c r="N176" t="s">
        <v>79</v>
      </c>
      <c r="O176" t="s">
        <v>74</v>
      </c>
      <c r="P176" t="s">
        <v>74</v>
      </c>
      <c r="Q176" t="s">
        <v>74</v>
      </c>
      <c r="R176" t="s">
        <v>74</v>
      </c>
      <c r="S176" t="s">
        <v>74</v>
      </c>
      <c r="T176" t="s">
        <v>3779</v>
      </c>
      <c r="U176" t="s">
        <v>3780</v>
      </c>
      <c r="V176" t="s">
        <v>3781</v>
      </c>
      <c r="W176" t="s">
        <v>3782</v>
      </c>
      <c r="X176" t="s">
        <v>3783</v>
      </c>
      <c r="Y176" t="s">
        <v>3784</v>
      </c>
      <c r="Z176" t="s">
        <v>3785</v>
      </c>
      <c r="AA176" t="s">
        <v>3786</v>
      </c>
      <c r="AB176" t="s">
        <v>3787</v>
      </c>
      <c r="AC176" t="s">
        <v>3788</v>
      </c>
      <c r="AD176" t="s">
        <v>3788</v>
      </c>
      <c r="AE176" t="s">
        <v>3789</v>
      </c>
      <c r="AF176" t="s">
        <v>74</v>
      </c>
      <c r="AG176">
        <v>29</v>
      </c>
      <c r="AH176">
        <v>16</v>
      </c>
      <c r="AI176">
        <v>16</v>
      </c>
      <c r="AJ176">
        <v>0</v>
      </c>
      <c r="AK176">
        <v>20</v>
      </c>
      <c r="AL176" t="s">
        <v>145</v>
      </c>
      <c r="AM176" t="s">
        <v>92</v>
      </c>
      <c r="AN176" t="s">
        <v>472</v>
      </c>
      <c r="AO176" t="s">
        <v>3790</v>
      </c>
      <c r="AP176" t="s">
        <v>3791</v>
      </c>
      <c r="AQ176" t="s">
        <v>74</v>
      </c>
      <c r="AR176" t="s">
        <v>3792</v>
      </c>
      <c r="AS176" t="s">
        <v>3793</v>
      </c>
      <c r="AT176" t="s">
        <v>2376</v>
      </c>
      <c r="AU176">
        <v>2014</v>
      </c>
      <c r="AV176">
        <v>97</v>
      </c>
      <c r="AW176">
        <v>3</v>
      </c>
      <c r="AX176" t="s">
        <v>74</v>
      </c>
      <c r="AY176" t="s">
        <v>74</v>
      </c>
      <c r="AZ176" t="s">
        <v>74</v>
      </c>
      <c r="BA176" t="s">
        <v>74</v>
      </c>
      <c r="BB176">
        <v>277</v>
      </c>
      <c r="BC176">
        <v>283</v>
      </c>
      <c r="BD176" t="s">
        <v>74</v>
      </c>
      <c r="BE176" t="s">
        <v>3794</v>
      </c>
      <c r="BF176" t="str">
        <f>HYPERLINK("http://dx.doi.org/10.1007/s10641-013-0150-6","http://dx.doi.org/10.1007/s10641-013-0150-6")</f>
        <v>http://dx.doi.org/10.1007/s10641-013-0150-6</v>
      </c>
      <c r="BG176" t="s">
        <v>74</v>
      </c>
      <c r="BH176" t="s">
        <v>74</v>
      </c>
      <c r="BI176">
        <v>7</v>
      </c>
      <c r="BJ176" t="s">
        <v>3795</v>
      </c>
      <c r="BK176" t="s">
        <v>101</v>
      </c>
      <c r="BL176" t="s">
        <v>2115</v>
      </c>
      <c r="BM176" t="s">
        <v>3796</v>
      </c>
      <c r="BN176" t="s">
        <v>74</v>
      </c>
      <c r="BO176" t="s">
        <v>74</v>
      </c>
      <c r="BP176" t="s">
        <v>74</v>
      </c>
      <c r="BQ176" t="s">
        <v>74</v>
      </c>
      <c r="BR176" t="s">
        <v>104</v>
      </c>
      <c r="BS176" t="s">
        <v>3797</v>
      </c>
      <c r="BT176" t="str">
        <f>HYPERLINK("https%3A%2F%2Fwww.webofscience.com%2Fwos%2Fwoscc%2Ffull-record%2FWOS:000330350400006","View Full Record in Web of Science")</f>
        <v>View Full Record in Web of Science</v>
      </c>
    </row>
    <row r="177" spans="1:72" x14ac:dyDescent="0.15">
      <c r="A177" t="s">
        <v>72</v>
      </c>
      <c r="B177" t="s">
        <v>3798</v>
      </c>
      <c r="C177" t="s">
        <v>74</v>
      </c>
      <c r="D177" t="s">
        <v>74</v>
      </c>
      <c r="E177" t="s">
        <v>74</v>
      </c>
      <c r="F177" t="s">
        <v>3799</v>
      </c>
      <c r="G177" t="s">
        <v>74</v>
      </c>
      <c r="H177" t="s">
        <v>74</v>
      </c>
      <c r="I177" t="s">
        <v>3800</v>
      </c>
      <c r="J177" t="s">
        <v>3801</v>
      </c>
      <c r="K177" t="s">
        <v>74</v>
      </c>
      <c r="L177" t="s">
        <v>74</v>
      </c>
      <c r="M177" t="s">
        <v>78</v>
      </c>
      <c r="N177" t="s">
        <v>79</v>
      </c>
      <c r="O177" t="s">
        <v>74</v>
      </c>
      <c r="P177" t="s">
        <v>74</v>
      </c>
      <c r="Q177" t="s">
        <v>74</v>
      </c>
      <c r="R177" t="s">
        <v>74</v>
      </c>
      <c r="S177" t="s">
        <v>74</v>
      </c>
      <c r="T177" t="s">
        <v>3802</v>
      </c>
      <c r="U177" t="s">
        <v>3803</v>
      </c>
      <c r="V177" t="s">
        <v>3804</v>
      </c>
      <c r="W177" t="s">
        <v>3805</v>
      </c>
      <c r="X177" t="s">
        <v>3806</v>
      </c>
      <c r="Y177" t="s">
        <v>3807</v>
      </c>
      <c r="Z177" t="s">
        <v>3808</v>
      </c>
      <c r="AA177" t="s">
        <v>74</v>
      </c>
      <c r="AB177" t="s">
        <v>3809</v>
      </c>
      <c r="AC177" t="s">
        <v>3810</v>
      </c>
      <c r="AD177" t="s">
        <v>3811</v>
      </c>
      <c r="AE177" t="s">
        <v>3812</v>
      </c>
      <c r="AF177" t="s">
        <v>74</v>
      </c>
      <c r="AG177">
        <v>37</v>
      </c>
      <c r="AH177">
        <v>40</v>
      </c>
      <c r="AI177">
        <v>46</v>
      </c>
      <c r="AJ177">
        <v>4</v>
      </c>
      <c r="AK177">
        <v>30</v>
      </c>
      <c r="AL177" t="s">
        <v>323</v>
      </c>
      <c r="AM177" t="s">
        <v>324</v>
      </c>
      <c r="AN177" t="s">
        <v>325</v>
      </c>
      <c r="AO177" t="s">
        <v>3813</v>
      </c>
      <c r="AP177" t="s">
        <v>74</v>
      </c>
      <c r="AQ177" t="s">
        <v>74</v>
      </c>
      <c r="AR177" t="s">
        <v>3814</v>
      </c>
      <c r="AS177" t="s">
        <v>3815</v>
      </c>
      <c r="AT177" t="s">
        <v>2376</v>
      </c>
      <c r="AU177">
        <v>2014</v>
      </c>
      <c r="AV177">
        <v>9</v>
      </c>
      <c r="AW177">
        <v>3</v>
      </c>
      <c r="AX177" t="s">
        <v>74</v>
      </c>
      <c r="AY177" t="s">
        <v>74</v>
      </c>
      <c r="AZ177" t="s">
        <v>74</v>
      </c>
      <c r="BA177" t="s">
        <v>74</v>
      </c>
      <c r="BB177" t="s">
        <v>74</v>
      </c>
      <c r="BC177" t="s">
        <v>74</v>
      </c>
      <c r="BD177">
        <v>35008</v>
      </c>
      <c r="BE177" t="s">
        <v>3816</v>
      </c>
      <c r="BF177" t="str">
        <f>HYPERLINK("http://dx.doi.org/10.1088/1748-9326/9/3/035008","http://dx.doi.org/10.1088/1748-9326/9/3/035008")</f>
        <v>http://dx.doi.org/10.1088/1748-9326/9/3/035008</v>
      </c>
      <c r="BG177" t="s">
        <v>74</v>
      </c>
      <c r="BH177" t="s">
        <v>74</v>
      </c>
      <c r="BI177">
        <v>9</v>
      </c>
      <c r="BJ177" t="s">
        <v>3817</v>
      </c>
      <c r="BK177" t="s">
        <v>101</v>
      </c>
      <c r="BL177" t="s">
        <v>1081</v>
      </c>
      <c r="BM177" t="s">
        <v>3818</v>
      </c>
      <c r="BN177" t="s">
        <v>74</v>
      </c>
      <c r="BO177" t="s">
        <v>2318</v>
      </c>
      <c r="BP177" t="s">
        <v>74</v>
      </c>
      <c r="BQ177" t="s">
        <v>74</v>
      </c>
      <c r="BR177" t="s">
        <v>104</v>
      </c>
      <c r="BS177" t="s">
        <v>3819</v>
      </c>
      <c r="BT177" t="str">
        <f>HYPERLINK("https%3A%2F%2Fwww.webofscience.com%2Fwos%2Fwoscc%2Ffull-record%2FWOS:000334068000029","View Full Record in Web of Science")</f>
        <v>View Full Record in Web of Science</v>
      </c>
    </row>
    <row r="178" spans="1:72" x14ac:dyDescent="0.15">
      <c r="A178" t="s">
        <v>72</v>
      </c>
      <c r="B178" t="s">
        <v>3820</v>
      </c>
      <c r="C178" t="s">
        <v>74</v>
      </c>
      <c r="D178" t="s">
        <v>74</v>
      </c>
      <c r="E178" t="s">
        <v>74</v>
      </c>
      <c r="F178" t="s">
        <v>3821</v>
      </c>
      <c r="G178" t="s">
        <v>74</v>
      </c>
      <c r="H178" t="s">
        <v>74</v>
      </c>
      <c r="I178" t="s">
        <v>3822</v>
      </c>
      <c r="J178" t="s">
        <v>3823</v>
      </c>
      <c r="K178" t="s">
        <v>74</v>
      </c>
      <c r="L178" t="s">
        <v>74</v>
      </c>
      <c r="M178" t="s">
        <v>78</v>
      </c>
      <c r="N178" t="s">
        <v>79</v>
      </c>
      <c r="O178" t="s">
        <v>74</v>
      </c>
      <c r="P178" t="s">
        <v>74</v>
      </c>
      <c r="Q178" t="s">
        <v>74</v>
      </c>
      <c r="R178" t="s">
        <v>74</v>
      </c>
      <c r="S178" t="s">
        <v>74</v>
      </c>
      <c r="T178" t="s">
        <v>3824</v>
      </c>
      <c r="U178" t="s">
        <v>3825</v>
      </c>
      <c r="V178" t="s">
        <v>3826</v>
      </c>
      <c r="W178" t="s">
        <v>3827</v>
      </c>
      <c r="X178" t="s">
        <v>3828</v>
      </c>
      <c r="Y178" t="s">
        <v>3829</v>
      </c>
      <c r="Z178" t="s">
        <v>3830</v>
      </c>
      <c r="AA178" t="s">
        <v>74</v>
      </c>
      <c r="AB178" t="s">
        <v>74</v>
      </c>
      <c r="AC178" t="s">
        <v>3831</v>
      </c>
      <c r="AD178" t="s">
        <v>3832</v>
      </c>
      <c r="AE178" t="s">
        <v>3833</v>
      </c>
      <c r="AF178" t="s">
        <v>74</v>
      </c>
      <c r="AG178">
        <v>73</v>
      </c>
      <c r="AH178">
        <v>51</v>
      </c>
      <c r="AI178">
        <v>57</v>
      </c>
      <c r="AJ178">
        <v>8</v>
      </c>
      <c r="AK178">
        <v>95</v>
      </c>
      <c r="AL178" t="s">
        <v>3834</v>
      </c>
      <c r="AM178" t="s">
        <v>3835</v>
      </c>
      <c r="AN178" t="s">
        <v>3836</v>
      </c>
      <c r="AO178" t="s">
        <v>3837</v>
      </c>
      <c r="AP178" t="s">
        <v>3838</v>
      </c>
      <c r="AQ178" t="s">
        <v>74</v>
      </c>
      <c r="AR178" t="s">
        <v>3823</v>
      </c>
      <c r="AS178" t="s">
        <v>3839</v>
      </c>
      <c r="AT178" t="s">
        <v>2376</v>
      </c>
      <c r="AU178">
        <v>2014</v>
      </c>
      <c r="AV178">
        <v>18</v>
      </c>
      <c r="AW178">
        <v>2</v>
      </c>
      <c r="AX178" t="s">
        <v>74</v>
      </c>
      <c r="AY178" t="s">
        <v>74</v>
      </c>
      <c r="AZ178" t="s">
        <v>74</v>
      </c>
      <c r="BA178" t="s">
        <v>74</v>
      </c>
      <c r="BB178">
        <v>229</v>
      </c>
      <c r="BC178">
        <v>242</v>
      </c>
      <c r="BD178" t="s">
        <v>74</v>
      </c>
      <c r="BE178" t="s">
        <v>3840</v>
      </c>
      <c r="BF178" t="str">
        <f>HYPERLINK("http://dx.doi.org/10.1007/s00792-013-0609-6","http://dx.doi.org/10.1007/s00792-013-0609-6")</f>
        <v>http://dx.doi.org/10.1007/s00792-013-0609-6</v>
      </c>
      <c r="BG178" t="s">
        <v>74</v>
      </c>
      <c r="BH178" t="s">
        <v>74</v>
      </c>
      <c r="BI178">
        <v>14</v>
      </c>
      <c r="BJ178" t="s">
        <v>3841</v>
      </c>
      <c r="BK178" t="s">
        <v>101</v>
      </c>
      <c r="BL178" t="s">
        <v>3841</v>
      </c>
      <c r="BM178" t="s">
        <v>3842</v>
      </c>
      <c r="BN178">
        <v>24346230</v>
      </c>
      <c r="BO178" t="s">
        <v>74</v>
      </c>
      <c r="BP178" t="s">
        <v>74</v>
      </c>
      <c r="BQ178" t="s">
        <v>74</v>
      </c>
      <c r="BR178" t="s">
        <v>104</v>
      </c>
      <c r="BS178" t="s">
        <v>3843</v>
      </c>
      <c r="BT178" t="str">
        <f>HYPERLINK("https%3A%2F%2Fwww.webofscience.com%2Fwos%2Fwoscc%2Ffull-record%2FWOS:000331970700004","View Full Record in Web of Science")</f>
        <v>View Full Record in Web of Science</v>
      </c>
    </row>
    <row r="179" spans="1:72" x14ac:dyDescent="0.15">
      <c r="A179" t="s">
        <v>72</v>
      </c>
      <c r="B179" t="s">
        <v>3844</v>
      </c>
      <c r="C179" t="s">
        <v>74</v>
      </c>
      <c r="D179" t="s">
        <v>74</v>
      </c>
      <c r="E179" t="s">
        <v>74</v>
      </c>
      <c r="F179" t="s">
        <v>3845</v>
      </c>
      <c r="G179" t="s">
        <v>74</v>
      </c>
      <c r="H179" t="s">
        <v>74</v>
      </c>
      <c r="I179" t="s">
        <v>3846</v>
      </c>
      <c r="J179" t="s">
        <v>3847</v>
      </c>
      <c r="K179" t="s">
        <v>74</v>
      </c>
      <c r="L179" t="s">
        <v>74</v>
      </c>
      <c r="M179" t="s">
        <v>78</v>
      </c>
      <c r="N179" t="s">
        <v>79</v>
      </c>
      <c r="O179" t="s">
        <v>74</v>
      </c>
      <c r="P179" t="s">
        <v>74</v>
      </c>
      <c r="Q179" t="s">
        <v>74</v>
      </c>
      <c r="R179" t="s">
        <v>74</v>
      </c>
      <c r="S179" t="s">
        <v>74</v>
      </c>
      <c r="T179" t="s">
        <v>3848</v>
      </c>
      <c r="U179" t="s">
        <v>3849</v>
      </c>
      <c r="V179" t="s">
        <v>3850</v>
      </c>
      <c r="W179" t="s">
        <v>3851</v>
      </c>
      <c r="X179" t="s">
        <v>3852</v>
      </c>
      <c r="Y179" t="s">
        <v>3853</v>
      </c>
      <c r="Z179" t="s">
        <v>3854</v>
      </c>
      <c r="AA179" t="s">
        <v>3855</v>
      </c>
      <c r="AB179" t="s">
        <v>3856</v>
      </c>
      <c r="AC179" t="s">
        <v>3857</v>
      </c>
      <c r="AD179" t="s">
        <v>3857</v>
      </c>
      <c r="AE179" t="s">
        <v>3858</v>
      </c>
      <c r="AF179" t="s">
        <v>74</v>
      </c>
      <c r="AG179">
        <v>66</v>
      </c>
      <c r="AH179">
        <v>308</v>
      </c>
      <c r="AI179">
        <v>352</v>
      </c>
      <c r="AJ179">
        <v>18</v>
      </c>
      <c r="AK179">
        <v>280</v>
      </c>
      <c r="AL179" t="s">
        <v>403</v>
      </c>
      <c r="AM179" t="s">
        <v>404</v>
      </c>
      <c r="AN179" t="s">
        <v>405</v>
      </c>
      <c r="AO179" t="s">
        <v>3859</v>
      </c>
      <c r="AP179" t="s">
        <v>3860</v>
      </c>
      <c r="AQ179" t="s">
        <v>74</v>
      </c>
      <c r="AR179" t="s">
        <v>3861</v>
      </c>
      <c r="AS179" t="s">
        <v>3862</v>
      </c>
      <c r="AT179" t="s">
        <v>2376</v>
      </c>
      <c r="AU179">
        <v>2014</v>
      </c>
      <c r="AV179">
        <v>15</v>
      </c>
      <c r="AW179">
        <v>1</v>
      </c>
      <c r="AX179" t="s">
        <v>74</v>
      </c>
      <c r="AY179" t="s">
        <v>74</v>
      </c>
      <c r="AZ179" t="s">
        <v>74</v>
      </c>
      <c r="BA179" t="s">
        <v>74</v>
      </c>
      <c r="BB179">
        <v>43</v>
      </c>
      <c r="BC179">
        <v>64</v>
      </c>
      <c r="BD179" t="s">
        <v>74</v>
      </c>
      <c r="BE179" t="s">
        <v>3863</v>
      </c>
      <c r="BF179" t="str">
        <f>HYPERLINK("http://dx.doi.org/10.1111/faf.12004","http://dx.doi.org/10.1111/faf.12004")</f>
        <v>http://dx.doi.org/10.1111/faf.12004</v>
      </c>
      <c r="BG179" t="s">
        <v>74</v>
      </c>
      <c r="BH179" t="s">
        <v>74</v>
      </c>
      <c r="BI179">
        <v>22</v>
      </c>
      <c r="BJ179" t="s">
        <v>3864</v>
      </c>
      <c r="BK179" t="s">
        <v>101</v>
      </c>
      <c r="BL179" t="s">
        <v>3864</v>
      </c>
      <c r="BM179" t="s">
        <v>3865</v>
      </c>
      <c r="BN179" t="s">
        <v>74</v>
      </c>
      <c r="BO179" t="s">
        <v>74</v>
      </c>
      <c r="BP179" t="s">
        <v>811</v>
      </c>
      <c r="BQ179" t="s">
        <v>812</v>
      </c>
      <c r="BR179" t="s">
        <v>104</v>
      </c>
      <c r="BS179" t="s">
        <v>3866</v>
      </c>
      <c r="BT179" t="str">
        <f>HYPERLINK("https%3A%2F%2Fwww.webofscience.com%2Fwos%2Fwoscc%2Ffull-record%2FWOS:000329299900003","View Full Record in Web of Science")</f>
        <v>View Full Record in Web of Science</v>
      </c>
    </row>
    <row r="180" spans="1:72" x14ac:dyDescent="0.15">
      <c r="A180" t="s">
        <v>72</v>
      </c>
      <c r="B180" t="s">
        <v>3867</v>
      </c>
      <c r="C180" t="s">
        <v>74</v>
      </c>
      <c r="D180" t="s">
        <v>74</v>
      </c>
      <c r="E180" t="s">
        <v>74</v>
      </c>
      <c r="F180" t="s">
        <v>3868</v>
      </c>
      <c r="G180" t="s">
        <v>74</v>
      </c>
      <c r="H180" t="s">
        <v>74</v>
      </c>
      <c r="I180" t="s">
        <v>3869</v>
      </c>
      <c r="J180" t="s">
        <v>3847</v>
      </c>
      <c r="K180" t="s">
        <v>74</v>
      </c>
      <c r="L180" t="s">
        <v>74</v>
      </c>
      <c r="M180" t="s">
        <v>78</v>
      </c>
      <c r="N180" t="s">
        <v>79</v>
      </c>
      <c r="O180" t="s">
        <v>74</v>
      </c>
      <c r="P180" t="s">
        <v>74</v>
      </c>
      <c r="Q180" t="s">
        <v>74</v>
      </c>
      <c r="R180" t="s">
        <v>74</v>
      </c>
      <c r="S180" t="s">
        <v>74</v>
      </c>
      <c r="T180" t="s">
        <v>3870</v>
      </c>
      <c r="U180" t="s">
        <v>3871</v>
      </c>
      <c r="V180" t="s">
        <v>3872</v>
      </c>
      <c r="W180" t="s">
        <v>3873</v>
      </c>
      <c r="X180" t="s">
        <v>3874</v>
      </c>
      <c r="Y180" t="s">
        <v>3875</v>
      </c>
      <c r="Z180" t="s">
        <v>3876</v>
      </c>
      <c r="AA180" t="s">
        <v>3877</v>
      </c>
      <c r="AB180" t="s">
        <v>3878</v>
      </c>
      <c r="AC180" t="s">
        <v>3879</v>
      </c>
      <c r="AD180" t="s">
        <v>3879</v>
      </c>
      <c r="AE180" t="s">
        <v>3880</v>
      </c>
      <c r="AF180" t="s">
        <v>74</v>
      </c>
      <c r="AG180">
        <v>66</v>
      </c>
      <c r="AH180">
        <v>26</v>
      </c>
      <c r="AI180">
        <v>29</v>
      </c>
      <c r="AJ180">
        <v>1</v>
      </c>
      <c r="AK180">
        <v>34</v>
      </c>
      <c r="AL180" t="s">
        <v>403</v>
      </c>
      <c r="AM180" t="s">
        <v>404</v>
      </c>
      <c r="AN180" t="s">
        <v>405</v>
      </c>
      <c r="AO180" t="s">
        <v>3859</v>
      </c>
      <c r="AP180" t="s">
        <v>3860</v>
      </c>
      <c r="AQ180" t="s">
        <v>74</v>
      </c>
      <c r="AR180" t="s">
        <v>3861</v>
      </c>
      <c r="AS180" t="s">
        <v>3862</v>
      </c>
      <c r="AT180" t="s">
        <v>2376</v>
      </c>
      <c r="AU180">
        <v>2014</v>
      </c>
      <c r="AV180">
        <v>15</v>
      </c>
      <c r="AW180">
        <v>1</v>
      </c>
      <c r="AX180" t="s">
        <v>74</v>
      </c>
      <c r="AY180" t="s">
        <v>74</v>
      </c>
      <c r="AZ180" t="s">
        <v>74</v>
      </c>
      <c r="BA180" t="s">
        <v>74</v>
      </c>
      <c r="BB180">
        <v>151</v>
      </c>
      <c r="BC180">
        <v>169</v>
      </c>
      <c r="BD180" t="s">
        <v>74</v>
      </c>
      <c r="BE180" t="s">
        <v>3881</v>
      </c>
      <c r="BF180" t="str">
        <f>HYPERLINK("http://dx.doi.org/10.1111/faf.12015","http://dx.doi.org/10.1111/faf.12015")</f>
        <v>http://dx.doi.org/10.1111/faf.12015</v>
      </c>
      <c r="BG180" t="s">
        <v>74</v>
      </c>
      <c r="BH180" t="s">
        <v>74</v>
      </c>
      <c r="BI180">
        <v>19</v>
      </c>
      <c r="BJ180" t="s">
        <v>3864</v>
      </c>
      <c r="BK180" t="s">
        <v>479</v>
      </c>
      <c r="BL180" t="s">
        <v>3864</v>
      </c>
      <c r="BM180" t="s">
        <v>3865</v>
      </c>
      <c r="BN180" t="s">
        <v>74</v>
      </c>
      <c r="BO180" t="s">
        <v>74</v>
      </c>
      <c r="BP180" t="s">
        <v>74</v>
      </c>
      <c r="BQ180" t="s">
        <v>74</v>
      </c>
      <c r="BR180" t="s">
        <v>104</v>
      </c>
      <c r="BS180" t="s">
        <v>3882</v>
      </c>
      <c r="BT180" t="str">
        <f>HYPERLINK("https%3A%2F%2Fwww.webofscience.com%2Fwos%2Fwoscc%2Ffull-record%2FWOS:000329299900007","View Full Record in Web of Science")</f>
        <v>View Full Record in Web of Science</v>
      </c>
    </row>
    <row r="181" spans="1:72" x14ac:dyDescent="0.15">
      <c r="A181" t="s">
        <v>72</v>
      </c>
      <c r="B181" t="s">
        <v>3883</v>
      </c>
      <c r="C181" t="s">
        <v>74</v>
      </c>
      <c r="D181" t="s">
        <v>74</v>
      </c>
      <c r="E181" t="s">
        <v>74</v>
      </c>
      <c r="F181" t="s">
        <v>3884</v>
      </c>
      <c r="G181" t="s">
        <v>74</v>
      </c>
      <c r="H181" t="s">
        <v>74</v>
      </c>
      <c r="I181" t="s">
        <v>3885</v>
      </c>
      <c r="J181" t="s">
        <v>3032</v>
      </c>
      <c r="K181" t="s">
        <v>74</v>
      </c>
      <c r="L181" t="s">
        <v>74</v>
      </c>
      <c r="M181" t="s">
        <v>78</v>
      </c>
      <c r="N181" t="s">
        <v>79</v>
      </c>
      <c r="O181" t="s">
        <v>74</v>
      </c>
      <c r="P181" t="s">
        <v>74</v>
      </c>
      <c r="Q181" t="s">
        <v>74</v>
      </c>
      <c r="R181" t="s">
        <v>74</v>
      </c>
      <c r="S181" t="s">
        <v>74</v>
      </c>
      <c r="T181" t="s">
        <v>3886</v>
      </c>
      <c r="U181" t="s">
        <v>3887</v>
      </c>
      <c r="V181" t="s">
        <v>3888</v>
      </c>
      <c r="W181" t="s">
        <v>3889</v>
      </c>
      <c r="X181" t="s">
        <v>3890</v>
      </c>
      <c r="Y181" t="s">
        <v>3891</v>
      </c>
      <c r="Z181" t="s">
        <v>3039</v>
      </c>
      <c r="AA181" t="s">
        <v>3892</v>
      </c>
      <c r="AB181" t="s">
        <v>3893</v>
      </c>
      <c r="AC181" t="s">
        <v>3894</v>
      </c>
      <c r="AD181" t="s">
        <v>3895</v>
      </c>
      <c r="AE181" t="s">
        <v>3896</v>
      </c>
      <c r="AF181" t="s">
        <v>74</v>
      </c>
      <c r="AG181">
        <v>83</v>
      </c>
      <c r="AH181">
        <v>110</v>
      </c>
      <c r="AI181">
        <v>120</v>
      </c>
      <c r="AJ181">
        <v>1</v>
      </c>
      <c r="AK181">
        <v>32</v>
      </c>
      <c r="AL181" t="s">
        <v>145</v>
      </c>
      <c r="AM181" t="s">
        <v>92</v>
      </c>
      <c r="AN181" t="s">
        <v>3045</v>
      </c>
      <c r="AO181" t="s">
        <v>3046</v>
      </c>
      <c r="AP181" t="s">
        <v>3047</v>
      </c>
      <c r="AQ181" t="s">
        <v>74</v>
      </c>
      <c r="AR181" t="s">
        <v>3048</v>
      </c>
      <c r="AS181" t="s">
        <v>3049</v>
      </c>
      <c r="AT181" t="s">
        <v>2376</v>
      </c>
      <c r="AU181">
        <v>2014</v>
      </c>
      <c r="AV181">
        <v>65</v>
      </c>
      <c r="AW181">
        <v>1</v>
      </c>
      <c r="AX181" t="s">
        <v>74</v>
      </c>
      <c r="AY181" t="s">
        <v>74</v>
      </c>
      <c r="AZ181" t="s">
        <v>660</v>
      </c>
      <c r="BA181" t="s">
        <v>74</v>
      </c>
      <c r="BB181">
        <v>127</v>
      </c>
      <c r="BC181">
        <v>165</v>
      </c>
      <c r="BD181" t="s">
        <v>74</v>
      </c>
      <c r="BE181" t="s">
        <v>3897</v>
      </c>
      <c r="BF181" t="str">
        <f>HYPERLINK("http://dx.doi.org/10.1007/s13225-013-0277-y","http://dx.doi.org/10.1007/s13225-013-0277-y")</f>
        <v>http://dx.doi.org/10.1007/s13225-013-0277-y</v>
      </c>
      <c r="BG181" t="s">
        <v>74</v>
      </c>
      <c r="BH181" t="s">
        <v>74</v>
      </c>
      <c r="BI181">
        <v>39</v>
      </c>
      <c r="BJ181" t="s">
        <v>3051</v>
      </c>
      <c r="BK181" t="s">
        <v>101</v>
      </c>
      <c r="BL181" t="s">
        <v>3051</v>
      </c>
      <c r="BM181" t="s">
        <v>3052</v>
      </c>
      <c r="BN181" t="s">
        <v>74</v>
      </c>
      <c r="BO181" t="s">
        <v>270</v>
      </c>
      <c r="BP181" t="s">
        <v>74</v>
      </c>
      <c r="BQ181" t="s">
        <v>74</v>
      </c>
      <c r="BR181" t="s">
        <v>104</v>
      </c>
      <c r="BS181" t="s">
        <v>3898</v>
      </c>
      <c r="BT181" t="str">
        <f>HYPERLINK("https%3A%2F%2Fwww.webofscience.com%2Fwos%2Fwoscc%2Ffull-record%2FWOS:000333258100008","View Full Record in Web of Science")</f>
        <v>View Full Record in Web of Science</v>
      </c>
    </row>
    <row r="182" spans="1:72" x14ac:dyDescent="0.15">
      <c r="A182" t="s">
        <v>72</v>
      </c>
      <c r="B182" t="s">
        <v>3899</v>
      </c>
      <c r="C182" t="s">
        <v>74</v>
      </c>
      <c r="D182" t="s">
        <v>74</v>
      </c>
      <c r="E182" t="s">
        <v>74</v>
      </c>
      <c r="F182" t="s">
        <v>3900</v>
      </c>
      <c r="G182" t="s">
        <v>74</v>
      </c>
      <c r="H182" t="s">
        <v>74</v>
      </c>
      <c r="I182" t="s">
        <v>3901</v>
      </c>
      <c r="J182" t="s">
        <v>3902</v>
      </c>
      <c r="K182" t="s">
        <v>74</v>
      </c>
      <c r="L182" t="s">
        <v>74</v>
      </c>
      <c r="M182" t="s">
        <v>78</v>
      </c>
      <c r="N182" t="s">
        <v>79</v>
      </c>
      <c r="O182" t="s">
        <v>74</v>
      </c>
      <c r="P182" t="s">
        <v>74</v>
      </c>
      <c r="Q182" t="s">
        <v>74</v>
      </c>
      <c r="R182" t="s">
        <v>74</v>
      </c>
      <c r="S182" t="s">
        <v>74</v>
      </c>
      <c r="T182" t="s">
        <v>74</v>
      </c>
      <c r="U182" t="s">
        <v>74</v>
      </c>
      <c r="V182" t="s">
        <v>3903</v>
      </c>
      <c r="W182" t="s">
        <v>3904</v>
      </c>
      <c r="X182" t="s">
        <v>3905</v>
      </c>
      <c r="Y182" t="s">
        <v>3906</v>
      </c>
      <c r="Z182" t="s">
        <v>3907</v>
      </c>
      <c r="AA182" t="s">
        <v>3908</v>
      </c>
      <c r="AB182" t="s">
        <v>3909</v>
      </c>
      <c r="AC182" t="s">
        <v>3910</v>
      </c>
      <c r="AD182" t="s">
        <v>3911</v>
      </c>
      <c r="AE182" t="s">
        <v>3912</v>
      </c>
      <c r="AF182" t="s">
        <v>74</v>
      </c>
      <c r="AG182">
        <v>12</v>
      </c>
      <c r="AH182">
        <v>5</v>
      </c>
      <c r="AI182">
        <v>6</v>
      </c>
      <c r="AJ182">
        <v>0</v>
      </c>
      <c r="AK182">
        <v>1</v>
      </c>
      <c r="AL182" t="s">
        <v>3913</v>
      </c>
      <c r="AM182" t="s">
        <v>447</v>
      </c>
      <c r="AN182" t="s">
        <v>3914</v>
      </c>
      <c r="AO182" t="s">
        <v>74</v>
      </c>
      <c r="AP182" t="s">
        <v>3915</v>
      </c>
      <c r="AQ182" t="s">
        <v>74</v>
      </c>
      <c r="AR182" t="s">
        <v>3902</v>
      </c>
      <c r="AS182" t="s">
        <v>3916</v>
      </c>
      <c r="AT182" t="s">
        <v>2447</v>
      </c>
      <c r="AU182">
        <v>2014</v>
      </c>
      <c r="AV182">
        <v>2</v>
      </c>
      <c r="AW182">
        <v>2</v>
      </c>
      <c r="AX182" t="s">
        <v>74</v>
      </c>
      <c r="AY182" t="s">
        <v>74</v>
      </c>
      <c r="AZ182" t="s">
        <v>74</v>
      </c>
      <c r="BA182" t="s">
        <v>74</v>
      </c>
      <c r="BB182" t="s">
        <v>74</v>
      </c>
      <c r="BC182" t="s">
        <v>74</v>
      </c>
      <c r="BD182" t="s">
        <v>3917</v>
      </c>
      <c r="BE182" t="s">
        <v>3918</v>
      </c>
      <c r="BF182" t="str">
        <f>HYPERLINK("http://dx.doi.org/10.1128/genomeA.00212-14","http://dx.doi.org/10.1128/genomeA.00212-14")</f>
        <v>http://dx.doi.org/10.1128/genomeA.00212-14</v>
      </c>
      <c r="BG182" t="s">
        <v>74</v>
      </c>
      <c r="BH182" t="s">
        <v>74</v>
      </c>
      <c r="BI182">
        <v>2</v>
      </c>
      <c r="BJ182" t="s">
        <v>3624</v>
      </c>
      <c r="BK182" t="s">
        <v>975</v>
      </c>
      <c r="BL182" t="s">
        <v>3624</v>
      </c>
      <c r="BM182" t="s">
        <v>3919</v>
      </c>
      <c r="BN182">
        <v>24723703</v>
      </c>
      <c r="BO182" t="s">
        <v>2318</v>
      </c>
      <c r="BP182" t="s">
        <v>74</v>
      </c>
      <c r="BQ182" t="s">
        <v>74</v>
      </c>
      <c r="BR182" t="s">
        <v>104</v>
      </c>
      <c r="BS182" t="s">
        <v>3920</v>
      </c>
      <c r="BT182" t="str">
        <f>HYPERLINK("https%3A%2F%2Fwww.webofscience.com%2Fwos%2Fwoscc%2Ffull-record%2FWOS:000460592200078","View Full Record in Web of Science")</f>
        <v>View Full Record in Web of Science</v>
      </c>
    </row>
    <row r="183" spans="1:72" x14ac:dyDescent="0.15">
      <c r="A183" t="s">
        <v>72</v>
      </c>
      <c r="B183" t="s">
        <v>3921</v>
      </c>
      <c r="C183" t="s">
        <v>74</v>
      </c>
      <c r="D183" t="s">
        <v>74</v>
      </c>
      <c r="E183" t="s">
        <v>74</v>
      </c>
      <c r="F183" t="s">
        <v>3922</v>
      </c>
      <c r="G183" t="s">
        <v>74</v>
      </c>
      <c r="H183" t="s">
        <v>74</v>
      </c>
      <c r="I183" t="s">
        <v>3923</v>
      </c>
      <c r="J183" t="s">
        <v>3902</v>
      </c>
      <c r="K183" t="s">
        <v>74</v>
      </c>
      <c r="L183" t="s">
        <v>74</v>
      </c>
      <c r="M183" t="s">
        <v>78</v>
      </c>
      <c r="N183" t="s">
        <v>79</v>
      </c>
      <c r="O183" t="s">
        <v>74</v>
      </c>
      <c r="P183" t="s">
        <v>74</v>
      </c>
      <c r="Q183" t="s">
        <v>74</v>
      </c>
      <c r="R183" t="s">
        <v>74</v>
      </c>
      <c r="S183" t="s">
        <v>74</v>
      </c>
      <c r="T183" t="s">
        <v>74</v>
      </c>
      <c r="U183" t="s">
        <v>74</v>
      </c>
      <c r="V183" t="s">
        <v>3924</v>
      </c>
      <c r="W183" t="s">
        <v>3925</v>
      </c>
      <c r="X183" t="s">
        <v>3926</v>
      </c>
      <c r="Y183" t="s">
        <v>3927</v>
      </c>
      <c r="Z183" t="s">
        <v>3928</v>
      </c>
      <c r="AA183" t="s">
        <v>3929</v>
      </c>
      <c r="AB183" t="s">
        <v>3930</v>
      </c>
      <c r="AC183" t="s">
        <v>3931</v>
      </c>
      <c r="AD183" t="s">
        <v>3932</v>
      </c>
      <c r="AE183" t="s">
        <v>3933</v>
      </c>
      <c r="AF183" t="s">
        <v>74</v>
      </c>
      <c r="AG183">
        <v>12</v>
      </c>
      <c r="AH183">
        <v>2</v>
      </c>
      <c r="AI183">
        <v>2</v>
      </c>
      <c r="AJ183">
        <v>0</v>
      </c>
      <c r="AK183">
        <v>0</v>
      </c>
      <c r="AL183" t="s">
        <v>3913</v>
      </c>
      <c r="AM183" t="s">
        <v>447</v>
      </c>
      <c r="AN183" t="s">
        <v>3914</v>
      </c>
      <c r="AO183" t="s">
        <v>74</v>
      </c>
      <c r="AP183" t="s">
        <v>3915</v>
      </c>
      <c r="AQ183" t="s">
        <v>74</v>
      </c>
      <c r="AR183" t="s">
        <v>3902</v>
      </c>
      <c r="AS183" t="s">
        <v>3916</v>
      </c>
      <c r="AT183" t="s">
        <v>2447</v>
      </c>
      <c r="AU183">
        <v>2014</v>
      </c>
      <c r="AV183">
        <v>2</v>
      </c>
      <c r="AW183">
        <v>2</v>
      </c>
      <c r="AX183" t="s">
        <v>74</v>
      </c>
      <c r="AY183" t="s">
        <v>74</v>
      </c>
      <c r="AZ183" t="s">
        <v>74</v>
      </c>
      <c r="BA183" t="s">
        <v>74</v>
      </c>
      <c r="BB183" t="s">
        <v>74</v>
      </c>
      <c r="BC183" t="s">
        <v>74</v>
      </c>
      <c r="BD183" t="s">
        <v>3934</v>
      </c>
      <c r="BE183" t="s">
        <v>3935</v>
      </c>
      <c r="BF183" t="str">
        <f>HYPERLINK("http://dx.doi.org/10.1128/genomeA.00197-14","http://dx.doi.org/10.1128/genomeA.00197-14")</f>
        <v>http://dx.doi.org/10.1128/genomeA.00197-14</v>
      </c>
      <c r="BG183" t="s">
        <v>74</v>
      </c>
      <c r="BH183" t="s">
        <v>74</v>
      </c>
      <c r="BI183">
        <v>2</v>
      </c>
      <c r="BJ183" t="s">
        <v>3624</v>
      </c>
      <c r="BK183" t="s">
        <v>975</v>
      </c>
      <c r="BL183" t="s">
        <v>3624</v>
      </c>
      <c r="BM183" t="s">
        <v>3919</v>
      </c>
      <c r="BN183">
        <v>24675854</v>
      </c>
      <c r="BO183" t="s">
        <v>2318</v>
      </c>
      <c r="BP183" t="s">
        <v>74</v>
      </c>
      <c r="BQ183" t="s">
        <v>74</v>
      </c>
      <c r="BR183" t="s">
        <v>104</v>
      </c>
      <c r="BS183" t="s">
        <v>3936</v>
      </c>
      <c r="BT183" t="str">
        <f>HYPERLINK("https%3A%2F%2Fwww.webofscience.com%2Fwos%2Fwoscc%2Ffull-record%2FWOS:000460592200066","View Full Record in Web of Science")</f>
        <v>View Full Record in Web of Science</v>
      </c>
    </row>
    <row r="184" spans="1:72" x14ac:dyDescent="0.15">
      <c r="A184" t="s">
        <v>72</v>
      </c>
      <c r="B184" t="s">
        <v>3937</v>
      </c>
      <c r="C184" t="s">
        <v>74</v>
      </c>
      <c r="D184" t="s">
        <v>74</v>
      </c>
      <c r="E184" t="s">
        <v>74</v>
      </c>
      <c r="F184" t="s">
        <v>3938</v>
      </c>
      <c r="G184" t="s">
        <v>74</v>
      </c>
      <c r="H184" t="s">
        <v>74</v>
      </c>
      <c r="I184" t="s">
        <v>3939</v>
      </c>
      <c r="J184" t="s">
        <v>3940</v>
      </c>
      <c r="K184" t="s">
        <v>74</v>
      </c>
      <c r="L184" t="s">
        <v>74</v>
      </c>
      <c r="M184" t="s">
        <v>78</v>
      </c>
      <c r="N184" t="s">
        <v>189</v>
      </c>
      <c r="O184" t="s">
        <v>74</v>
      </c>
      <c r="P184" t="s">
        <v>74</v>
      </c>
      <c r="Q184" t="s">
        <v>74</v>
      </c>
      <c r="R184" t="s">
        <v>74</v>
      </c>
      <c r="S184" t="s">
        <v>74</v>
      </c>
      <c r="T184" t="s">
        <v>74</v>
      </c>
      <c r="U184" t="s">
        <v>74</v>
      </c>
      <c r="V184" t="s">
        <v>3941</v>
      </c>
      <c r="W184" t="s">
        <v>3942</v>
      </c>
      <c r="X184" t="s">
        <v>3943</v>
      </c>
      <c r="Y184" t="s">
        <v>3944</v>
      </c>
      <c r="Z184" t="s">
        <v>3945</v>
      </c>
      <c r="AA184" t="s">
        <v>3946</v>
      </c>
      <c r="AB184" t="s">
        <v>3947</v>
      </c>
      <c r="AC184" t="s">
        <v>74</v>
      </c>
      <c r="AD184" t="s">
        <v>74</v>
      </c>
      <c r="AE184" t="s">
        <v>74</v>
      </c>
      <c r="AF184" t="s">
        <v>74</v>
      </c>
      <c r="AG184">
        <v>11</v>
      </c>
      <c r="AH184">
        <v>2</v>
      </c>
      <c r="AI184">
        <v>2</v>
      </c>
      <c r="AJ184">
        <v>1</v>
      </c>
      <c r="AK184">
        <v>26</v>
      </c>
      <c r="AL184" t="s">
        <v>91</v>
      </c>
      <c r="AM184" t="s">
        <v>92</v>
      </c>
      <c r="AN184" t="s">
        <v>93</v>
      </c>
      <c r="AO184" t="s">
        <v>3948</v>
      </c>
      <c r="AP184" t="s">
        <v>3949</v>
      </c>
      <c r="AQ184" t="s">
        <v>74</v>
      </c>
      <c r="AR184" t="s">
        <v>3950</v>
      </c>
      <c r="AS184" t="s">
        <v>3951</v>
      </c>
      <c r="AT184" t="s">
        <v>2376</v>
      </c>
      <c r="AU184">
        <v>2014</v>
      </c>
      <c r="AV184">
        <v>151</v>
      </c>
      <c r="AW184">
        <v>2</v>
      </c>
      <c r="AX184" t="s">
        <v>74</v>
      </c>
      <c r="AY184" t="s">
        <v>74</v>
      </c>
      <c r="AZ184" t="s">
        <v>74</v>
      </c>
      <c r="BA184" t="s">
        <v>74</v>
      </c>
      <c r="BB184">
        <v>199</v>
      </c>
      <c r="BC184">
        <v>200</v>
      </c>
      <c r="BD184" t="s">
        <v>74</v>
      </c>
      <c r="BE184" t="s">
        <v>3952</v>
      </c>
      <c r="BF184" t="str">
        <f>HYPERLINK("http://dx.doi.org/10.1017/S0016756813001155","http://dx.doi.org/10.1017/S0016756813001155")</f>
        <v>http://dx.doi.org/10.1017/S0016756813001155</v>
      </c>
      <c r="BG184" t="s">
        <v>74</v>
      </c>
      <c r="BH184" t="s">
        <v>74</v>
      </c>
      <c r="BI184">
        <v>2</v>
      </c>
      <c r="BJ184" t="s">
        <v>952</v>
      </c>
      <c r="BK184" t="s">
        <v>101</v>
      </c>
      <c r="BL184" t="s">
        <v>597</v>
      </c>
      <c r="BM184" t="s">
        <v>3953</v>
      </c>
      <c r="BN184" t="s">
        <v>74</v>
      </c>
      <c r="BO184" t="s">
        <v>200</v>
      </c>
      <c r="BP184" t="s">
        <v>74</v>
      </c>
      <c r="BQ184" t="s">
        <v>74</v>
      </c>
      <c r="BR184" t="s">
        <v>104</v>
      </c>
      <c r="BS184" t="s">
        <v>3954</v>
      </c>
      <c r="BT184" t="str">
        <f>HYPERLINK("https%3A%2F%2Fwww.webofscience.com%2Fwos%2Fwoscc%2Ffull-record%2FWOS:000331602700001","View Full Record in Web of Science")</f>
        <v>View Full Record in Web of Science</v>
      </c>
    </row>
    <row r="185" spans="1:72" x14ac:dyDescent="0.15">
      <c r="A185" t="s">
        <v>72</v>
      </c>
      <c r="B185" t="s">
        <v>3955</v>
      </c>
      <c r="C185" t="s">
        <v>74</v>
      </c>
      <c r="D185" t="s">
        <v>74</v>
      </c>
      <c r="E185" t="s">
        <v>74</v>
      </c>
      <c r="F185" t="s">
        <v>3956</v>
      </c>
      <c r="G185" t="s">
        <v>74</v>
      </c>
      <c r="H185" t="s">
        <v>74</v>
      </c>
      <c r="I185" t="s">
        <v>3957</v>
      </c>
      <c r="J185" t="s">
        <v>3958</v>
      </c>
      <c r="K185" t="s">
        <v>74</v>
      </c>
      <c r="L185" t="s">
        <v>74</v>
      </c>
      <c r="M185" t="s">
        <v>78</v>
      </c>
      <c r="N185" t="s">
        <v>79</v>
      </c>
      <c r="O185" t="s">
        <v>74</v>
      </c>
      <c r="P185" t="s">
        <v>74</v>
      </c>
      <c r="Q185" t="s">
        <v>74</v>
      </c>
      <c r="R185" t="s">
        <v>74</v>
      </c>
      <c r="S185" t="s">
        <v>74</v>
      </c>
      <c r="T185" t="s">
        <v>74</v>
      </c>
      <c r="U185" t="s">
        <v>3959</v>
      </c>
      <c r="V185" t="s">
        <v>3960</v>
      </c>
      <c r="W185" t="s">
        <v>3961</v>
      </c>
      <c r="X185" t="s">
        <v>3962</v>
      </c>
      <c r="Y185" t="s">
        <v>3963</v>
      </c>
      <c r="Z185" t="s">
        <v>3964</v>
      </c>
      <c r="AA185" t="s">
        <v>3965</v>
      </c>
      <c r="AB185" t="s">
        <v>3966</v>
      </c>
      <c r="AC185" t="s">
        <v>3967</v>
      </c>
      <c r="AD185" t="s">
        <v>3968</v>
      </c>
      <c r="AE185" t="s">
        <v>3969</v>
      </c>
      <c r="AF185" t="s">
        <v>74</v>
      </c>
      <c r="AG185">
        <v>58</v>
      </c>
      <c r="AH185">
        <v>71</v>
      </c>
      <c r="AI185">
        <v>75</v>
      </c>
      <c r="AJ185">
        <v>4</v>
      </c>
      <c r="AK185">
        <v>58</v>
      </c>
      <c r="AL185" t="s">
        <v>592</v>
      </c>
      <c r="AM185" t="s">
        <v>593</v>
      </c>
      <c r="AN185" t="s">
        <v>594</v>
      </c>
      <c r="AO185" t="s">
        <v>3970</v>
      </c>
      <c r="AP185" t="s">
        <v>3971</v>
      </c>
      <c r="AQ185" t="s">
        <v>74</v>
      </c>
      <c r="AR185" t="s">
        <v>3972</v>
      </c>
      <c r="AS185" t="s">
        <v>3973</v>
      </c>
      <c r="AT185" t="s">
        <v>2447</v>
      </c>
      <c r="AU185">
        <v>2014</v>
      </c>
      <c r="AV185">
        <v>126</v>
      </c>
      <c r="AW185" t="s">
        <v>3974</v>
      </c>
      <c r="AX185" t="s">
        <v>74</v>
      </c>
      <c r="AY185" t="s">
        <v>74</v>
      </c>
      <c r="AZ185" t="s">
        <v>74</v>
      </c>
      <c r="BA185" t="s">
        <v>74</v>
      </c>
      <c r="BB185">
        <v>481</v>
      </c>
      <c r="BC185">
        <v>498</v>
      </c>
      <c r="BD185" t="s">
        <v>74</v>
      </c>
      <c r="BE185" t="s">
        <v>3975</v>
      </c>
      <c r="BF185" t="str">
        <f>HYPERLINK("http://dx.doi.org/10.1130/B30798.1","http://dx.doi.org/10.1130/B30798.1")</f>
        <v>http://dx.doi.org/10.1130/B30798.1</v>
      </c>
      <c r="BG185" t="s">
        <v>74</v>
      </c>
      <c r="BH185" t="s">
        <v>74</v>
      </c>
      <c r="BI185">
        <v>18</v>
      </c>
      <c r="BJ185" t="s">
        <v>952</v>
      </c>
      <c r="BK185" t="s">
        <v>101</v>
      </c>
      <c r="BL185" t="s">
        <v>597</v>
      </c>
      <c r="BM185" t="s">
        <v>3976</v>
      </c>
      <c r="BN185" t="s">
        <v>74</v>
      </c>
      <c r="BO185" t="s">
        <v>3977</v>
      </c>
      <c r="BP185" t="s">
        <v>74</v>
      </c>
      <c r="BQ185" t="s">
        <v>74</v>
      </c>
      <c r="BR185" t="s">
        <v>104</v>
      </c>
      <c r="BS185" t="s">
        <v>3978</v>
      </c>
      <c r="BT185" t="str">
        <f>HYPERLINK("https%3A%2F%2Fwww.webofscience.com%2Fwos%2Fwoscc%2Ffull-record%2FWOS:000341192900014","View Full Record in Web of Science")</f>
        <v>View Full Record in Web of Science</v>
      </c>
    </row>
    <row r="186" spans="1:72" x14ac:dyDescent="0.15">
      <c r="A186" t="s">
        <v>72</v>
      </c>
      <c r="B186" t="s">
        <v>3979</v>
      </c>
      <c r="C186" t="s">
        <v>74</v>
      </c>
      <c r="D186" t="s">
        <v>74</v>
      </c>
      <c r="E186" t="s">
        <v>74</v>
      </c>
      <c r="F186" t="s">
        <v>3980</v>
      </c>
      <c r="G186" t="s">
        <v>74</v>
      </c>
      <c r="H186" t="s">
        <v>74</v>
      </c>
      <c r="I186" t="s">
        <v>3981</v>
      </c>
      <c r="J186" t="s">
        <v>2053</v>
      </c>
      <c r="K186" t="s">
        <v>74</v>
      </c>
      <c r="L186" t="s">
        <v>74</v>
      </c>
      <c r="M186" t="s">
        <v>78</v>
      </c>
      <c r="N186" t="s">
        <v>79</v>
      </c>
      <c r="O186" t="s">
        <v>74</v>
      </c>
      <c r="P186" t="s">
        <v>74</v>
      </c>
      <c r="Q186" t="s">
        <v>74</v>
      </c>
      <c r="R186" t="s">
        <v>74</v>
      </c>
      <c r="S186" t="s">
        <v>74</v>
      </c>
      <c r="T186" t="s">
        <v>3982</v>
      </c>
      <c r="U186" t="s">
        <v>3983</v>
      </c>
      <c r="V186" t="s">
        <v>3984</v>
      </c>
      <c r="W186" t="s">
        <v>3985</v>
      </c>
      <c r="X186" t="s">
        <v>3986</v>
      </c>
      <c r="Y186" t="s">
        <v>3987</v>
      </c>
      <c r="Z186" t="s">
        <v>3988</v>
      </c>
      <c r="AA186" t="s">
        <v>3989</v>
      </c>
      <c r="AB186" t="s">
        <v>3990</v>
      </c>
      <c r="AC186" t="s">
        <v>3991</v>
      </c>
      <c r="AD186" t="s">
        <v>3992</v>
      </c>
      <c r="AE186" t="s">
        <v>3993</v>
      </c>
      <c r="AF186" t="s">
        <v>74</v>
      </c>
      <c r="AG186">
        <v>57</v>
      </c>
      <c r="AH186">
        <v>19</v>
      </c>
      <c r="AI186">
        <v>20</v>
      </c>
      <c r="AJ186">
        <v>0</v>
      </c>
      <c r="AK186">
        <v>19</v>
      </c>
      <c r="AL186" t="s">
        <v>902</v>
      </c>
      <c r="AM186" t="s">
        <v>653</v>
      </c>
      <c r="AN186" t="s">
        <v>903</v>
      </c>
      <c r="AO186" t="s">
        <v>2065</v>
      </c>
      <c r="AP186" t="s">
        <v>2066</v>
      </c>
      <c r="AQ186" t="s">
        <v>74</v>
      </c>
      <c r="AR186" t="s">
        <v>2053</v>
      </c>
      <c r="AS186" t="s">
        <v>2067</v>
      </c>
      <c r="AT186" t="s">
        <v>2644</v>
      </c>
      <c r="AU186">
        <v>2014</v>
      </c>
      <c r="AV186">
        <v>208</v>
      </c>
      <c r="AW186" t="s">
        <v>74</v>
      </c>
      <c r="AX186" t="s">
        <v>74</v>
      </c>
      <c r="AY186" t="s">
        <v>74</v>
      </c>
      <c r="AZ186" t="s">
        <v>74</v>
      </c>
      <c r="BA186" t="s">
        <v>74</v>
      </c>
      <c r="BB186">
        <v>190</v>
      </c>
      <c r="BC186">
        <v>199</v>
      </c>
      <c r="BD186" t="s">
        <v>74</v>
      </c>
      <c r="BE186" t="s">
        <v>3994</v>
      </c>
      <c r="BF186" t="str">
        <f>HYPERLINK("http://dx.doi.org/10.1016/j.geomorph.2013.12.004","http://dx.doi.org/10.1016/j.geomorph.2013.12.004")</f>
        <v>http://dx.doi.org/10.1016/j.geomorph.2013.12.004</v>
      </c>
      <c r="BG186" t="s">
        <v>74</v>
      </c>
      <c r="BH186" t="s">
        <v>74</v>
      </c>
      <c r="BI186">
        <v>10</v>
      </c>
      <c r="BJ186" t="s">
        <v>1415</v>
      </c>
      <c r="BK186" t="s">
        <v>101</v>
      </c>
      <c r="BL186" t="s">
        <v>1416</v>
      </c>
      <c r="BM186" t="s">
        <v>3105</v>
      </c>
      <c r="BN186" t="s">
        <v>74</v>
      </c>
      <c r="BO186" t="s">
        <v>252</v>
      </c>
      <c r="BP186" t="s">
        <v>74</v>
      </c>
      <c r="BQ186" t="s">
        <v>74</v>
      </c>
      <c r="BR186" t="s">
        <v>104</v>
      </c>
      <c r="BS186" t="s">
        <v>3995</v>
      </c>
      <c r="BT186" t="str">
        <f>HYPERLINK("https%3A%2F%2Fwww.webofscience.com%2Fwos%2Fwoscc%2Ffull-record%2FWOS:000332501000014","View Full Record in Web of Science")</f>
        <v>View Full Record in Web of Science</v>
      </c>
    </row>
    <row r="187" spans="1:72" x14ac:dyDescent="0.15">
      <c r="A187" t="s">
        <v>72</v>
      </c>
      <c r="B187" t="s">
        <v>3996</v>
      </c>
      <c r="C187" t="s">
        <v>74</v>
      </c>
      <c r="D187" t="s">
        <v>74</v>
      </c>
      <c r="E187" t="s">
        <v>74</v>
      </c>
      <c r="F187" t="s">
        <v>3997</v>
      </c>
      <c r="G187" t="s">
        <v>74</v>
      </c>
      <c r="H187" t="s">
        <v>74</v>
      </c>
      <c r="I187" t="s">
        <v>3998</v>
      </c>
      <c r="J187" t="s">
        <v>3999</v>
      </c>
      <c r="K187" t="s">
        <v>74</v>
      </c>
      <c r="L187" t="s">
        <v>74</v>
      </c>
      <c r="M187" t="s">
        <v>78</v>
      </c>
      <c r="N187" t="s">
        <v>79</v>
      </c>
      <c r="O187" t="s">
        <v>74</v>
      </c>
      <c r="P187" t="s">
        <v>74</v>
      </c>
      <c r="Q187" t="s">
        <v>74</v>
      </c>
      <c r="R187" t="s">
        <v>74</v>
      </c>
      <c r="S187" t="s">
        <v>74</v>
      </c>
      <c r="T187" t="s">
        <v>74</v>
      </c>
      <c r="U187" t="s">
        <v>74</v>
      </c>
      <c r="V187" t="s">
        <v>4000</v>
      </c>
      <c r="W187" t="s">
        <v>4001</v>
      </c>
      <c r="X187" t="s">
        <v>3164</v>
      </c>
      <c r="Y187" t="s">
        <v>4002</v>
      </c>
      <c r="Z187" t="s">
        <v>4003</v>
      </c>
      <c r="AA187" t="s">
        <v>4004</v>
      </c>
      <c r="AB187" t="s">
        <v>74</v>
      </c>
      <c r="AC187" t="s">
        <v>74</v>
      </c>
      <c r="AD187" t="s">
        <v>74</v>
      </c>
      <c r="AE187" t="s">
        <v>74</v>
      </c>
      <c r="AF187" t="s">
        <v>74</v>
      </c>
      <c r="AG187">
        <v>0</v>
      </c>
      <c r="AH187">
        <v>9</v>
      </c>
      <c r="AI187">
        <v>9</v>
      </c>
      <c r="AJ187">
        <v>0</v>
      </c>
      <c r="AK187">
        <v>8</v>
      </c>
      <c r="AL187" t="s">
        <v>4005</v>
      </c>
      <c r="AM187" t="s">
        <v>4006</v>
      </c>
      <c r="AN187" t="s">
        <v>4007</v>
      </c>
      <c r="AO187" t="s">
        <v>4008</v>
      </c>
      <c r="AP187" t="s">
        <v>74</v>
      </c>
      <c r="AQ187" t="s">
        <v>74</v>
      </c>
      <c r="AR187" t="s">
        <v>4009</v>
      </c>
      <c r="AS187" t="s">
        <v>4010</v>
      </c>
      <c r="AT187" t="s">
        <v>2376</v>
      </c>
      <c r="AU187">
        <v>2014</v>
      </c>
      <c r="AV187">
        <v>5</v>
      </c>
      <c r="AW187">
        <v>2</v>
      </c>
      <c r="AX187" t="s">
        <v>74</v>
      </c>
      <c r="AY187" t="s">
        <v>74</v>
      </c>
      <c r="AZ187" t="s">
        <v>74</v>
      </c>
      <c r="BA187" t="s">
        <v>74</v>
      </c>
      <c r="BB187">
        <v>249</v>
      </c>
      <c r="BC187">
        <v>259</v>
      </c>
      <c r="BD187" t="s">
        <v>74</v>
      </c>
      <c r="BE187" t="s">
        <v>4011</v>
      </c>
      <c r="BF187" t="str">
        <f>HYPERLINK("http://dx.doi.org/10.1016/j.gsf.2013.06.004","http://dx.doi.org/10.1016/j.gsf.2013.06.004")</f>
        <v>http://dx.doi.org/10.1016/j.gsf.2013.06.004</v>
      </c>
      <c r="BG187" t="s">
        <v>74</v>
      </c>
      <c r="BH187" t="s">
        <v>74</v>
      </c>
      <c r="BI187">
        <v>11</v>
      </c>
      <c r="BJ187" t="s">
        <v>952</v>
      </c>
      <c r="BK187" t="s">
        <v>101</v>
      </c>
      <c r="BL187" t="s">
        <v>597</v>
      </c>
      <c r="BM187" t="s">
        <v>4012</v>
      </c>
      <c r="BN187" t="s">
        <v>74</v>
      </c>
      <c r="BO187" t="s">
        <v>4013</v>
      </c>
      <c r="BP187" t="s">
        <v>74</v>
      </c>
      <c r="BQ187" t="s">
        <v>74</v>
      </c>
      <c r="BR187" t="s">
        <v>104</v>
      </c>
      <c r="BS187" t="s">
        <v>4014</v>
      </c>
      <c r="BT187" t="str">
        <f>HYPERLINK("https%3A%2F%2Fwww.webofscience.com%2Fwos%2Fwoscc%2Ffull-record%2FWOS:000333138600010","View Full Record in Web of Science")</f>
        <v>View Full Record in Web of Science</v>
      </c>
    </row>
    <row r="188" spans="1:72" x14ac:dyDescent="0.15">
      <c r="A188" t="s">
        <v>72</v>
      </c>
      <c r="B188" t="s">
        <v>4015</v>
      </c>
      <c r="C188" t="s">
        <v>74</v>
      </c>
      <c r="D188" t="s">
        <v>74</v>
      </c>
      <c r="E188" t="s">
        <v>74</v>
      </c>
      <c r="F188" t="s">
        <v>4016</v>
      </c>
      <c r="G188" t="s">
        <v>74</v>
      </c>
      <c r="H188" t="s">
        <v>74</v>
      </c>
      <c r="I188" t="s">
        <v>4017</v>
      </c>
      <c r="J188" t="s">
        <v>4018</v>
      </c>
      <c r="K188" t="s">
        <v>74</v>
      </c>
      <c r="L188" t="s">
        <v>74</v>
      </c>
      <c r="M188" t="s">
        <v>78</v>
      </c>
      <c r="N188" t="s">
        <v>79</v>
      </c>
      <c r="O188" t="s">
        <v>74</v>
      </c>
      <c r="P188" t="s">
        <v>74</v>
      </c>
      <c r="Q188" t="s">
        <v>74</v>
      </c>
      <c r="R188" t="s">
        <v>74</v>
      </c>
      <c r="S188" t="s">
        <v>74</v>
      </c>
      <c r="T188" t="s">
        <v>4019</v>
      </c>
      <c r="U188" t="s">
        <v>4020</v>
      </c>
      <c r="V188" t="s">
        <v>4021</v>
      </c>
      <c r="W188" t="s">
        <v>4022</v>
      </c>
      <c r="X188" t="s">
        <v>4023</v>
      </c>
      <c r="Y188" t="s">
        <v>4024</v>
      </c>
      <c r="Z188" t="s">
        <v>4025</v>
      </c>
      <c r="AA188" t="s">
        <v>74</v>
      </c>
      <c r="AB188" t="s">
        <v>74</v>
      </c>
      <c r="AC188" t="s">
        <v>4026</v>
      </c>
      <c r="AD188" t="s">
        <v>4027</v>
      </c>
      <c r="AE188" t="s">
        <v>4028</v>
      </c>
      <c r="AF188" t="s">
        <v>74</v>
      </c>
      <c r="AG188">
        <v>31</v>
      </c>
      <c r="AH188">
        <v>9</v>
      </c>
      <c r="AI188">
        <v>9</v>
      </c>
      <c r="AJ188">
        <v>1</v>
      </c>
      <c r="AK188">
        <v>34</v>
      </c>
      <c r="AL188" t="s">
        <v>4029</v>
      </c>
      <c r="AM188" t="s">
        <v>968</v>
      </c>
      <c r="AN188" t="s">
        <v>4030</v>
      </c>
      <c r="AO188" t="s">
        <v>4031</v>
      </c>
      <c r="AP188" t="s">
        <v>4032</v>
      </c>
      <c r="AQ188" t="s">
        <v>74</v>
      </c>
      <c r="AR188" t="s">
        <v>4033</v>
      </c>
      <c r="AS188" t="s">
        <v>4034</v>
      </c>
      <c r="AT188" t="s">
        <v>2376</v>
      </c>
      <c r="AU188">
        <v>2014</v>
      </c>
      <c r="AV188">
        <v>18</v>
      </c>
      <c r="AW188">
        <v>1</v>
      </c>
      <c r="AX188" t="s">
        <v>74</v>
      </c>
      <c r="AY188" t="s">
        <v>74</v>
      </c>
      <c r="AZ188" t="s">
        <v>74</v>
      </c>
      <c r="BA188" t="s">
        <v>74</v>
      </c>
      <c r="BB188">
        <v>105</v>
      </c>
      <c r="BC188">
        <v>113</v>
      </c>
      <c r="BD188" t="s">
        <v>74</v>
      </c>
      <c r="BE188" t="s">
        <v>4035</v>
      </c>
      <c r="BF188" t="str">
        <f>HYPERLINK("http://dx.doi.org/10.1007/s12303-013-0054-7","http://dx.doi.org/10.1007/s12303-013-0054-7")</f>
        <v>http://dx.doi.org/10.1007/s12303-013-0054-7</v>
      </c>
      <c r="BG188" t="s">
        <v>74</v>
      </c>
      <c r="BH188" t="s">
        <v>74</v>
      </c>
      <c r="BI188">
        <v>9</v>
      </c>
      <c r="BJ188" t="s">
        <v>952</v>
      </c>
      <c r="BK188" t="s">
        <v>101</v>
      </c>
      <c r="BL188" t="s">
        <v>597</v>
      </c>
      <c r="BM188" t="s">
        <v>4036</v>
      </c>
      <c r="BN188" t="s">
        <v>74</v>
      </c>
      <c r="BO188" t="s">
        <v>74</v>
      </c>
      <c r="BP188" t="s">
        <v>74</v>
      </c>
      <c r="BQ188" t="s">
        <v>74</v>
      </c>
      <c r="BR188" t="s">
        <v>104</v>
      </c>
      <c r="BS188" t="s">
        <v>4037</v>
      </c>
      <c r="BT188" t="str">
        <f>HYPERLINK("https%3A%2F%2Fwww.webofscience.com%2Fwos%2Fwoscc%2Ffull-record%2FWOS:000331972600010","View Full Record in Web of Science")</f>
        <v>View Full Record in Web of Science</v>
      </c>
    </row>
    <row r="189" spans="1:72" x14ac:dyDescent="0.15">
      <c r="A189" t="s">
        <v>72</v>
      </c>
      <c r="B189" t="s">
        <v>4038</v>
      </c>
      <c r="C189" t="s">
        <v>74</v>
      </c>
      <c r="D189" t="s">
        <v>74</v>
      </c>
      <c r="E189" t="s">
        <v>74</v>
      </c>
      <c r="F189" t="s">
        <v>4039</v>
      </c>
      <c r="G189" t="s">
        <v>74</v>
      </c>
      <c r="H189" t="s">
        <v>74</v>
      </c>
      <c r="I189" t="s">
        <v>4040</v>
      </c>
      <c r="J189" t="s">
        <v>4041</v>
      </c>
      <c r="K189" t="s">
        <v>74</v>
      </c>
      <c r="L189" t="s">
        <v>74</v>
      </c>
      <c r="M189" t="s">
        <v>78</v>
      </c>
      <c r="N189" t="s">
        <v>79</v>
      </c>
      <c r="O189" t="s">
        <v>74</v>
      </c>
      <c r="P189" t="s">
        <v>74</v>
      </c>
      <c r="Q189" t="s">
        <v>74</v>
      </c>
      <c r="R189" t="s">
        <v>74</v>
      </c>
      <c r="S189" t="s">
        <v>74</v>
      </c>
      <c r="T189" t="s">
        <v>4042</v>
      </c>
      <c r="U189" t="s">
        <v>4043</v>
      </c>
      <c r="V189" t="s">
        <v>4044</v>
      </c>
      <c r="W189" t="s">
        <v>4045</v>
      </c>
      <c r="X189" t="s">
        <v>4046</v>
      </c>
      <c r="Y189" t="s">
        <v>4047</v>
      </c>
      <c r="Z189" t="s">
        <v>4048</v>
      </c>
      <c r="AA189" t="s">
        <v>4049</v>
      </c>
      <c r="AB189" t="s">
        <v>4050</v>
      </c>
      <c r="AC189" t="s">
        <v>4051</v>
      </c>
      <c r="AD189" t="s">
        <v>4052</v>
      </c>
      <c r="AE189" t="s">
        <v>4053</v>
      </c>
      <c r="AF189" t="s">
        <v>74</v>
      </c>
      <c r="AG189">
        <v>58</v>
      </c>
      <c r="AH189">
        <v>327</v>
      </c>
      <c r="AI189">
        <v>371</v>
      </c>
      <c r="AJ189">
        <v>21</v>
      </c>
      <c r="AK189">
        <v>243</v>
      </c>
      <c r="AL189" t="s">
        <v>568</v>
      </c>
      <c r="AM189" t="s">
        <v>447</v>
      </c>
      <c r="AN189" t="s">
        <v>569</v>
      </c>
      <c r="AO189" t="s">
        <v>4054</v>
      </c>
      <c r="AP189" t="s">
        <v>4055</v>
      </c>
      <c r="AQ189" t="s">
        <v>74</v>
      </c>
      <c r="AR189" t="s">
        <v>4056</v>
      </c>
      <c r="AS189" t="s">
        <v>4057</v>
      </c>
      <c r="AT189" t="s">
        <v>2376</v>
      </c>
      <c r="AU189">
        <v>2014</v>
      </c>
      <c r="AV189">
        <v>28</v>
      </c>
      <c r="AW189">
        <v>3</v>
      </c>
      <c r="AX189" t="s">
        <v>74</v>
      </c>
      <c r="AY189" t="s">
        <v>74</v>
      </c>
      <c r="AZ189" t="s">
        <v>74</v>
      </c>
      <c r="BA189" t="s">
        <v>74</v>
      </c>
      <c r="BB189">
        <v>181</v>
      </c>
      <c r="BC189">
        <v>196</v>
      </c>
      <c r="BD189" t="s">
        <v>74</v>
      </c>
      <c r="BE189" t="s">
        <v>4058</v>
      </c>
      <c r="BF189" t="str">
        <f>HYPERLINK("http://dx.doi.org/10.1002/2013GB004743","http://dx.doi.org/10.1002/2013GB004743")</f>
        <v>http://dx.doi.org/10.1002/2013GB004743</v>
      </c>
      <c r="BG189" t="s">
        <v>74</v>
      </c>
      <c r="BH189" t="s">
        <v>74</v>
      </c>
      <c r="BI189">
        <v>16</v>
      </c>
      <c r="BJ189" t="s">
        <v>4059</v>
      </c>
      <c r="BK189" t="s">
        <v>101</v>
      </c>
      <c r="BL189" t="s">
        <v>4060</v>
      </c>
      <c r="BM189" t="s">
        <v>4061</v>
      </c>
      <c r="BN189" t="s">
        <v>74</v>
      </c>
      <c r="BO189" t="s">
        <v>234</v>
      </c>
      <c r="BP189" t="s">
        <v>811</v>
      </c>
      <c r="BQ189" t="s">
        <v>812</v>
      </c>
      <c r="BR189" t="s">
        <v>104</v>
      </c>
      <c r="BS189" t="s">
        <v>4062</v>
      </c>
      <c r="BT189" t="str">
        <f>HYPERLINK("https%3A%2F%2Fwww.webofscience.com%2Fwos%2Fwoscc%2Ffull-record%2FWOS:000334265000001","View Full Record in Web of Science")</f>
        <v>View Full Record in Web of Science</v>
      </c>
    </row>
    <row r="190" spans="1:72" x14ac:dyDescent="0.15">
      <c r="A190" t="s">
        <v>72</v>
      </c>
      <c r="B190" t="s">
        <v>4063</v>
      </c>
      <c r="C190" t="s">
        <v>74</v>
      </c>
      <c r="D190" t="s">
        <v>74</v>
      </c>
      <c r="E190" t="s">
        <v>74</v>
      </c>
      <c r="F190" t="s">
        <v>4064</v>
      </c>
      <c r="G190" t="s">
        <v>74</v>
      </c>
      <c r="H190" t="s">
        <v>74</v>
      </c>
      <c r="I190" t="s">
        <v>4065</v>
      </c>
      <c r="J190" t="s">
        <v>4066</v>
      </c>
      <c r="K190" t="s">
        <v>74</v>
      </c>
      <c r="L190" t="s">
        <v>74</v>
      </c>
      <c r="M190" t="s">
        <v>78</v>
      </c>
      <c r="N190" t="s">
        <v>79</v>
      </c>
      <c r="O190" t="s">
        <v>74</v>
      </c>
      <c r="P190" t="s">
        <v>74</v>
      </c>
      <c r="Q190" t="s">
        <v>74</v>
      </c>
      <c r="R190" t="s">
        <v>74</v>
      </c>
      <c r="S190" t="s">
        <v>74</v>
      </c>
      <c r="T190" t="s">
        <v>4067</v>
      </c>
      <c r="U190" t="s">
        <v>4068</v>
      </c>
      <c r="V190" t="s">
        <v>4069</v>
      </c>
      <c r="W190" t="s">
        <v>4070</v>
      </c>
      <c r="X190" t="s">
        <v>4071</v>
      </c>
      <c r="Y190" t="s">
        <v>4072</v>
      </c>
      <c r="Z190" t="s">
        <v>4073</v>
      </c>
      <c r="AA190" t="s">
        <v>4074</v>
      </c>
      <c r="AB190" t="s">
        <v>4075</v>
      </c>
      <c r="AC190" t="s">
        <v>4076</v>
      </c>
      <c r="AD190" t="s">
        <v>4077</v>
      </c>
      <c r="AE190" t="s">
        <v>4078</v>
      </c>
      <c r="AF190" t="s">
        <v>74</v>
      </c>
      <c r="AG190">
        <v>48</v>
      </c>
      <c r="AH190">
        <v>4</v>
      </c>
      <c r="AI190">
        <v>4</v>
      </c>
      <c r="AJ190">
        <v>0</v>
      </c>
      <c r="AK190">
        <v>4</v>
      </c>
      <c r="AL190" t="s">
        <v>1020</v>
      </c>
      <c r="AM190" t="s">
        <v>1021</v>
      </c>
      <c r="AN190" t="s">
        <v>1022</v>
      </c>
      <c r="AO190" t="s">
        <v>4079</v>
      </c>
      <c r="AP190" t="s">
        <v>4080</v>
      </c>
      <c r="AQ190" t="s">
        <v>74</v>
      </c>
      <c r="AR190" t="s">
        <v>4081</v>
      </c>
      <c r="AS190" t="s">
        <v>4082</v>
      </c>
      <c r="AT190" t="s">
        <v>2376</v>
      </c>
      <c r="AU190">
        <v>2014</v>
      </c>
      <c r="AV190">
        <v>68</v>
      </c>
      <c r="AW190">
        <v>1</v>
      </c>
      <c r="AX190" t="s">
        <v>74</v>
      </c>
      <c r="AY190" t="s">
        <v>74</v>
      </c>
      <c r="AZ190" t="s">
        <v>74</v>
      </c>
      <c r="BA190" t="s">
        <v>74</v>
      </c>
      <c r="BB190">
        <v>155</v>
      </c>
      <c r="BC190">
        <v>168</v>
      </c>
      <c r="BD190" t="s">
        <v>74</v>
      </c>
      <c r="BE190" t="s">
        <v>4083</v>
      </c>
      <c r="BF190" t="str">
        <f>HYPERLINK("http://dx.doi.org/10.1007/s10152-013-0376-x","http://dx.doi.org/10.1007/s10152-013-0376-x")</f>
        <v>http://dx.doi.org/10.1007/s10152-013-0376-x</v>
      </c>
      <c r="BG190" t="s">
        <v>74</v>
      </c>
      <c r="BH190" t="s">
        <v>74</v>
      </c>
      <c r="BI190">
        <v>14</v>
      </c>
      <c r="BJ190" t="s">
        <v>909</v>
      </c>
      <c r="BK190" t="s">
        <v>101</v>
      </c>
      <c r="BL190" t="s">
        <v>909</v>
      </c>
      <c r="BM190" t="s">
        <v>4084</v>
      </c>
      <c r="BN190" t="s">
        <v>74</v>
      </c>
      <c r="BO190" t="s">
        <v>1607</v>
      </c>
      <c r="BP190" t="s">
        <v>74</v>
      </c>
      <c r="BQ190" t="s">
        <v>74</v>
      </c>
      <c r="BR190" t="s">
        <v>104</v>
      </c>
      <c r="BS190" t="s">
        <v>4085</v>
      </c>
      <c r="BT190" t="str">
        <f>HYPERLINK("https%3A%2F%2Fwww.webofscience.com%2Fwos%2Fwoscc%2Ffull-record%2FWOS:000332116600012","View Full Record in Web of Science")</f>
        <v>View Full Record in Web of Science</v>
      </c>
    </row>
    <row r="191" spans="1:72" x14ac:dyDescent="0.15">
      <c r="A191" t="s">
        <v>72</v>
      </c>
      <c r="B191" t="s">
        <v>4086</v>
      </c>
      <c r="C191" t="s">
        <v>74</v>
      </c>
      <c r="D191" t="s">
        <v>74</v>
      </c>
      <c r="E191" t="s">
        <v>74</v>
      </c>
      <c r="F191" t="s">
        <v>4087</v>
      </c>
      <c r="G191" t="s">
        <v>74</v>
      </c>
      <c r="H191" t="s">
        <v>74</v>
      </c>
      <c r="I191" t="s">
        <v>4088</v>
      </c>
      <c r="J191" t="s">
        <v>4089</v>
      </c>
      <c r="K191" t="s">
        <v>74</v>
      </c>
      <c r="L191" t="s">
        <v>74</v>
      </c>
      <c r="M191" t="s">
        <v>78</v>
      </c>
      <c r="N191" t="s">
        <v>79</v>
      </c>
      <c r="O191" t="s">
        <v>74</v>
      </c>
      <c r="P191" t="s">
        <v>74</v>
      </c>
      <c r="Q191" t="s">
        <v>74</v>
      </c>
      <c r="R191" t="s">
        <v>74</v>
      </c>
      <c r="S191" t="s">
        <v>74</v>
      </c>
      <c r="T191" t="s">
        <v>4090</v>
      </c>
      <c r="U191" t="s">
        <v>4091</v>
      </c>
      <c r="V191" t="s">
        <v>4092</v>
      </c>
      <c r="W191" t="s">
        <v>4093</v>
      </c>
      <c r="X191" t="s">
        <v>4094</v>
      </c>
      <c r="Y191" t="s">
        <v>4095</v>
      </c>
      <c r="Z191" t="s">
        <v>4096</v>
      </c>
      <c r="AA191" t="s">
        <v>4097</v>
      </c>
      <c r="AB191" t="s">
        <v>4098</v>
      </c>
      <c r="AC191" t="s">
        <v>4099</v>
      </c>
      <c r="AD191" t="s">
        <v>4100</v>
      </c>
      <c r="AE191" t="s">
        <v>4101</v>
      </c>
      <c r="AF191" t="s">
        <v>74</v>
      </c>
      <c r="AG191">
        <v>88</v>
      </c>
      <c r="AH191">
        <v>48</v>
      </c>
      <c r="AI191">
        <v>53</v>
      </c>
      <c r="AJ191">
        <v>1</v>
      </c>
      <c r="AK191">
        <v>84</v>
      </c>
      <c r="AL191" t="s">
        <v>145</v>
      </c>
      <c r="AM191" t="s">
        <v>146</v>
      </c>
      <c r="AN191" t="s">
        <v>147</v>
      </c>
      <c r="AO191" t="s">
        <v>4102</v>
      </c>
      <c r="AP191" t="s">
        <v>4103</v>
      </c>
      <c r="AQ191" t="s">
        <v>74</v>
      </c>
      <c r="AR191" t="s">
        <v>4089</v>
      </c>
      <c r="AS191" t="s">
        <v>4104</v>
      </c>
      <c r="AT191" t="s">
        <v>2376</v>
      </c>
      <c r="AU191">
        <v>2014</v>
      </c>
      <c r="AV191">
        <v>725</v>
      </c>
      <c r="AW191">
        <v>1</v>
      </c>
      <c r="AX191" t="s">
        <v>74</v>
      </c>
      <c r="AY191" t="s">
        <v>74</v>
      </c>
      <c r="AZ191" t="s">
        <v>74</v>
      </c>
      <c r="BA191" t="s">
        <v>74</v>
      </c>
      <c r="BB191">
        <v>215</v>
      </c>
      <c r="BC191">
        <v>235</v>
      </c>
      <c r="BD191" t="s">
        <v>74</v>
      </c>
      <c r="BE191" t="s">
        <v>4105</v>
      </c>
      <c r="BF191" t="str">
        <f>HYPERLINK("http://dx.doi.org/10.1007/s10750-013-1517-6","http://dx.doi.org/10.1007/s10750-013-1517-6")</f>
        <v>http://dx.doi.org/10.1007/s10750-013-1517-6</v>
      </c>
      <c r="BG191" t="s">
        <v>74</v>
      </c>
      <c r="BH191" t="s">
        <v>74</v>
      </c>
      <c r="BI191">
        <v>21</v>
      </c>
      <c r="BJ191" t="s">
        <v>1028</v>
      </c>
      <c r="BK191" t="s">
        <v>101</v>
      </c>
      <c r="BL191" t="s">
        <v>1028</v>
      </c>
      <c r="BM191" t="s">
        <v>4106</v>
      </c>
      <c r="BN191" t="s">
        <v>74</v>
      </c>
      <c r="BO191" t="s">
        <v>74</v>
      </c>
      <c r="BP191" t="s">
        <v>74</v>
      </c>
      <c r="BQ191" t="s">
        <v>74</v>
      </c>
      <c r="BR191" t="s">
        <v>104</v>
      </c>
      <c r="BS191" t="s">
        <v>4107</v>
      </c>
      <c r="BT191" t="str">
        <f>HYPERLINK("https%3A%2F%2Fwww.webofscience.com%2Fwos%2Fwoscc%2Ffull-record%2FWOS:000330644400018","View Full Record in Web of Science")</f>
        <v>View Full Record in Web of Science</v>
      </c>
    </row>
    <row r="192" spans="1:72" x14ac:dyDescent="0.15">
      <c r="A192" t="s">
        <v>72</v>
      </c>
      <c r="B192" t="s">
        <v>4108</v>
      </c>
      <c r="C192" t="s">
        <v>74</v>
      </c>
      <c r="D192" t="s">
        <v>74</v>
      </c>
      <c r="E192" t="s">
        <v>74</v>
      </c>
      <c r="F192" t="s">
        <v>4109</v>
      </c>
      <c r="G192" t="s">
        <v>74</v>
      </c>
      <c r="H192" t="s">
        <v>74</v>
      </c>
      <c r="I192" t="s">
        <v>4110</v>
      </c>
      <c r="J192" t="s">
        <v>4111</v>
      </c>
      <c r="K192" t="s">
        <v>74</v>
      </c>
      <c r="L192" t="s">
        <v>74</v>
      </c>
      <c r="M192" t="s">
        <v>78</v>
      </c>
      <c r="N192" t="s">
        <v>79</v>
      </c>
      <c r="O192" t="s">
        <v>74</v>
      </c>
      <c r="P192" t="s">
        <v>74</v>
      </c>
      <c r="Q192" t="s">
        <v>74</v>
      </c>
      <c r="R192" t="s">
        <v>74</v>
      </c>
      <c r="S192" t="s">
        <v>74</v>
      </c>
      <c r="T192" t="s">
        <v>4112</v>
      </c>
      <c r="U192" t="s">
        <v>4113</v>
      </c>
      <c r="V192" t="s">
        <v>4114</v>
      </c>
      <c r="W192" t="s">
        <v>4115</v>
      </c>
      <c r="X192" t="s">
        <v>4116</v>
      </c>
      <c r="Y192" t="s">
        <v>4117</v>
      </c>
      <c r="Z192" t="s">
        <v>4118</v>
      </c>
      <c r="AA192" t="s">
        <v>4119</v>
      </c>
      <c r="AB192" t="s">
        <v>4120</v>
      </c>
      <c r="AC192" t="s">
        <v>4121</v>
      </c>
      <c r="AD192" t="s">
        <v>4122</v>
      </c>
      <c r="AE192" t="s">
        <v>4123</v>
      </c>
      <c r="AF192" t="s">
        <v>74</v>
      </c>
      <c r="AG192">
        <v>38</v>
      </c>
      <c r="AH192">
        <v>18</v>
      </c>
      <c r="AI192">
        <v>18</v>
      </c>
      <c r="AJ192">
        <v>0</v>
      </c>
      <c r="AK192">
        <v>15</v>
      </c>
      <c r="AL192" t="s">
        <v>1048</v>
      </c>
      <c r="AM192" t="s">
        <v>522</v>
      </c>
      <c r="AN192" t="s">
        <v>1049</v>
      </c>
      <c r="AO192" t="s">
        <v>4124</v>
      </c>
      <c r="AP192" t="s">
        <v>4125</v>
      </c>
      <c r="AQ192" t="s">
        <v>74</v>
      </c>
      <c r="AR192" t="s">
        <v>4126</v>
      </c>
      <c r="AS192" t="s">
        <v>4127</v>
      </c>
      <c r="AT192" t="s">
        <v>2447</v>
      </c>
      <c r="AU192">
        <v>2014</v>
      </c>
      <c r="AV192">
        <v>71</v>
      </c>
      <c r="AW192">
        <v>3</v>
      </c>
      <c r="AX192" t="s">
        <v>74</v>
      </c>
      <c r="AY192" t="s">
        <v>74</v>
      </c>
      <c r="AZ192" t="s">
        <v>74</v>
      </c>
      <c r="BA192" t="s">
        <v>74</v>
      </c>
      <c r="BB192">
        <v>528</v>
      </c>
      <c r="BC192">
        <v>536</v>
      </c>
      <c r="BD192" t="s">
        <v>74</v>
      </c>
      <c r="BE192" t="s">
        <v>4128</v>
      </c>
      <c r="BF192" t="str">
        <f>HYPERLINK("http://dx.doi.org/10.1093/icesjms/fst176","http://dx.doi.org/10.1093/icesjms/fst176")</f>
        <v>http://dx.doi.org/10.1093/icesjms/fst176</v>
      </c>
      <c r="BG192" t="s">
        <v>74</v>
      </c>
      <c r="BH192" t="s">
        <v>74</v>
      </c>
      <c r="BI192">
        <v>9</v>
      </c>
      <c r="BJ192" t="s">
        <v>4129</v>
      </c>
      <c r="BK192" t="s">
        <v>101</v>
      </c>
      <c r="BL192" t="s">
        <v>4129</v>
      </c>
      <c r="BM192" t="s">
        <v>4130</v>
      </c>
      <c r="BN192" t="s">
        <v>74</v>
      </c>
      <c r="BO192" t="s">
        <v>74</v>
      </c>
      <c r="BP192" t="s">
        <v>74</v>
      </c>
      <c r="BQ192" t="s">
        <v>74</v>
      </c>
      <c r="BR192" t="s">
        <v>104</v>
      </c>
      <c r="BS192" t="s">
        <v>4131</v>
      </c>
      <c r="BT192" t="str">
        <f>HYPERLINK("https%3A%2F%2Fwww.webofscience.com%2Fwos%2Fwoscc%2Ffull-record%2FWOS:000334694300010","View Full Record in Web of Science")</f>
        <v>View Full Record in Web of Science</v>
      </c>
    </row>
    <row r="193" spans="1:72" x14ac:dyDescent="0.15">
      <c r="A193" t="s">
        <v>72</v>
      </c>
      <c r="B193" t="s">
        <v>4132</v>
      </c>
      <c r="C193" t="s">
        <v>74</v>
      </c>
      <c r="D193" t="s">
        <v>74</v>
      </c>
      <c r="E193" t="s">
        <v>74</v>
      </c>
      <c r="F193" t="s">
        <v>4133</v>
      </c>
      <c r="G193" t="s">
        <v>74</v>
      </c>
      <c r="H193" t="s">
        <v>74</v>
      </c>
      <c r="I193" t="s">
        <v>4134</v>
      </c>
      <c r="J193" t="s">
        <v>4135</v>
      </c>
      <c r="K193" t="s">
        <v>74</v>
      </c>
      <c r="L193" t="s">
        <v>74</v>
      </c>
      <c r="M193" t="s">
        <v>78</v>
      </c>
      <c r="N193" t="s">
        <v>79</v>
      </c>
      <c r="O193" t="s">
        <v>74</v>
      </c>
      <c r="P193" t="s">
        <v>74</v>
      </c>
      <c r="Q193" t="s">
        <v>74</v>
      </c>
      <c r="R193" t="s">
        <v>74</v>
      </c>
      <c r="S193" t="s">
        <v>74</v>
      </c>
      <c r="T193" t="s">
        <v>74</v>
      </c>
      <c r="U193" t="s">
        <v>4136</v>
      </c>
      <c r="V193" t="s">
        <v>4137</v>
      </c>
      <c r="W193" t="s">
        <v>4138</v>
      </c>
      <c r="X193" t="s">
        <v>4139</v>
      </c>
      <c r="Y193" t="s">
        <v>4140</v>
      </c>
      <c r="Z193" t="s">
        <v>74</v>
      </c>
      <c r="AA193" t="s">
        <v>74</v>
      </c>
      <c r="AB193" t="s">
        <v>4141</v>
      </c>
      <c r="AC193" t="s">
        <v>4142</v>
      </c>
      <c r="AD193" t="s">
        <v>4143</v>
      </c>
      <c r="AE193" t="s">
        <v>4144</v>
      </c>
      <c r="AF193" t="s">
        <v>74</v>
      </c>
      <c r="AG193">
        <v>40</v>
      </c>
      <c r="AH193">
        <v>25</v>
      </c>
      <c r="AI193">
        <v>36</v>
      </c>
      <c r="AJ193">
        <v>0</v>
      </c>
      <c r="AK193">
        <v>14</v>
      </c>
      <c r="AL193" t="s">
        <v>2597</v>
      </c>
      <c r="AM193" t="s">
        <v>2598</v>
      </c>
      <c r="AN193" t="s">
        <v>2599</v>
      </c>
      <c r="AO193" t="s">
        <v>74</v>
      </c>
      <c r="AP193" t="s">
        <v>4145</v>
      </c>
      <c r="AQ193" t="s">
        <v>74</v>
      </c>
      <c r="AR193" t="s">
        <v>4146</v>
      </c>
      <c r="AS193" t="s">
        <v>4147</v>
      </c>
      <c r="AT193" t="s">
        <v>2376</v>
      </c>
      <c r="AU193">
        <v>2014</v>
      </c>
      <c r="AV193">
        <v>2</v>
      </c>
      <c r="AW193">
        <v>1</v>
      </c>
      <c r="AX193" t="s">
        <v>74</v>
      </c>
      <c r="AY193" t="s">
        <v>74</v>
      </c>
      <c r="AZ193" t="s">
        <v>74</v>
      </c>
      <c r="BA193" t="s">
        <v>74</v>
      </c>
      <c r="BB193">
        <v>8</v>
      </c>
      <c r="BC193">
        <v>17</v>
      </c>
      <c r="BD193" t="s">
        <v>74</v>
      </c>
      <c r="BE193" t="s">
        <v>4148</v>
      </c>
      <c r="BF193" t="str">
        <f>HYPERLINK("http://dx.doi.org/10.1109/MGRS.2014.2306353","http://dx.doi.org/10.1109/MGRS.2014.2306353")</f>
        <v>http://dx.doi.org/10.1109/MGRS.2014.2306353</v>
      </c>
      <c r="BG193" t="s">
        <v>74</v>
      </c>
      <c r="BH193" t="s">
        <v>74</v>
      </c>
      <c r="BI193">
        <v>10</v>
      </c>
      <c r="BJ193" t="s">
        <v>4149</v>
      </c>
      <c r="BK193" t="s">
        <v>101</v>
      </c>
      <c r="BL193" t="s">
        <v>4149</v>
      </c>
      <c r="BM193" t="s">
        <v>4150</v>
      </c>
      <c r="BN193" t="s">
        <v>74</v>
      </c>
      <c r="BO193" t="s">
        <v>74</v>
      </c>
      <c r="BP193" t="s">
        <v>74</v>
      </c>
      <c r="BQ193" t="s">
        <v>74</v>
      </c>
      <c r="BR193" t="s">
        <v>104</v>
      </c>
      <c r="BS193" t="s">
        <v>4151</v>
      </c>
      <c r="BT193" t="str">
        <f>HYPERLINK("https%3A%2F%2Fwww.webofscience.com%2Fwos%2Fwoscc%2Ffull-record%2FWOS:000209829200003","View Full Record in Web of Science")</f>
        <v>View Full Record in Web of Science</v>
      </c>
    </row>
    <row r="194" spans="1:72" x14ac:dyDescent="0.15">
      <c r="A194" t="s">
        <v>72</v>
      </c>
      <c r="B194" t="s">
        <v>4152</v>
      </c>
      <c r="C194" t="s">
        <v>74</v>
      </c>
      <c r="D194" t="s">
        <v>74</v>
      </c>
      <c r="E194" t="s">
        <v>74</v>
      </c>
      <c r="F194" t="s">
        <v>4153</v>
      </c>
      <c r="G194" t="s">
        <v>74</v>
      </c>
      <c r="H194" t="s">
        <v>74</v>
      </c>
      <c r="I194" t="s">
        <v>4154</v>
      </c>
      <c r="J194" t="s">
        <v>4155</v>
      </c>
      <c r="K194" t="s">
        <v>74</v>
      </c>
      <c r="L194" t="s">
        <v>74</v>
      </c>
      <c r="M194" t="s">
        <v>78</v>
      </c>
      <c r="N194" t="s">
        <v>79</v>
      </c>
      <c r="O194" t="s">
        <v>74</v>
      </c>
      <c r="P194" t="s">
        <v>74</v>
      </c>
      <c r="Q194" t="s">
        <v>74</v>
      </c>
      <c r="R194" t="s">
        <v>74</v>
      </c>
      <c r="S194" t="s">
        <v>74</v>
      </c>
      <c r="T194" t="s">
        <v>4156</v>
      </c>
      <c r="U194" t="s">
        <v>4157</v>
      </c>
      <c r="V194" t="s">
        <v>4158</v>
      </c>
      <c r="W194" t="s">
        <v>4159</v>
      </c>
      <c r="X194" t="s">
        <v>4160</v>
      </c>
      <c r="Y194" t="s">
        <v>4161</v>
      </c>
      <c r="Z194" t="s">
        <v>4162</v>
      </c>
      <c r="AA194" t="s">
        <v>74</v>
      </c>
      <c r="AB194" t="s">
        <v>4163</v>
      </c>
      <c r="AC194" t="s">
        <v>4164</v>
      </c>
      <c r="AD194" t="s">
        <v>4165</v>
      </c>
      <c r="AE194" t="s">
        <v>4166</v>
      </c>
      <c r="AF194" t="s">
        <v>74</v>
      </c>
      <c r="AG194">
        <v>64</v>
      </c>
      <c r="AH194">
        <v>49</v>
      </c>
      <c r="AI194">
        <v>50</v>
      </c>
      <c r="AJ194">
        <v>0</v>
      </c>
      <c r="AK194">
        <v>35</v>
      </c>
      <c r="AL194" t="s">
        <v>145</v>
      </c>
      <c r="AM194" t="s">
        <v>92</v>
      </c>
      <c r="AN194" t="s">
        <v>3045</v>
      </c>
      <c r="AO194" t="s">
        <v>4167</v>
      </c>
      <c r="AP194" t="s">
        <v>4168</v>
      </c>
      <c r="AQ194" t="s">
        <v>74</v>
      </c>
      <c r="AR194" t="s">
        <v>4169</v>
      </c>
      <c r="AS194" t="s">
        <v>4170</v>
      </c>
      <c r="AT194" t="s">
        <v>2376</v>
      </c>
      <c r="AU194">
        <v>2014</v>
      </c>
      <c r="AV194">
        <v>11</v>
      </c>
      <c r="AW194">
        <v>2</v>
      </c>
      <c r="AX194" t="s">
        <v>74</v>
      </c>
      <c r="AY194" t="s">
        <v>74</v>
      </c>
      <c r="AZ194" t="s">
        <v>74</v>
      </c>
      <c r="BA194" t="s">
        <v>74</v>
      </c>
      <c r="BB194">
        <v>395</v>
      </c>
      <c r="BC194">
        <v>416</v>
      </c>
      <c r="BD194" t="s">
        <v>74</v>
      </c>
      <c r="BE194" t="s">
        <v>4171</v>
      </c>
      <c r="BF194" t="str">
        <f>HYPERLINK("http://dx.doi.org/10.1007/s13762-013-0196-1","http://dx.doi.org/10.1007/s13762-013-0196-1")</f>
        <v>http://dx.doi.org/10.1007/s13762-013-0196-1</v>
      </c>
      <c r="BG194" t="s">
        <v>74</v>
      </c>
      <c r="BH194" t="s">
        <v>74</v>
      </c>
      <c r="BI194">
        <v>22</v>
      </c>
      <c r="BJ194" t="s">
        <v>478</v>
      </c>
      <c r="BK194" t="s">
        <v>101</v>
      </c>
      <c r="BL194" t="s">
        <v>102</v>
      </c>
      <c r="BM194" t="s">
        <v>4172</v>
      </c>
      <c r="BN194" t="s">
        <v>74</v>
      </c>
      <c r="BO194" t="s">
        <v>270</v>
      </c>
      <c r="BP194" t="s">
        <v>74</v>
      </c>
      <c r="BQ194" t="s">
        <v>74</v>
      </c>
      <c r="BR194" t="s">
        <v>104</v>
      </c>
      <c r="BS194" t="s">
        <v>4173</v>
      </c>
      <c r="BT194" t="str">
        <f>HYPERLINK("https%3A%2F%2Fwww.webofscience.com%2Fwos%2Fwoscc%2Ffull-record%2FWOS:000331804300016","View Full Record in Web of Science")</f>
        <v>View Full Record in Web of Science</v>
      </c>
    </row>
    <row r="195" spans="1:72" x14ac:dyDescent="0.15">
      <c r="A195" t="s">
        <v>72</v>
      </c>
      <c r="B195" t="s">
        <v>4174</v>
      </c>
      <c r="C195" t="s">
        <v>74</v>
      </c>
      <c r="D195" t="s">
        <v>74</v>
      </c>
      <c r="E195" t="s">
        <v>74</v>
      </c>
      <c r="F195" t="s">
        <v>4175</v>
      </c>
      <c r="G195" t="s">
        <v>74</v>
      </c>
      <c r="H195" t="s">
        <v>74</v>
      </c>
      <c r="I195" t="s">
        <v>4176</v>
      </c>
      <c r="J195" t="s">
        <v>4177</v>
      </c>
      <c r="K195" t="s">
        <v>74</v>
      </c>
      <c r="L195" t="s">
        <v>74</v>
      </c>
      <c r="M195" t="s">
        <v>78</v>
      </c>
      <c r="N195" t="s">
        <v>79</v>
      </c>
      <c r="O195" t="s">
        <v>74</v>
      </c>
      <c r="P195" t="s">
        <v>74</v>
      </c>
      <c r="Q195" t="s">
        <v>74</v>
      </c>
      <c r="R195" t="s">
        <v>74</v>
      </c>
      <c r="S195" t="s">
        <v>74</v>
      </c>
      <c r="T195" t="s">
        <v>4178</v>
      </c>
      <c r="U195" t="s">
        <v>4179</v>
      </c>
      <c r="V195" t="s">
        <v>4180</v>
      </c>
      <c r="W195" t="s">
        <v>4181</v>
      </c>
      <c r="X195" t="s">
        <v>4182</v>
      </c>
      <c r="Y195" t="s">
        <v>4183</v>
      </c>
      <c r="Z195" t="s">
        <v>4184</v>
      </c>
      <c r="AA195" t="s">
        <v>4185</v>
      </c>
      <c r="AB195" t="s">
        <v>4186</v>
      </c>
      <c r="AC195" t="s">
        <v>4187</v>
      </c>
      <c r="AD195" t="s">
        <v>4188</v>
      </c>
      <c r="AE195" t="s">
        <v>4189</v>
      </c>
      <c r="AF195" t="s">
        <v>74</v>
      </c>
      <c r="AG195">
        <v>73</v>
      </c>
      <c r="AH195">
        <v>16</v>
      </c>
      <c r="AI195">
        <v>21</v>
      </c>
      <c r="AJ195">
        <v>2</v>
      </c>
      <c r="AK195">
        <v>53</v>
      </c>
      <c r="AL195" t="s">
        <v>403</v>
      </c>
      <c r="AM195" t="s">
        <v>404</v>
      </c>
      <c r="AN195" t="s">
        <v>405</v>
      </c>
      <c r="AO195" t="s">
        <v>4190</v>
      </c>
      <c r="AP195" t="s">
        <v>4191</v>
      </c>
      <c r="AQ195" t="s">
        <v>74</v>
      </c>
      <c r="AR195" t="s">
        <v>4192</v>
      </c>
      <c r="AS195" t="s">
        <v>4193</v>
      </c>
      <c r="AT195" t="s">
        <v>2376</v>
      </c>
      <c r="AU195">
        <v>2014</v>
      </c>
      <c r="AV195">
        <v>83</v>
      </c>
      <c r="AW195">
        <v>2</v>
      </c>
      <c r="AX195" t="s">
        <v>74</v>
      </c>
      <c r="AY195" t="s">
        <v>74</v>
      </c>
      <c r="AZ195" t="s">
        <v>74</v>
      </c>
      <c r="BA195" t="s">
        <v>74</v>
      </c>
      <c r="BB195">
        <v>470</v>
      </c>
      <c r="BC195">
        <v>478</v>
      </c>
      <c r="BD195" t="s">
        <v>74</v>
      </c>
      <c r="BE195" t="s">
        <v>4194</v>
      </c>
      <c r="BF195" t="str">
        <f>HYPERLINK("http://dx.doi.org/10.1111/1365-2656.12156","http://dx.doi.org/10.1111/1365-2656.12156")</f>
        <v>http://dx.doi.org/10.1111/1365-2656.12156</v>
      </c>
      <c r="BG195" t="s">
        <v>74</v>
      </c>
      <c r="BH195" t="s">
        <v>74</v>
      </c>
      <c r="BI195">
        <v>9</v>
      </c>
      <c r="BJ195" t="s">
        <v>4195</v>
      </c>
      <c r="BK195" t="s">
        <v>101</v>
      </c>
      <c r="BL195" t="s">
        <v>4196</v>
      </c>
      <c r="BM195" t="s">
        <v>4197</v>
      </c>
      <c r="BN195">
        <v>24215391</v>
      </c>
      <c r="BO195" t="s">
        <v>600</v>
      </c>
      <c r="BP195" t="s">
        <v>74</v>
      </c>
      <c r="BQ195" t="s">
        <v>74</v>
      </c>
      <c r="BR195" t="s">
        <v>104</v>
      </c>
      <c r="BS195" t="s">
        <v>4198</v>
      </c>
      <c r="BT195" t="str">
        <f>HYPERLINK("https%3A%2F%2Fwww.webofscience.com%2Fwos%2Fwoscc%2Ffull-record%2FWOS:000331469200016","View Full Record in Web of Science")</f>
        <v>View Full Record in Web of Science</v>
      </c>
    </row>
    <row r="196" spans="1:72" x14ac:dyDescent="0.15">
      <c r="A196" t="s">
        <v>72</v>
      </c>
      <c r="B196" t="s">
        <v>4199</v>
      </c>
      <c r="C196" t="s">
        <v>74</v>
      </c>
      <c r="D196" t="s">
        <v>74</v>
      </c>
      <c r="E196" t="s">
        <v>74</v>
      </c>
      <c r="F196" t="s">
        <v>4200</v>
      </c>
      <c r="G196" t="s">
        <v>74</v>
      </c>
      <c r="H196" t="s">
        <v>74</v>
      </c>
      <c r="I196" t="s">
        <v>4201</v>
      </c>
      <c r="J196" t="s">
        <v>3110</v>
      </c>
      <c r="K196" t="s">
        <v>74</v>
      </c>
      <c r="L196" t="s">
        <v>74</v>
      </c>
      <c r="M196" t="s">
        <v>78</v>
      </c>
      <c r="N196" t="s">
        <v>79</v>
      </c>
      <c r="O196" t="s">
        <v>74</v>
      </c>
      <c r="P196" t="s">
        <v>74</v>
      </c>
      <c r="Q196" t="s">
        <v>74</v>
      </c>
      <c r="R196" t="s">
        <v>74</v>
      </c>
      <c r="S196" t="s">
        <v>74</v>
      </c>
      <c r="T196" t="s">
        <v>4202</v>
      </c>
      <c r="U196" t="s">
        <v>4203</v>
      </c>
      <c r="V196" t="s">
        <v>4204</v>
      </c>
      <c r="W196" t="s">
        <v>4205</v>
      </c>
      <c r="X196" t="s">
        <v>4206</v>
      </c>
      <c r="Y196" t="s">
        <v>4207</v>
      </c>
      <c r="Z196" t="s">
        <v>4208</v>
      </c>
      <c r="AA196" t="s">
        <v>4209</v>
      </c>
      <c r="AB196" t="s">
        <v>4210</v>
      </c>
      <c r="AC196" t="s">
        <v>4211</v>
      </c>
      <c r="AD196" t="s">
        <v>4212</v>
      </c>
      <c r="AE196" t="s">
        <v>4213</v>
      </c>
      <c r="AF196" t="s">
        <v>74</v>
      </c>
      <c r="AG196">
        <v>61</v>
      </c>
      <c r="AH196">
        <v>48</v>
      </c>
      <c r="AI196">
        <v>54</v>
      </c>
      <c r="AJ196">
        <v>1</v>
      </c>
      <c r="AK196">
        <v>54</v>
      </c>
      <c r="AL196" t="s">
        <v>876</v>
      </c>
      <c r="AM196" t="s">
        <v>877</v>
      </c>
      <c r="AN196" t="s">
        <v>878</v>
      </c>
      <c r="AO196" t="s">
        <v>3123</v>
      </c>
      <c r="AP196" t="s">
        <v>3124</v>
      </c>
      <c r="AQ196" t="s">
        <v>74</v>
      </c>
      <c r="AR196" t="s">
        <v>3125</v>
      </c>
      <c r="AS196" t="s">
        <v>3126</v>
      </c>
      <c r="AT196" t="s">
        <v>2376</v>
      </c>
      <c r="AU196">
        <v>2014</v>
      </c>
      <c r="AV196">
        <v>27</v>
      </c>
      <c r="AW196">
        <v>5</v>
      </c>
      <c r="AX196" t="s">
        <v>74</v>
      </c>
      <c r="AY196" t="s">
        <v>74</v>
      </c>
      <c r="AZ196" t="s">
        <v>74</v>
      </c>
      <c r="BA196" t="s">
        <v>74</v>
      </c>
      <c r="BB196">
        <v>1863</v>
      </c>
      <c r="BC196">
        <v>1875</v>
      </c>
      <c r="BD196" t="s">
        <v>74</v>
      </c>
      <c r="BE196" t="s">
        <v>4214</v>
      </c>
      <c r="BF196" t="str">
        <f>HYPERLINK("http://dx.doi.org/10.1175/JCLI-D-13-00311.1","http://dx.doi.org/10.1175/JCLI-D-13-00311.1")</f>
        <v>http://dx.doi.org/10.1175/JCLI-D-13-00311.1</v>
      </c>
      <c r="BG196" t="s">
        <v>74</v>
      </c>
      <c r="BH196" t="s">
        <v>74</v>
      </c>
      <c r="BI196">
        <v>13</v>
      </c>
      <c r="BJ196" t="s">
        <v>1391</v>
      </c>
      <c r="BK196" t="s">
        <v>101</v>
      </c>
      <c r="BL196" t="s">
        <v>1391</v>
      </c>
      <c r="BM196" t="s">
        <v>3321</v>
      </c>
      <c r="BN196" t="s">
        <v>74</v>
      </c>
      <c r="BO196" t="s">
        <v>74</v>
      </c>
      <c r="BP196" t="s">
        <v>74</v>
      </c>
      <c r="BQ196" t="s">
        <v>74</v>
      </c>
      <c r="BR196" t="s">
        <v>104</v>
      </c>
      <c r="BS196" t="s">
        <v>4215</v>
      </c>
      <c r="BT196" t="str">
        <f>HYPERLINK("https%3A%2F%2Fwww.webofscience.com%2Fwos%2Fwoscc%2Ffull-record%2FWOS:000331689900002","View Full Record in Web of Science")</f>
        <v>View Full Record in Web of Science</v>
      </c>
    </row>
    <row r="197" spans="1:72" x14ac:dyDescent="0.15">
      <c r="A197" t="s">
        <v>72</v>
      </c>
      <c r="B197" t="s">
        <v>4216</v>
      </c>
      <c r="C197" t="s">
        <v>74</v>
      </c>
      <c r="D197" t="s">
        <v>74</v>
      </c>
      <c r="E197" t="s">
        <v>74</v>
      </c>
      <c r="F197" t="s">
        <v>4217</v>
      </c>
      <c r="G197" t="s">
        <v>74</v>
      </c>
      <c r="H197" t="s">
        <v>74</v>
      </c>
      <c r="I197" t="s">
        <v>4218</v>
      </c>
      <c r="J197" t="s">
        <v>4219</v>
      </c>
      <c r="K197" t="s">
        <v>74</v>
      </c>
      <c r="L197" t="s">
        <v>74</v>
      </c>
      <c r="M197" t="s">
        <v>78</v>
      </c>
      <c r="N197" t="s">
        <v>189</v>
      </c>
      <c r="O197" t="s">
        <v>74</v>
      </c>
      <c r="P197" t="s">
        <v>74</v>
      </c>
      <c r="Q197" t="s">
        <v>74</v>
      </c>
      <c r="R197" t="s">
        <v>74</v>
      </c>
      <c r="S197" t="s">
        <v>74</v>
      </c>
      <c r="T197" t="s">
        <v>74</v>
      </c>
      <c r="U197" t="s">
        <v>4220</v>
      </c>
      <c r="V197" t="s">
        <v>74</v>
      </c>
      <c r="W197" t="s">
        <v>4221</v>
      </c>
      <c r="X197" t="s">
        <v>4222</v>
      </c>
      <c r="Y197" t="s">
        <v>4223</v>
      </c>
      <c r="Z197" t="s">
        <v>4224</v>
      </c>
      <c r="AA197" t="s">
        <v>74</v>
      </c>
      <c r="AB197" t="s">
        <v>74</v>
      </c>
      <c r="AC197" t="s">
        <v>74</v>
      </c>
      <c r="AD197" t="s">
        <v>74</v>
      </c>
      <c r="AE197" t="s">
        <v>74</v>
      </c>
      <c r="AF197" t="s">
        <v>74</v>
      </c>
      <c r="AG197">
        <v>15</v>
      </c>
      <c r="AH197">
        <v>3</v>
      </c>
      <c r="AI197">
        <v>3</v>
      </c>
      <c r="AJ197">
        <v>3</v>
      </c>
      <c r="AK197">
        <v>52</v>
      </c>
      <c r="AL197" t="s">
        <v>4225</v>
      </c>
      <c r="AM197" t="s">
        <v>1948</v>
      </c>
      <c r="AN197" t="s">
        <v>4226</v>
      </c>
      <c r="AO197" t="s">
        <v>4227</v>
      </c>
      <c r="AP197" t="s">
        <v>4228</v>
      </c>
      <c r="AQ197" t="s">
        <v>74</v>
      </c>
      <c r="AR197" t="s">
        <v>4229</v>
      </c>
      <c r="AS197" t="s">
        <v>4230</v>
      </c>
      <c r="AT197" t="s">
        <v>2376</v>
      </c>
      <c r="AU197">
        <v>2014</v>
      </c>
      <c r="AV197">
        <v>217</v>
      </c>
      <c r="AW197">
        <v>6</v>
      </c>
      <c r="AX197" t="s">
        <v>74</v>
      </c>
      <c r="AY197" t="s">
        <v>74</v>
      </c>
      <c r="AZ197" t="s">
        <v>74</v>
      </c>
      <c r="BA197" t="s">
        <v>74</v>
      </c>
      <c r="BB197">
        <v>820</v>
      </c>
      <c r="BC197">
        <v>823</v>
      </c>
      <c r="BD197" t="s">
        <v>74</v>
      </c>
      <c r="BE197" t="s">
        <v>4231</v>
      </c>
      <c r="BF197" t="str">
        <f>HYPERLINK("http://dx.doi.org/10.1242/jeb.092239","http://dx.doi.org/10.1242/jeb.092239")</f>
        <v>http://dx.doi.org/10.1242/jeb.092239</v>
      </c>
      <c r="BG197" t="s">
        <v>74</v>
      </c>
      <c r="BH197" t="s">
        <v>74</v>
      </c>
      <c r="BI197">
        <v>4</v>
      </c>
      <c r="BJ197" t="s">
        <v>2474</v>
      </c>
      <c r="BK197" t="s">
        <v>101</v>
      </c>
      <c r="BL197" t="s">
        <v>2475</v>
      </c>
      <c r="BM197" t="s">
        <v>4232</v>
      </c>
      <c r="BN197">
        <v>24622891</v>
      </c>
      <c r="BO197" t="s">
        <v>200</v>
      </c>
      <c r="BP197" t="s">
        <v>74</v>
      </c>
      <c r="BQ197" t="s">
        <v>74</v>
      </c>
      <c r="BR197" t="s">
        <v>104</v>
      </c>
      <c r="BS197" t="s">
        <v>4233</v>
      </c>
      <c r="BT197" t="str">
        <f>HYPERLINK("https%3A%2F%2Fwww.webofscience.com%2Fwos%2Fwoscc%2Ffull-record%2FWOS:000332844300006","View Full Record in Web of Science")</f>
        <v>View Full Record in Web of Science</v>
      </c>
    </row>
    <row r="198" spans="1:72" x14ac:dyDescent="0.15">
      <c r="A198" t="s">
        <v>72</v>
      </c>
      <c r="B198" t="s">
        <v>4234</v>
      </c>
      <c r="C198" t="s">
        <v>74</v>
      </c>
      <c r="D198" t="s">
        <v>74</v>
      </c>
      <c r="E198" t="s">
        <v>74</v>
      </c>
      <c r="F198" t="s">
        <v>4235</v>
      </c>
      <c r="G198" t="s">
        <v>74</v>
      </c>
      <c r="H198" t="s">
        <v>74</v>
      </c>
      <c r="I198" t="s">
        <v>4236</v>
      </c>
      <c r="J198" t="s">
        <v>2678</v>
      </c>
      <c r="K198" t="s">
        <v>74</v>
      </c>
      <c r="L198" t="s">
        <v>74</v>
      </c>
      <c r="M198" t="s">
        <v>78</v>
      </c>
      <c r="N198" t="s">
        <v>79</v>
      </c>
      <c r="O198" t="s">
        <v>74</v>
      </c>
      <c r="P198" t="s">
        <v>74</v>
      </c>
      <c r="Q198" t="s">
        <v>74</v>
      </c>
      <c r="R198" t="s">
        <v>74</v>
      </c>
      <c r="S198" t="s">
        <v>74</v>
      </c>
      <c r="T198" t="s">
        <v>4237</v>
      </c>
      <c r="U198" t="s">
        <v>4238</v>
      </c>
      <c r="V198" t="s">
        <v>4239</v>
      </c>
      <c r="W198" t="s">
        <v>4240</v>
      </c>
      <c r="X198" t="s">
        <v>4241</v>
      </c>
      <c r="Y198" t="s">
        <v>4242</v>
      </c>
      <c r="Z198" t="s">
        <v>4243</v>
      </c>
      <c r="AA198" t="s">
        <v>4244</v>
      </c>
      <c r="AB198" t="s">
        <v>4245</v>
      </c>
      <c r="AC198" t="s">
        <v>4246</v>
      </c>
      <c r="AD198" t="s">
        <v>4247</v>
      </c>
      <c r="AE198" t="s">
        <v>4248</v>
      </c>
      <c r="AF198" t="s">
        <v>74</v>
      </c>
      <c r="AG198">
        <v>44</v>
      </c>
      <c r="AH198">
        <v>30</v>
      </c>
      <c r="AI198">
        <v>32</v>
      </c>
      <c r="AJ198">
        <v>0</v>
      </c>
      <c r="AK198">
        <v>25</v>
      </c>
      <c r="AL198" t="s">
        <v>568</v>
      </c>
      <c r="AM198" t="s">
        <v>447</v>
      </c>
      <c r="AN198" t="s">
        <v>569</v>
      </c>
      <c r="AO198" t="s">
        <v>2691</v>
      </c>
      <c r="AP198" t="s">
        <v>2692</v>
      </c>
      <c r="AQ198" t="s">
        <v>74</v>
      </c>
      <c r="AR198" t="s">
        <v>2693</v>
      </c>
      <c r="AS198" t="s">
        <v>2694</v>
      </c>
      <c r="AT198" t="s">
        <v>2376</v>
      </c>
      <c r="AU198">
        <v>2014</v>
      </c>
      <c r="AV198">
        <v>119</v>
      </c>
      <c r="AW198">
        <v>3</v>
      </c>
      <c r="AX198" t="s">
        <v>74</v>
      </c>
      <c r="AY198" t="s">
        <v>74</v>
      </c>
      <c r="AZ198" t="s">
        <v>74</v>
      </c>
      <c r="BA198" t="s">
        <v>74</v>
      </c>
      <c r="BB198">
        <v>588</v>
      </c>
      <c r="BC198">
        <v>602</v>
      </c>
      <c r="BD198" t="s">
        <v>74</v>
      </c>
      <c r="BE198" t="s">
        <v>4249</v>
      </c>
      <c r="BF198" t="str">
        <f>HYPERLINK("http://dx.doi.org/10.1002/2013JF002935","http://dx.doi.org/10.1002/2013JF002935")</f>
        <v>http://dx.doi.org/10.1002/2013JF002935</v>
      </c>
      <c r="BG198" t="s">
        <v>74</v>
      </c>
      <c r="BH198" t="s">
        <v>74</v>
      </c>
      <c r="BI198">
        <v>15</v>
      </c>
      <c r="BJ198" t="s">
        <v>952</v>
      </c>
      <c r="BK198" t="s">
        <v>101</v>
      </c>
      <c r="BL198" t="s">
        <v>597</v>
      </c>
      <c r="BM198" t="s">
        <v>2696</v>
      </c>
      <c r="BN198" t="s">
        <v>74</v>
      </c>
      <c r="BO198" t="s">
        <v>1855</v>
      </c>
      <c r="BP198" t="s">
        <v>74</v>
      </c>
      <c r="BQ198" t="s">
        <v>74</v>
      </c>
      <c r="BR198" t="s">
        <v>104</v>
      </c>
      <c r="BS198" t="s">
        <v>4250</v>
      </c>
      <c r="BT198" t="str">
        <f>HYPERLINK("https%3A%2F%2Fwww.webofscience.com%2Fwos%2Fwoscc%2Ffull-record%2FWOS:000334362800011","View Full Record in Web of Science")</f>
        <v>View Full Record in Web of Science</v>
      </c>
    </row>
    <row r="199" spans="1:72" x14ac:dyDescent="0.15">
      <c r="A199" t="s">
        <v>72</v>
      </c>
      <c r="B199" t="s">
        <v>4251</v>
      </c>
      <c r="C199" t="s">
        <v>74</v>
      </c>
      <c r="D199" t="s">
        <v>74</v>
      </c>
      <c r="E199" t="s">
        <v>74</v>
      </c>
      <c r="F199" t="s">
        <v>4252</v>
      </c>
      <c r="G199" t="s">
        <v>74</v>
      </c>
      <c r="H199" t="s">
        <v>74</v>
      </c>
      <c r="I199" t="s">
        <v>4253</v>
      </c>
      <c r="J199" t="s">
        <v>768</v>
      </c>
      <c r="K199" t="s">
        <v>74</v>
      </c>
      <c r="L199" t="s">
        <v>74</v>
      </c>
      <c r="M199" t="s">
        <v>78</v>
      </c>
      <c r="N199" t="s">
        <v>79</v>
      </c>
      <c r="O199" t="s">
        <v>74</v>
      </c>
      <c r="P199" t="s">
        <v>74</v>
      </c>
      <c r="Q199" t="s">
        <v>74</v>
      </c>
      <c r="R199" t="s">
        <v>74</v>
      </c>
      <c r="S199" t="s">
        <v>74</v>
      </c>
      <c r="T199" t="s">
        <v>4254</v>
      </c>
      <c r="U199" t="s">
        <v>4255</v>
      </c>
      <c r="V199" t="s">
        <v>4256</v>
      </c>
      <c r="W199" t="s">
        <v>4257</v>
      </c>
      <c r="X199" t="s">
        <v>4258</v>
      </c>
      <c r="Y199" t="s">
        <v>4259</v>
      </c>
      <c r="Z199" t="s">
        <v>4260</v>
      </c>
      <c r="AA199" t="s">
        <v>4261</v>
      </c>
      <c r="AB199" t="s">
        <v>4262</v>
      </c>
      <c r="AC199" t="s">
        <v>4263</v>
      </c>
      <c r="AD199" t="s">
        <v>4264</v>
      </c>
      <c r="AE199" t="s">
        <v>4265</v>
      </c>
      <c r="AF199" t="s">
        <v>74</v>
      </c>
      <c r="AG199">
        <v>25</v>
      </c>
      <c r="AH199">
        <v>30</v>
      </c>
      <c r="AI199">
        <v>34</v>
      </c>
      <c r="AJ199">
        <v>1</v>
      </c>
      <c r="AK199">
        <v>19</v>
      </c>
      <c r="AL199" t="s">
        <v>568</v>
      </c>
      <c r="AM199" t="s">
        <v>447</v>
      </c>
      <c r="AN199" t="s">
        <v>569</v>
      </c>
      <c r="AO199" t="s">
        <v>780</v>
      </c>
      <c r="AP199" t="s">
        <v>781</v>
      </c>
      <c r="AQ199" t="s">
        <v>74</v>
      </c>
      <c r="AR199" t="s">
        <v>782</v>
      </c>
      <c r="AS199" t="s">
        <v>783</v>
      </c>
      <c r="AT199" t="s">
        <v>2376</v>
      </c>
      <c r="AU199">
        <v>2014</v>
      </c>
      <c r="AV199">
        <v>119</v>
      </c>
      <c r="AW199">
        <v>3</v>
      </c>
      <c r="AX199" t="s">
        <v>74</v>
      </c>
      <c r="AY199" t="s">
        <v>74</v>
      </c>
      <c r="AZ199" t="s">
        <v>74</v>
      </c>
      <c r="BA199" t="s">
        <v>74</v>
      </c>
      <c r="BB199">
        <v>1754</v>
      </c>
      <c r="BC199">
        <v>1764</v>
      </c>
      <c r="BD199" t="s">
        <v>74</v>
      </c>
      <c r="BE199" t="s">
        <v>4266</v>
      </c>
      <c r="BF199" t="str">
        <f>HYPERLINK("http://dx.doi.org/10.1002/2013JC009307","http://dx.doi.org/10.1002/2013JC009307")</f>
        <v>http://dx.doi.org/10.1002/2013JC009307</v>
      </c>
      <c r="BG199" t="s">
        <v>74</v>
      </c>
      <c r="BH199" t="s">
        <v>74</v>
      </c>
      <c r="BI199">
        <v>11</v>
      </c>
      <c r="BJ199" t="s">
        <v>785</v>
      </c>
      <c r="BK199" t="s">
        <v>101</v>
      </c>
      <c r="BL199" t="s">
        <v>785</v>
      </c>
      <c r="BM199" t="s">
        <v>4267</v>
      </c>
      <c r="BN199" t="s">
        <v>74</v>
      </c>
      <c r="BO199" t="s">
        <v>4268</v>
      </c>
      <c r="BP199" t="s">
        <v>74</v>
      </c>
      <c r="BQ199" t="s">
        <v>74</v>
      </c>
      <c r="BR199" t="s">
        <v>104</v>
      </c>
      <c r="BS199" t="s">
        <v>4269</v>
      </c>
      <c r="BT199" t="str">
        <f>HYPERLINK("https%3A%2F%2Fwww.webofscience.com%2Fwos%2Fwoscc%2Ffull-record%2FWOS:000333816100014","View Full Record in Web of Science")</f>
        <v>View Full Record in Web of Science</v>
      </c>
    </row>
    <row r="200" spans="1:72" x14ac:dyDescent="0.15">
      <c r="A200" t="s">
        <v>72</v>
      </c>
      <c r="B200" t="s">
        <v>4270</v>
      </c>
      <c r="C200" t="s">
        <v>74</v>
      </c>
      <c r="D200" t="s">
        <v>74</v>
      </c>
      <c r="E200" t="s">
        <v>74</v>
      </c>
      <c r="F200" t="s">
        <v>4271</v>
      </c>
      <c r="G200" t="s">
        <v>74</v>
      </c>
      <c r="H200" t="s">
        <v>74</v>
      </c>
      <c r="I200" t="s">
        <v>4272</v>
      </c>
      <c r="J200" t="s">
        <v>768</v>
      </c>
      <c r="K200" t="s">
        <v>74</v>
      </c>
      <c r="L200" t="s">
        <v>74</v>
      </c>
      <c r="M200" t="s">
        <v>78</v>
      </c>
      <c r="N200" t="s">
        <v>79</v>
      </c>
      <c r="O200" t="s">
        <v>74</v>
      </c>
      <c r="P200" t="s">
        <v>74</v>
      </c>
      <c r="Q200" t="s">
        <v>74</v>
      </c>
      <c r="R200" t="s">
        <v>74</v>
      </c>
      <c r="S200" t="s">
        <v>74</v>
      </c>
      <c r="T200" t="s">
        <v>4273</v>
      </c>
      <c r="U200" t="s">
        <v>4274</v>
      </c>
      <c r="V200" t="s">
        <v>4275</v>
      </c>
      <c r="W200" t="s">
        <v>4276</v>
      </c>
      <c r="X200" t="s">
        <v>4277</v>
      </c>
      <c r="Y200" t="s">
        <v>4278</v>
      </c>
      <c r="Z200" t="s">
        <v>4279</v>
      </c>
      <c r="AA200" t="s">
        <v>4280</v>
      </c>
      <c r="AB200" t="s">
        <v>4281</v>
      </c>
      <c r="AC200" t="s">
        <v>4282</v>
      </c>
      <c r="AD200" t="s">
        <v>4283</v>
      </c>
      <c r="AE200" t="s">
        <v>4284</v>
      </c>
      <c r="AF200" t="s">
        <v>74</v>
      </c>
      <c r="AG200">
        <v>67</v>
      </c>
      <c r="AH200">
        <v>49</v>
      </c>
      <c r="AI200">
        <v>53</v>
      </c>
      <c r="AJ200">
        <v>0</v>
      </c>
      <c r="AK200">
        <v>12</v>
      </c>
      <c r="AL200" t="s">
        <v>568</v>
      </c>
      <c r="AM200" t="s">
        <v>447</v>
      </c>
      <c r="AN200" t="s">
        <v>569</v>
      </c>
      <c r="AO200" t="s">
        <v>74</v>
      </c>
      <c r="AP200" t="s">
        <v>781</v>
      </c>
      <c r="AQ200" t="s">
        <v>74</v>
      </c>
      <c r="AR200" t="s">
        <v>782</v>
      </c>
      <c r="AS200" t="s">
        <v>783</v>
      </c>
      <c r="AT200" t="s">
        <v>2376</v>
      </c>
      <c r="AU200">
        <v>2014</v>
      </c>
      <c r="AV200">
        <v>119</v>
      </c>
      <c r="AW200">
        <v>3</v>
      </c>
      <c r="AX200" t="s">
        <v>74</v>
      </c>
      <c r="AY200" t="s">
        <v>74</v>
      </c>
      <c r="AZ200" t="s">
        <v>74</v>
      </c>
      <c r="BA200" t="s">
        <v>74</v>
      </c>
      <c r="BB200">
        <v>1765</v>
      </c>
      <c r="BC200">
        <v>1790</v>
      </c>
      <c r="BD200" t="s">
        <v>74</v>
      </c>
      <c r="BE200" t="s">
        <v>4285</v>
      </c>
      <c r="BF200" t="str">
        <f>HYPERLINK("http://dx.doi.org/10.1002/2013JC008846","http://dx.doi.org/10.1002/2013JC008846")</f>
        <v>http://dx.doi.org/10.1002/2013JC008846</v>
      </c>
      <c r="BG200" t="s">
        <v>74</v>
      </c>
      <c r="BH200" t="s">
        <v>74</v>
      </c>
      <c r="BI200">
        <v>26</v>
      </c>
      <c r="BJ200" t="s">
        <v>785</v>
      </c>
      <c r="BK200" t="s">
        <v>101</v>
      </c>
      <c r="BL200" t="s">
        <v>785</v>
      </c>
      <c r="BM200" t="s">
        <v>4267</v>
      </c>
      <c r="BN200" t="s">
        <v>74</v>
      </c>
      <c r="BO200" t="s">
        <v>1056</v>
      </c>
      <c r="BP200" t="s">
        <v>74</v>
      </c>
      <c r="BQ200" t="s">
        <v>74</v>
      </c>
      <c r="BR200" t="s">
        <v>104</v>
      </c>
      <c r="BS200" t="s">
        <v>4286</v>
      </c>
      <c r="BT200" t="str">
        <f>HYPERLINK("https%3A%2F%2Fwww.webofscience.com%2Fwos%2Fwoscc%2Ffull-record%2FWOS:000333816100015","View Full Record in Web of Science")</f>
        <v>View Full Record in Web of Science</v>
      </c>
    </row>
    <row r="201" spans="1:72" x14ac:dyDescent="0.15">
      <c r="A201" t="s">
        <v>72</v>
      </c>
      <c r="B201" t="s">
        <v>4287</v>
      </c>
      <c r="C201" t="s">
        <v>74</v>
      </c>
      <c r="D201" t="s">
        <v>74</v>
      </c>
      <c r="E201" t="s">
        <v>74</v>
      </c>
      <c r="F201" t="s">
        <v>4288</v>
      </c>
      <c r="G201" t="s">
        <v>74</v>
      </c>
      <c r="H201" t="s">
        <v>74</v>
      </c>
      <c r="I201" t="s">
        <v>4289</v>
      </c>
      <c r="J201" t="s">
        <v>817</v>
      </c>
      <c r="K201" t="s">
        <v>74</v>
      </c>
      <c r="L201" t="s">
        <v>74</v>
      </c>
      <c r="M201" t="s">
        <v>78</v>
      </c>
      <c r="N201" t="s">
        <v>79</v>
      </c>
      <c r="O201" t="s">
        <v>74</v>
      </c>
      <c r="P201" t="s">
        <v>74</v>
      </c>
      <c r="Q201" t="s">
        <v>74</v>
      </c>
      <c r="R201" t="s">
        <v>74</v>
      </c>
      <c r="S201" t="s">
        <v>74</v>
      </c>
      <c r="T201" t="s">
        <v>74</v>
      </c>
      <c r="U201" t="s">
        <v>4290</v>
      </c>
      <c r="V201" t="s">
        <v>4291</v>
      </c>
      <c r="W201" t="s">
        <v>4292</v>
      </c>
      <c r="X201" t="s">
        <v>4293</v>
      </c>
      <c r="Y201" t="s">
        <v>4294</v>
      </c>
      <c r="Z201" t="s">
        <v>4295</v>
      </c>
      <c r="AA201" t="s">
        <v>4296</v>
      </c>
      <c r="AB201" t="s">
        <v>74</v>
      </c>
      <c r="AC201" t="s">
        <v>4297</v>
      </c>
      <c r="AD201" t="s">
        <v>4298</v>
      </c>
      <c r="AE201" t="s">
        <v>4299</v>
      </c>
      <c r="AF201" t="s">
        <v>74</v>
      </c>
      <c r="AG201">
        <v>40</v>
      </c>
      <c r="AH201">
        <v>62</v>
      </c>
      <c r="AI201">
        <v>65</v>
      </c>
      <c r="AJ201">
        <v>0</v>
      </c>
      <c r="AK201">
        <v>3</v>
      </c>
      <c r="AL201" t="s">
        <v>568</v>
      </c>
      <c r="AM201" t="s">
        <v>447</v>
      </c>
      <c r="AN201" t="s">
        <v>569</v>
      </c>
      <c r="AO201" t="s">
        <v>830</v>
      </c>
      <c r="AP201" t="s">
        <v>831</v>
      </c>
      <c r="AQ201" t="s">
        <v>74</v>
      </c>
      <c r="AR201" t="s">
        <v>832</v>
      </c>
      <c r="AS201" t="s">
        <v>833</v>
      </c>
      <c r="AT201" t="s">
        <v>2376</v>
      </c>
      <c r="AU201">
        <v>2014</v>
      </c>
      <c r="AV201">
        <v>119</v>
      </c>
      <c r="AW201">
        <v>3</v>
      </c>
      <c r="AX201" t="s">
        <v>74</v>
      </c>
      <c r="AY201" t="s">
        <v>74</v>
      </c>
      <c r="AZ201" t="s">
        <v>74</v>
      </c>
      <c r="BA201" t="s">
        <v>74</v>
      </c>
      <c r="BB201">
        <v>2187</v>
      </c>
      <c r="BC201">
        <v>2196</v>
      </c>
      <c r="BD201" t="s">
        <v>74</v>
      </c>
      <c r="BE201" t="s">
        <v>4300</v>
      </c>
      <c r="BF201" t="str">
        <f>HYPERLINK("http://dx.doi.org/10.1002/2013JA019705","http://dx.doi.org/10.1002/2013JA019705")</f>
        <v>http://dx.doi.org/10.1002/2013JA019705</v>
      </c>
      <c r="BG201" t="s">
        <v>74</v>
      </c>
      <c r="BH201" t="s">
        <v>74</v>
      </c>
      <c r="BI201">
        <v>10</v>
      </c>
      <c r="BJ201" t="s">
        <v>332</v>
      </c>
      <c r="BK201" t="s">
        <v>101</v>
      </c>
      <c r="BL201" t="s">
        <v>332</v>
      </c>
      <c r="BM201" t="s">
        <v>4301</v>
      </c>
      <c r="BN201" t="s">
        <v>74</v>
      </c>
      <c r="BO201" t="s">
        <v>810</v>
      </c>
      <c r="BP201" t="s">
        <v>74</v>
      </c>
      <c r="BQ201" t="s">
        <v>74</v>
      </c>
      <c r="BR201" t="s">
        <v>104</v>
      </c>
      <c r="BS201" t="s">
        <v>4302</v>
      </c>
      <c r="BT201" t="str">
        <f>HYPERLINK("https%3A%2F%2Fwww.webofscience.com%2Fwos%2Fwoscc%2Ffull-record%2FWOS:000336218300062","View Full Record in Web of Science")</f>
        <v>View Full Record in Web of Science</v>
      </c>
    </row>
    <row r="202" spans="1:72" x14ac:dyDescent="0.15">
      <c r="A202" t="s">
        <v>72</v>
      </c>
      <c r="B202" t="s">
        <v>4303</v>
      </c>
      <c r="C202" t="s">
        <v>74</v>
      </c>
      <c r="D202" t="s">
        <v>74</v>
      </c>
      <c r="E202" t="s">
        <v>74</v>
      </c>
      <c r="F202" t="s">
        <v>4304</v>
      </c>
      <c r="G202" t="s">
        <v>74</v>
      </c>
      <c r="H202" t="s">
        <v>74</v>
      </c>
      <c r="I202" t="s">
        <v>4305</v>
      </c>
      <c r="J202" t="s">
        <v>4306</v>
      </c>
      <c r="K202" t="s">
        <v>74</v>
      </c>
      <c r="L202" t="s">
        <v>74</v>
      </c>
      <c r="M202" t="s">
        <v>78</v>
      </c>
      <c r="N202" t="s">
        <v>79</v>
      </c>
      <c r="O202" t="s">
        <v>74</v>
      </c>
      <c r="P202" t="s">
        <v>74</v>
      </c>
      <c r="Q202" t="s">
        <v>74</v>
      </c>
      <c r="R202" t="s">
        <v>74</v>
      </c>
      <c r="S202" t="s">
        <v>74</v>
      </c>
      <c r="T202" t="s">
        <v>74</v>
      </c>
      <c r="U202" t="s">
        <v>74</v>
      </c>
      <c r="V202" t="s">
        <v>4307</v>
      </c>
      <c r="W202" t="s">
        <v>4308</v>
      </c>
      <c r="X202" t="s">
        <v>4309</v>
      </c>
      <c r="Y202" t="s">
        <v>4310</v>
      </c>
      <c r="Z202" t="s">
        <v>4311</v>
      </c>
      <c r="AA202" t="s">
        <v>74</v>
      </c>
      <c r="AB202" t="s">
        <v>74</v>
      </c>
      <c r="AC202" t="s">
        <v>4309</v>
      </c>
      <c r="AD202" t="s">
        <v>4309</v>
      </c>
      <c r="AE202" t="s">
        <v>4312</v>
      </c>
      <c r="AF202" t="s">
        <v>74</v>
      </c>
      <c r="AG202">
        <v>44</v>
      </c>
      <c r="AH202">
        <v>21</v>
      </c>
      <c r="AI202">
        <v>21</v>
      </c>
      <c r="AJ202">
        <v>0</v>
      </c>
      <c r="AK202">
        <v>0</v>
      </c>
      <c r="AL202" t="s">
        <v>1048</v>
      </c>
      <c r="AM202" t="s">
        <v>522</v>
      </c>
      <c r="AN202" t="s">
        <v>1049</v>
      </c>
      <c r="AO202" t="s">
        <v>4313</v>
      </c>
      <c r="AP202" t="s">
        <v>4314</v>
      </c>
      <c r="AQ202" t="s">
        <v>74</v>
      </c>
      <c r="AR202" t="s">
        <v>4315</v>
      </c>
      <c r="AS202" t="s">
        <v>4316</v>
      </c>
      <c r="AT202" t="s">
        <v>2376</v>
      </c>
      <c r="AU202">
        <v>2014</v>
      </c>
      <c r="AV202">
        <v>5</v>
      </c>
      <c r="AW202">
        <v>1</v>
      </c>
      <c r="AX202" t="s">
        <v>74</v>
      </c>
      <c r="AY202" t="s">
        <v>74</v>
      </c>
      <c r="AZ202" t="s">
        <v>74</v>
      </c>
      <c r="BA202" t="s">
        <v>74</v>
      </c>
      <c r="BB202">
        <v>139</v>
      </c>
      <c r="BC202">
        <v>173</v>
      </c>
      <c r="BD202" t="s">
        <v>74</v>
      </c>
      <c r="BE202" t="s">
        <v>4317</v>
      </c>
      <c r="BF202" t="str">
        <f>HYPERLINK("http://dx.doi.org/10.1093/jnlids/idt015","http://dx.doi.org/10.1093/jnlids/idt015")</f>
        <v>http://dx.doi.org/10.1093/jnlids/idt015</v>
      </c>
      <c r="BG202" t="s">
        <v>74</v>
      </c>
      <c r="BH202" t="s">
        <v>74</v>
      </c>
      <c r="BI202">
        <v>35</v>
      </c>
      <c r="BJ202" t="s">
        <v>4318</v>
      </c>
      <c r="BK202" t="s">
        <v>975</v>
      </c>
      <c r="BL202" t="s">
        <v>4319</v>
      </c>
      <c r="BM202" t="s">
        <v>4320</v>
      </c>
      <c r="BN202" t="s">
        <v>74</v>
      </c>
      <c r="BO202" t="s">
        <v>74</v>
      </c>
      <c r="BP202" t="s">
        <v>74</v>
      </c>
      <c r="BQ202" t="s">
        <v>74</v>
      </c>
      <c r="BR202" t="s">
        <v>104</v>
      </c>
      <c r="BS202" t="s">
        <v>4321</v>
      </c>
      <c r="BT202" t="str">
        <f>HYPERLINK("https%3A%2F%2Fwww.webofscience.com%2Fwos%2Fwoscc%2Ffull-record%2FWOS:000214873900006","View Full Record in Web of Science")</f>
        <v>View Full Record in Web of Science</v>
      </c>
    </row>
    <row r="203" spans="1:72" x14ac:dyDescent="0.15">
      <c r="A203" t="s">
        <v>72</v>
      </c>
      <c r="B203" t="s">
        <v>4322</v>
      </c>
      <c r="C203" t="s">
        <v>74</v>
      </c>
      <c r="D203" t="s">
        <v>74</v>
      </c>
      <c r="E203" t="s">
        <v>74</v>
      </c>
      <c r="F203" t="s">
        <v>4323</v>
      </c>
      <c r="G203" t="s">
        <v>74</v>
      </c>
      <c r="H203" t="s">
        <v>74</v>
      </c>
      <c r="I203" t="s">
        <v>4324</v>
      </c>
      <c r="J203" t="s">
        <v>4325</v>
      </c>
      <c r="K203" t="s">
        <v>74</v>
      </c>
      <c r="L203" t="s">
        <v>74</v>
      </c>
      <c r="M203" t="s">
        <v>78</v>
      </c>
      <c r="N203" t="s">
        <v>79</v>
      </c>
      <c r="O203" t="s">
        <v>74</v>
      </c>
      <c r="P203" t="s">
        <v>74</v>
      </c>
      <c r="Q203" t="s">
        <v>74</v>
      </c>
      <c r="R203" t="s">
        <v>74</v>
      </c>
      <c r="S203" t="s">
        <v>74</v>
      </c>
      <c r="T203" t="s">
        <v>4326</v>
      </c>
      <c r="U203" t="s">
        <v>4327</v>
      </c>
      <c r="V203" t="s">
        <v>4328</v>
      </c>
      <c r="W203" t="s">
        <v>4329</v>
      </c>
      <c r="X203" t="s">
        <v>4330</v>
      </c>
      <c r="Y203" t="s">
        <v>4331</v>
      </c>
      <c r="Z203" t="s">
        <v>4332</v>
      </c>
      <c r="AA203" t="s">
        <v>74</v>
      </c>
      <c r="AB203" t="s">
        <v>4333</v>
      </c>
      <c r="AC203" t="s">
        <v>74</v>
      </c>
      <c r="AD203" t="s">
        <v>74</v>
      </c>
      <c r="AE203" t="s">
        <v>74</v>
      </c>
      <c r="AF203" t="s">
        <v>74</v>
      </c>
      <c r="AG203">
        <v>39</v>
      </c>
      <c r="AH203">
        <v>36</v>
      </c>
      <c r="AI203">
        <v>47</v>
      </c>
      <c r="AJ203">
        <v>0</v>
      </c>
      <c r="AK203">
        <v>43</v>
      </c>
      <c r="AL203" t="s">
        <v>4334</v>
      </c>
      <c r="AM203" t="s">
        <v>4335</v>
      </c>
      <c r="AN203" t="s">
        <v>4336</v>
      </c>
      <c r="AO203" t="s">
        <v>4337</v>
      </c>
      <c r="AP203" t="s">
        <v>74</v>
      </c>
      <c r="AQ203" t="s">
        <v>74</v>
      </c>
      <c r="AR203" t="s">
        <v>4338</v>
      </c>
      <c r="AS203" t="s">
        <v>4339</v>
      </c>
      <c r="AT203" t="s">
        <v>2376</v>
      </c>
      <c r="AU203">
        <v>2014</v>
      </c>
      <c r="AV203">
        <v>46</v>
      </c>
      <c r="AW203">
        <v>1</v>
      </c>
      <c r="AX203" t="s">
        <v>74</v>
      </c>
      <c r="AY203" t="s">
        <v>74</v>
      </c>
      <c r="AZ203" t="s">
        <v>74</v>
      </c>
      <c r="BA203" t="s">
        <v>74</v>
      </c>
      <c r="BB203">
        <v>27</v>
      </c>
      <c r="BC203">
        <v>34</v>
      </c>
      <c r="BD203" t="s">
        <v>74</v>
      </c>
      <c r="BE203" t="s">
        <v>74</v>
      </c>
      <c r="BF203" t="s">
        <v>74</v>
      </c>
      <c r="BG203" t="s">
        <v>74</v>
      </c>
      <c r="BH203" t="s">
        <v>74</v>
      </c>
      <c r="BI203">
        <v>8</v>
      </c>
      <c r="BJ203" t="s">
        <v>384</v>
      </c>
      <c r="BK203" t="s">
        <v>101</v>
      </c>
      <c r="BL203" t="s">
        <v>384</v>
      </c>
      <c r="BM203" t="s">
        <v>4340</v>
      </c>
      <c r="BN203">
        <v>24643501</v>
      </c>
      <c r="BO203" t="s">
        <v>74</v>
      </c>
      <c r="BP203" t="s">
        <v>74</v>
      </c>
      <c r="BQ203" t="s">
        <v>74</v>
      </c>
      <c r="BR203" t="s">
        <v>104</v>
      </c>
      <c r="BS203" t="s">
        <v>4341</v>
      </c>
      <c r="BT203" t="str">
        <f>HYPERLINK("https%3A%2F%2Fwww.webofscience.com%2Fwos%2Fwoscc%2Ffull-record%2FWOS:000334493000005","View Full Record in Web of Science")</f>
        <v>View Full Record in Web of Science</v>
      </c>
    </row>
    <row r="204" spans="1:72" x14ac:dyDescent="0.15">
      <c r="A204" t="s">
        <v>72</v>
      </c>
      <c r="B204" t="s">
        <v>4342</v>
      </c>
      <c r="C204" t="s">
        <v>74</v>
      </c>
      <c r="D204" t="s">
        <v>74</v>
      </c>
      <c r="E204" t="s">
        <v>74</v>
      </c>
      <c r="F204" t="s">
        <v>4343</v>
      </c>
      <c r="G204" t="s">
        <v>74</v>
      </c>
      <c r="H204" t="s">
        <v>74</v>
      </c>
      <c r="I204" t="s">
        <v>4344</v>
      </c>
      <c r="J204" t="s">
        <v>863</v>
      </c>
      <c r="K204" t="s">
        <v>74</v>
      </c>
      <c r="L204" t="s">
        <v>74</v>
      </c>
      <c r="M204" t="s">
        <v>78</v>
      </c>
      <c r="N204" t="s">
        <v>79</v>
      </c>
      <c r="O204" t="s">
        <v>74</v>
      </c>
      <c r="P204" t="s">
        <v>74</v>
      </c>
      <c r="Q204" t="s">
        <v>74</v>
      </c>
      <c r="R204" t="s">
        <v>74</v>
      </c>
      <c r="S204" t="s">
        <v>74</v>
      </c>
      <c r="T204" t="s">
        <v>4345</v>
      </c>
      <c r="U204" t="s">
        <v>4346</v>
      </c>
      <c r="V204" t="s">
        <v>4347</v>
      </c>
      <c r="W204" t="s">
        <v>4348</v>
      </c>
      <c r="X204" t="s">
        <v>4349</v>
      </c>
      <c r="Y204" t="s">
        <v>4350</v>
      </c>
      <c r="Z204" t="s">
        <v>4351</v>
      </c>
      <c r="AA204" t="s">
        <v>4352</v>
      </c>
      <c r="AB204" t="s">
        <v>4353</v>
      </c>
      <c r="AC204" t="s">
        <v>4354</v>
      </c>
      <c r="AD204" t="s">
        <v>4355</v>
      </c>
      <c r="AE204" t="s">
        <v>4356</v>
      </c>
      <c r="AF204" t="s">
        <v>74</v>
      </c>
      <c r="AG204">
        <v>21</v>
      </c>
      <c r="AH204">
        <v>21</v>
      </c>
      <c r="AI204">
        <v>23</v>
      </c>
      <c r="AJ204">
        <v>0</v>
      </c>
      <c r="AK204">
        <v>8</v>
      </c>
      <c r="AL204" t="s">
        <v>876</v>
      </c>
      <c r="AM204" t="s">
        <v>877</v>
      </c>
      <c r="AN204" t="s">
        <v>878</v>
      </c>
      <c r="AO204" t="s">
        <v>879</v>
      </c>
      <c r="AP204" t="s">
        <v>880</v>
      </c>
      <c r="AQ204" t="s">
        <v>74</v>
      </c>
      <c r="AR204" t="s">
        <v>881</v>
      </c>
      <c r="AS204" t="s">
        <v>882</v>
      </c>
      <c r="AT204" t="s">
        <v>2376</v>
      </c>
      <c r="AU204">
        <v>2014</v>
      </c>
      <c r="AV204">
        <v>44</v>
      </c>
      <c r="AW204">
        <v>3</v>
      </c>
      <c r="AX204" t="s">
        <v>74</v>
      </c>
      <c r="AY204" t="s">
        <v>74</v>
      </c>
      <c r="AZ204" t="s">
        <v>74</v>
      </c>
      <c r="BA204" t="s">
        <v>74</v>
      </c>
      <c r="BB204">
        <v>891</v>
      </c>
      <c r="BC204">
        <v>899</v>
      </c>
      <c r="BD204" t="s">
        <v>74</v>
      </c>
      <c r="BE204" t="s">
        <v>4357</v>
      </c>
      <c r="BF204" t="str">
        <f>HYPERLINK("http://dx.doi.org/10.1175/JPO-D-13-0206.1","http://dx.doi.org/10.1175/JPO-D-13-0206.1")</f>
        <v>http://dx.doi.org/10.1175/JPO-D-13-0206.1</v>
      </c>
      <c r="BG204" t="s">
        <v>74</v>
      </c>
      <c r="BH204" t="s">
        <v>74</v>
      </c>
      <c r="BI204">
        <v>9</v>
      </c>
      <c r="BJ204" t="s">
        <v>785</v>
      </c>
      <c r="BK204" t="s">
        <v>101</v>
      </c>
      <c r="BL204" t="s">
        <v>785</v>
      </c>
      <c r="BM204" t="s">
        <v>4358</v>
      </c>
      <c r="BN204" t="s">
        <v>74</v>
      </c>
      <c r="BO204" t="s">
        <v>787</v>
      </c>
      <c r="BP204" t="s">
        <v>74</v>
      </c>
      <c r="BQ204" t="s">
        <v>74</v>
      </c>
      <c r="BR204" t="s">
        <v>104</v>
      </c>
      <c r="BS204" t="s">
        <v>4359</v>
      </c>
      <c r="BT204" t="str">
        <f>HYPERLINK("https%3A%2F%2Fwww.webofscience.com%2Fwos%2Fwoscc%2Ffull-record%2FWOS:000332425700020","View Full Record in Web of Science")</f>
        <v>View Full Record in Web of Science</v>
      </c>
    </row>
    <row r="205" spans="1:72" x14ac:dyDescent="0.15">
      <c r="A205" t="s">
        <v>72</v>
      </c>
      <c r="B205" t="s">
        <v>4360</v>
      </c>
      <c r="C205" t="s">
        <v>74</v>
      </c>
      <c r="D205" t="s">
        <v>74</v>
      </c>
      <c r="E205" t="s">
        <v>74</v>
      </c>
      <c r="F205" t="s">
        <v>4361</v>
      </c>
      <c r="G205" t="s">
        <v>74</v>
      </c>
      <c r="H205" t="s">
        <v>74</v>
      </c>
      <c r="I205" t="s">
        <v>4362</v>
      </c>
      <c r="J205" t="s">
        <v>863</v>
      </c>
      <c r="K205" t="s">
        <v>74</v>
      </c>
      <c r="L205" t="s">
        <v>74</v>
      </c>
      <c r="M205" t="s">
        <v>78</v>
      </c>
      <c r="N205" t="s">
        <v>79</v>
      </c>
      <c r="O205" t="s">
        <v>74</v>
      </c>
      <c r="P205" t="s">
        <v>74</v>
      </c>
      <c r="Q205" t="s">
        <v>74</v>
      </c>
      <c r="R205" t="s">
        <v>74</v>
      </c>
      <c r="S205" t="s">
        <v>74</v>
      </c>
      <c r="T205" t="s">
        <v>4363</v>
      </c>
      <c r="U205" t="s">
        <v>4364</v>
      </c>
      <c r="V205" t="s">
        <v>4365</v>
      </c>
      <c r="W205" t="s">
        <v>4366</v>
      </c>
      <c r="X205" t="s">
        <v>4367</v>
      </c>
      <c r="Y205" t="s">
        <v>4368</v>
      </c>
      <c r="Z205" t="s">
        <v>4369</v>
      </c>
      <c r="AA205" t="s">
        <v>4370</v>
      </c>
      <c r="AB205" t="s">
        <v>4371</v>
      </c>
      <c r="AC205" t="s">
        <v>4372</v>
      </c>
      <c r="AD205" t="s">
        <v>4373</v>
      </c>
      <c r="AE205" t="s">
        <v>4374</v>
      </c>
      <c r="AF205" t="s">
        <v>74</v>
      </c>
      <c r="AG205">
        <v>73</v>
      </c>
      <c r="AH205">
        <v>49</v>
      </c>
      <c r="AI205">
        <v>55</v>
      </c>
      <c r="AJ205">
        <v>2</v>
      </c>
      <c r="AK205">
        <v>36</v>
      </c>
      <c r="AL205" t="s">
        <v>876</v>
      </c>
      <c r="AM205" t="s">
        <v>877</v>
      </c>
      <c r="AN205" t="s">
        <v>878</v>
      </c>
      <c r="AO205" t="s">
        <v>879</v>
      </c>
      <c r="AP205" t="s">
        <v>880</v>
      </c>
      <c r="AQ205" t="s">
        <v>74</v>
      </c>
      <c r="AR205" t="s">
        <v>881</v>
      </c>
      <c r="AS205" t="s">
        <v>882</v>
      </c>
      <c r="AT205" t="s">
        <v>2376</v>
      </c>
      <c r="AU205">
        <v>2014</v>
      </c>
      <c r="AV205">
        <v>44</v>
      </c>
      <c r="AW205">
        <v>3</v>
      </c>
      <c r="AX205" t="s">
        <v>74</v>
      </c>
      <c r="AY205" t="s">
        <v>74</v>
      </c>
      <c r="AZ205" t="s">
        <v>74</v>
      </c>
      <c r="BA205" t="s">
        <v>74</v>
      </c>
      <c r="BB205">
        <v>900</v>
      </c>
      <c r="BC205">
        <v>921</v>
      </c>
      <c r="BD205" t="s">
        <v>74</v>
      </c>
      <c r="BE205" t="s">
        <v>4375</v>
      </c>
      <c r="BF205" t="str">
        <f>HYPERLINK("http://dx.doi.org/10.1175/JPO-D-13-072.1","http://dx.doi.org/10.1175/JPO-D-13-072.1")</f>
        <v>http://dx.doi.org/10.1175/JPO-D-13-072.1</v>
      </c>
      <c r="BG205" t="s">
        <v>74</v>
      </c>
      <c r="BH205" t="s">
        <v>74</v>
      </c>
      <c r="BI205">
        <v>22</v>
      </c>
      <c r="BJ205" t="s">
        <v>785</v>
      </c>
      <c r="BK205" t="s">
        <v>101</v>
      </c>
      <c r="BL205" t="s">
        <v>785</v>
      </c>
      <c r="BM205" t="s">
        <v>4358</v>
      </c>
      <c r="BN205" t="s">
        <v>74</v>
      </c>
      <c r="BO205" t="s">
        <v>1244</v>
      </c>
      <c r="BP205" t="s">
        <v>74</v>
      </c>
      <c r="BQ205" t="s">
        <v>74</v>
      </c>
      <c r="BR205" t="s">
        <v>104</v>
      </c>
      <c r="BS205" t="s">
        <v>4376</v>
      </c>
      <c r="BT205" t="str">
        <f>HYPERLINK("https%3A%2F%2Fwww.webofscience.com%2Fwos%2Fwoscc%2Ffull-record%2FWOS:000332425700021","View Full Record in Web of Science")</f>
        <v>View Full Record in Web of Science</v>
      </c>
    </row>
    <row r="206" spans="1:72" x14ac:dyDescent="0.15">
      <c r="A206" t="s">
        <v>72</v>
      </c>
      <c r="B206" t="s">
        <v>4377</v>
      </c>
      <c r="C206" t="s">
        <v>74</v>
      </c>
      <c r="D206" t="s">
        <v>74</v>
      </c>
      <c r="E206" t="s">
        <v>74</v>
      </c>
      <c r="F206" t="s">
        <v>4378</v>
      </c>
      <c r="G206" t="s">
        <v>74</v>
      </c>
      <c r="H206" t="s">
        <v>74</v>
      </c>
      <c r="I206" t="s">
        <v>4379</v>
      </c>
      <c r="J206" t="s">
        <v>863</v>
      </c>
      <c r="K206" t="s">
        <v>74</v>
      </c>
      <c r="L206" t="s">
        <v>74</v>
      </c>
      <c r="M206" t="s">
        <v>78</v>
      </c>
      <c r="N206" t="s">
        <v>79</v>
      </c>
      <c r="O206" t="s">
        <v>74</v>
      </c>
      <c r="P206" t="s">
        <v>74</v>
      </c>
      <c r="Q206" t="s">
        <v>74</v>
      </c>
      <c r="R206" t="s">
        <v>74</v>
      </c>
      <c r="S206" t="s">
        <v>74</v>
      </c>
      <c r="T206" t="s">
        <v>4380</v>
      </c>
      <c r="U206" t="s">
        <v>4381</v>
      </c>
      <c r="V206" t="s">
        <v>4382</v>
      </c>
      <c r="W206" t="s">
        <v>4383</v>
      </c>
      <c r="X206" t="s">
        <v>4384</v>
      </c>
      <c r="Y206" t="s">
        <v>4385</v>
      </c>
      <c r="Z206" t="s">
        <v>4386</v>
      </c>
      <c r="AA206" t="s">
        <v>4387</v>
      </c>
      <c r="AB206" t="s">
        <v>4388</v>
      </c>
      <c r="AC206" t="s">
        <v>74</v>
      </c>
      <c r="AD206" t="s">
        <v>74</v>
      </c>
      <c r="AE206" t="s">
        <v>74</v>
      </c>
      <c r="AF206" t="s">
        <v>74</v>
      </c>
      <c r="AG206">
        <v>71</v>
      </c>
      <c r="AH206">
        <v>124</v>
      </c>
      <c r="AI206">
        <v>134</v>
      </c>
      <c r="AJ206">
        <v>0</v>
      </c>
      <c r="AK206">
        <v>51</v>
      </c>
      <c r="AL206" t="s">
        <v>876</v>
      </c>
      <c r="AM206" t="s">
        <v>877</v>
      </c>
      <c r="AN206" t="s">
        <v>878</v>
      </c>
      <c r="AO206" t="s">
        <v>879</v>
      </c>
      <c r="AP206" t="s">
        <v>880</v>
      </c>
      <c r="AQ206" t="s">
        <v>74</v>
      </c>
      <c r="AR206" t="s">
        <v>881</v>
      </c>
      <c r="AS206" t="s">
        <v>882</v>
      </c>
      <c r="AT206" t="s">
        <v>2376</v>
      </c>
      <c r="AU206">
        <v>2014</v>
      </c>
      <c r="AV206">
        <v>44</v>
      </c>
      <c r="AW206">
        <v>3</v>
      </c>
      <c r="AX206" t="s">
        <v>74</v>
      </c>
      <c r="AY206" t="s">
        <v>74</v>
      </c>
      <c r="AZ206" t="s">
        <v>74</v>
      </c>
      <c r="BA206" t="s">
        <v>74</v>
      </c>
      <c r="BB206">
        <v>1030</v>
      </c>
      <c r="BC206">
        <v>1046</v>
      </c>
      <c r="BD206" t="s">
        <v>74</v>
      </c>
      <c r="BE206" t="s">
        <v>4389</v>
      </c>
      <c r="BF206" t="str">
        <f>HYPERLINK("http://dx.doi.org/10.1175/JPO-D-13-0159.1","http://dx.doi.org/10.1175/JPO-D-13-0159.1")</f>
        <v>http://dx.doi.org/10.1175/JPO-D-13-0159.1</v>
      </c>
      <c r="BG206" t="s">
        <v>74</v>
      </c>
      <c r="BH206" t="s">
        <v>74</v>
      </c>
      <c r="BI206">
        <v>17</v>
      </c>
      <c r="BJ206" t="s">
        <v>785</v>
      </c>
      <c r="BK206" t="s">
        <v>101</v>
      </c>
      <c r="BL206" t="s">
        <v>785</v>
      </c>
      <c r="BM206" t="s">
        <v>4358</v>
      </c>
      <c r="BN206" t="s">
        <v>74</v>
      </c>
      <c r="BO206" t="s">
        <v>1056</v>
      </c>
      <c r="BP206" t="s">
        <v>74</v>
      </c>
      <c r="BQ206" t="s">
        <v>74</v>
      </c>
      <c r="BR206" t="s">
        <v>104</v>
      </c>
      <c r="BS206" t="s">
        <v>4390</v>
      </c>
      <c r="BT206" t="str">
        <f>HYPERLINK("https%3A%2F%2Fwww.webofscience.com%2Fwos%2Fwoscc%2Ffull-record%2FWOS:000332425700028","View Full Record in Web of Science")</f>
        <v>View Full Record in Web of Science</v>
      </c>
    </row>
    <row r="207" spans="1:72" x14ac:dyDescent="0.15">
      <c r="A207" t="s">
        <v>72</v>
      </c>
      <c r="B207" t="s">
        <v>4391</v>
      </c>
      <c r="C207" t="s">
        <v>74</v>
      </c>
      <c r="D207" t="s">
        <v>74</v>
      </c>
      <c r="E207" t="s">
        <v>74</v>
      </c>
      <c r="F207" t="s">
        <v>4392</v>
      </c>
      <c r="G207" t="s">
        <v>74</v>
      </c>
      <c r="H207" t="s">
        <v>74</v>
      </c>
      <c r="I207" t="s">
        <v>4393</v>
      </c>
      <c r="J207" t="s">
        <v>4394</v>
      </c>
      <c r="K207" t="s">
        <v>74</v>
      </c>
      <c r="L207" t="s">
        <v>74</v>
      </c>
      <c r="M207" t="s">
        <v>78</v>
      </c>
      <c r="N207" t="s">
        <v>79</v>
      </c>
      <c r="O207" t="s">
        <v>74</v>
      </c>
      <c r="P207" t="s">
        <v>74</v>
      </c>
      <c r="Q207" t="s">
        <v>74</v>
      </c>
      <c r="R207" t="s">
        <v>74</v>
      </c>
      <c r="S207" t="s">
        <v>74</v>
      </c>
      <c r="T207" t="s">
        <v>4395</v>
      </c>
      <c r="U207" t="s">
        <v>4396</v>
      </c>
      <c r="V207" t="s">
        <v>4397</v>
      </c>
      <c r="W207" t="s">
        <v>4398</v>
      </c>
      <c r="X207" t="s">
        <v>4399</v>
      </c>
      <c r="Y207" t="s">
        <v>4400</v>
      </c>
      <c r="Z207" t="s">
        <v>4401</v>
      </c>
      <c r="AA207" t="s">
        <v>4402</v>
      </c>
      <c r="AB207" t="s">
        <v>4403</v>
      </c>
      <c r="AC207" t="s">
        <v>74</v>
      </c>
      <c r="AD207" t="s">
        <v>74</v>
      </c>
      <c r="AE207" t="s">
        <v>74</v>
      </c>
      <c r="AF207" t="s">
        <v>74</v>
      </c>
      <c r="AG207">
        <v>56</v>
      </c>
      <c r="AH207">
        <v>10</v>
      </c>
      <c r="AI207">
        <v>12</v>
      </c>
      <c r="AJ207">
        <v>2</v>
      </c>
      <c r="AK207">
        <v>21</v>
      </c>
      <c r="AL207" t="s">
        <v>4404</v>
      </c>
      <c r="AM207" t="s">
        <v>4405</v>
      </c>
      <c r="AN207" t="s">
        <v>4406</v>
      </c>
      <c r="AO207" t="s">
        <v>4407</v>
      </c>
      <c r="AP207" t="s">
        <v>4408</v>
      </c>
      <c r="AQ207" t="s">
        <v>74</v>
      </c>
      <c r="AR207" t="s">
        <v>4409</v>
      </c>
      <c r="AS207" t="s">
        <v>4410</v>
      </c>
      <c r="AT207" t="s">
        <v>2376</v>
      </c>
      <c r="AU207">
        <v>2014</v>
      </c>
      <c r="AV207">
        <v>42</v>
      </c>
      <c r="AW207">
        <v>1</v>
      </c>
      <c r="AX207" t="s">
        <v>74</v>
      </c>
      <c r="AY207" t="s">
        <v>74</v>
      </c>
      <c r="AZ207" t="s">
        <v>74</v>
      </c>
      <c r="BA207" t="s">
        <v>74</v>
      </c>
      <c r="BB207">
        <v>245</v>
      </c>
      <c r="BC207">
        <v>257</v>
      </c>
      <c r="BD207" t="s">
        <v>74</v>
      </c>
      <c r="BE207" t="s">
        <v>4411</v>
      </c>
      <c r="BF207" t="str">
        <f>HYPERLINK("http://dx.doi.org/10.3856/vol42-issue1-fulltext-20","http://dx.doi.org/10.3856/vol42-issue1-fulltext-20")</f>
        <v>http://dx.doi.org/10.3856/vol42-issue1-fulltext-20</v>
      </c>
      <c r="BG207" t="s">
        <v>74</v>
      </c>
      <c r="BH207" t="s">
        <v>74</v>
      </c>
      <c r="BI207">
        <v>13</v>
      </c>
      <c r="BJ207" t="s">
        <v>4412</v>
      </c>
      <c r="BK207" t="s">
        <v>101</v>
      </c>
      <c r="BL207" t="s">
        <v>4412</v>
      </c>
      <c r="BM207" t="s">
        <v>4413</v>
      </c>
      <c r="BN207" t="s">
        <v>74</v>
      </c>
      <c r="BO207" t="s">
        <v>1371</v>
      </c>
      <c r="BP207" t="s">
        <v>74</v>
      </c>
      <c r="BQ207" t="s">
        <v>74</v>
      </c>
      <c r="BR207" t="s">
        <v>104</v>
      </c>
      <c r="BS207" t="s">
        <v>4414</v>
      </c>
      <c r="BT207" t="str">
        <f>HYPERLINK("https%3A%2F%2Fwww.webofscience.com%2Fwos%2Fwoscc%2Ffull-record%2FWOS:000332824000020","View Full Record in Web of Science")</f>
        <v>View Full Record in Web of Science</v>
      </c>
    </row>
    <row r="208" spans="1:72" x14ac:dyDescent="0.15">
      <c r="A208" t="s">
        <v>72</v>
      </c>
      <c r="B208" t="s">
        <v>4415</v>
      </c>
      <c r="C208" t="s">
        <v>74</v>
      </c>
      <c r="D208" t="s">
        <v>74</v>
      </c>
      <c r="E208" t="s">
        <v>74</v>
      </c>
      <c r="F208" t="s">
        <v>4416</v>
      </c>
      <c r="G208" t="s">
        <v>74</v>
      </c>
      <c r="H208" t="s">
        <v>74</v>
      </c>
      <c r="I208" t="s">
        <v>4417</v>
      </c>
      <c r="J208" t="s">
        <v>4418</v>
      </c>
      <c r="K208" t="s">
        <v>74</v>
      </c>
      <c r="L208" t="s">
        <v>74</v>
      </c>
      <c r="M208" t="s">
        <v>78</v>
      </c>
      <c r="N208" t="s">
        <v>79</v>
      </c>
      <c r="O208" t="s">
        <v>74</v>
      </c>
      <c r="P208" t="s">
        <v>74</v>
      </c>
      <c r="Q208" t="s">
        <v>74</v>
      </c>
      <c r="R208" t="s">
        <v>74</v>
      </c>
      <c r="S208" t="s">
        <v>74</v>
      </c>
      <c r="T208" t="s">
        <v>4419</v>
      </c>
      <c r="U208" t="s">
        <v>4420</v>
      </c>
      <c r="V208" t="s">
        <v>4421</v>
      </c>
      <c r="W208" t="s">
        <v>4422</v>
      </c>
      <c r="X208" t="s">
        <v>4423</v>
      </c>
      <c r="Y208" t="s">
        <v>4424</v>
      </c>
      <c r="Z208" t="s">
        <v>4425</v>
      </c>
      <c r="AA208" t="s">
        <v>4426</v>
      </c>
      <c r="AB208" t="s">
        <v>4427</v>
      </c>
      <c r="AC208" t="s">
        <v>4428</v>
      </c>
      <c r="AD208" t="s">
        <v>4429</v>
      </c>
      <c r="AE208" t="s">
        <v>4430</v>
      </c>
      <c r="AF208" t="s">
        <v>74</v>
      </c>
      <c r="AG208">
        <v>49</v>
      </c>
      <c r="AH208">
        <v>60</v>
      </c>
      <c r="AI208">
        <v>65</v>
      </c>
      <c r="AJ208">
        <v>0</v>
      </c>
      <c r="AK208">
        <v>47</v>
      </c>
      <c r="AL208" t="s">
        <v>4431</v>
      </c>
      <c r="AM208" t="s">
        <v>4432</v>
      </c>
      <c r="AN208" t="s">
        <v>4433</v>
      </c>
      <c r="AO208" t="s">
        <v>74</v>
      </c>
      <c r="AP208" t="s">
        <v>4434</v>
      </c>
      <c r="AQ208" t="s">
        <v>74</v>
      </c>
      <c r="AR208" t="s">
        <v>4435</v>
      </c>
      <c r="AS208" t="s">
        <v>4436</v>
      </c>
      <c r="AT208" t="s">
        <v>2376</v>
      </c>
      <c r="AU208">
        <v>2014</v>
      </c>
      <c r="AV208">
        <v>12</v>
      </c>
      <c r="AW208">
        <v>3</v>
      </c>
      <c r="AX208" t="s">
        <v>74</v>
      </c>
      <c r="AY208" t="s">
        <v>74</v>
      </c>
      <c r="AZ208" t="s">
        <v>74</v>
      </c>
      <c r="BA208" t="s">
        <v>74</v>
      </c>
      <c r="BB208">
        <v>1281</v>
      </c>
      <c r="BC208">
        <v>1297</v>
      </c>
      <c r="BD208" t="s">
        <v>74</v>
      </c>
      <c r="BE208" t="s">
        <v>4437</v>
      </c>
      <c r="BF208" t="str">
        <f>HYPERLINK("http://dx.doi.org/10.3390/md12031281","http://dx.doi.org/10.3390/md12031281")</f>
        <v>http://dx.doi.org/10.3390/md12031281</v>
      </c>
      <c r="BG208" t="s">
        <v>74</v>
      </c>
      <c r="BH208" t="s">
        <v>74</v>
      </c>
      <c r="BI208">
        <v>17</v>
      </c>
      <c r="BJ208" t="s">
        <v>4438</v>
      </c>
      <c r="BK208" t="s">
        <v>101</v>
      </c>
      <c r="BL208" t="s">
        <v>4439</v>
      </c>
      <c r="BM208" t="s">
        <v>4440</v>
      </c>
      <c r="BN208">
        <v>24663116</v>
      </c>
      <c r="BO208" t="s">
        <v>1270</v>
      </c>
      <c r="BP208" t="s">
        <v>74</v>
      </c>
      <c r="BQ208" t="s">
        <v>74</v>
      </c>
      <c r="BR208" t="s">
        <v>104</v>
      </c>
      <c r="BS208" t="s">
        <v>4441</v>
      </c>
      <c r="BT208" t="str">
        <f>HYPERLINK("https%3A%2F%2Fwww.webofscience.com%2Fwos%2Fwoscc%2Ffull-record%2FWOS:000335752800008","View Full Record in Web of Science")</f>
        <v>View Full Record in Web of Science</v>
      </c>
    </row>
    <row r="209" spans="1:72" x14ac:dyDescent="0.15">
      <c r="A209" t="s">
        <v>72</v>
      </c>
      <c r="B209" t="s">
        <v>4442</v>
      </c>
      <c r="C209" t="s">
        <v>74</v>
      </c>
      <c r="D209" t="s">
        <v>74</v>
      </c>
      <c r="E209" t="s">
        <v>74</v>
      </c>
      <c r="F209" t="s">
        <v>4443</v>
      </c>
      <c r="G209" t="s">
        <v>74</v>
      </c>
      <c r="H209" t="s">
        <v>74</v>
      </c>
      <c r="I209" t="s">
        <v>4444</v>
      </c>
      <c r="J209" t="s">
        <v>2627</v>
      </c>
      <c r="K209" t="s">
        <v>74</v>
      </c>
      <c r="L209" t="s">
        <v>74</v>
      </c>
      <c r="M209" t="s">
        <v>78</v>
      </c>
      <c r="N209" t="s">
        <v>79</v>
      </c>
      <c r="O209" t="s">
        <v>74</v>
      </c>
      <c r="P209" t="s">
        <v>74</v>
      </c>
      <c r="Q209" t="s">
        <v>74</v>
      </c>
      <c r="R209" t="s">
        <v>74</v>
      </c>
      <c r="S209" t="s">
        <v>74</v>
      </c>
      <c r="T209" t="s">
        <v>4445</v>
      </c>
      <c r="U209" t="s">
        <v>4446</v>
      </c>
      <c r="V209" t="s">
        <v>4447</v>
      </c>
      <c r="W209" t="s">
        <v>4448</v>
      </c>
      <c r="X209" t="s">
        <v>4449</v>
      </c>
      <c r="Y209" t="s">
        <v>4450</v>
      </c>
      <c r="Z209" t="s">
        <v>74</v>
      </c>
      <c r="AA209" t="s">
        <v>4451</v>
      </c>
      <c r="AB209" t="s">
        <v>4452</v>
      </c>
      <c r="AC209" t="s">
        <v>4453</v>
      </c>
      <c r="AD209" t="s">
        <v>4453</v>
      </c>
      <c r="AE209" t="s">
        <v>4454</v>
      </c>
      <c r="AF209" t="s">
        <v>74</v>
      </c>
      <c r="AG209">
        <v>45</v>
      </c>
      <c r="AH209">
        <v>21</v>
      </c>
      <c r="AI209">
        <v>24</v>
      </c>
      <c r="AJ209">
        <v>0</v>
      </c>
      <c r="AK209">
        <v>20</v>
      </c>
      <c r="AL209" t="s">
        <v>652</v>
      </c>
      <c r="AM209" t="s">
        <v>653</v>
      </c>
      <c r="AN209" t="s">
        <v>654</v>
      </c>
      <c r="AO209" t="s">
        <v>2640</v>
      </c>
      <c r="AP209" t="s">
        <v>2641</v>
      </c>
      <c r="AQ209" t="s">
        <v>74</v>
      </c>
      <c r="AR209" t="s">
        <v>2642</v>
      </c>
      <c r="AS209" t="s">
        <v>2643</v>
      </c>
      <c r="AT209" t="s">
        <v>2644</v>
      </c>
      <c r="AU209">
        <v>2014</v>
      </c>
      <c r="AV209">
        <v>349</v>
      </c>
      <c r="AW209" t="s">
        <v>74</v>
      </c>
      <c r="AX209" t="s">
        <v>74</v>
      </c>
      <c r="AY209" t="s">
        <v>74</v>
      </c>
      <c r="AZ209" t="s">
        <v>74</v>
      </c>
      <c r="BA209" t="s">
        <v>74</v>
      </c>
      <c r="BB209">
        <v>24</v>
      </c>
      <c r="BC209">
        <v>36</v>
      </c>
      <c r="BD209" t="s">
        <v>74</v>
      </c>
      <c r="BE209" t="s">
        <v>4455</v>
      </c>
      <c r="BF209" t="str">
        <f>HYPERLINK("http://dx.doi.org/10.1016/j.margeo.2013.12.010","http://dx.doi.org/10.1016/j.margeo.2013.12.010")</f>
        <v>http://dx.doi.org/10.1016/j.margeo.2013.12.010</v>
      </c>
      <c r="BG209" t="s">
        <v>74</v>
      </c>
      <c r="BH209" t="s">
        <v>74</v>
      </c>
      <c r="BI209">
        <v>13</v>
      </c>
      <c r="BJ209" t="s">
        <v>2646</v>
      </c>
      <c r="BK209" t="s">
        <v>101</v>
      </c>
      <c r="BL209" t="s">
        <v>2647</v>
      </c>
      <c r="BM209" t="s">
        <v>2648</v>
      </c>
      <c r="BN209" t="s">
        <v>74</v>
      </c>
      <c r="BO209" t="s">
        <v>74</v>
      </c>
      <c r="BP209" t="s">
        <v>74</v>
      </c>
      <c r="BQ209" t="s">
        <v>74</v>
      </c>
      <c r="BR209" t="s">
        <v>104</v>
      </c>
      <c r="BS209" t="s">
        <v>4456</v>
      </c>
      <c r="BT209" t="str">
        <f>HYPERLINK("https%3A%2F%2Fwww.webofscience.com%2Fwos%2Fwoscc%2Ffull-record%2FWOS:000335277500002","View Full Record in Web of Science")</f>
        <v>View Full Record in Web of Science</v>
      </c>
    </row>
    <row r="210" spans="1:72" x14ac:dyDescent="0.15">
      <c r="A210" t="s">
        <v>72</v>
      </c>
      <c r="B210" t="s">
        <v>4457</v>
      </c>
      <c r="C210" t="s">
        <v>74</v>
      </c>
      <c r="D210" t="s">
        <v>74</v>
      </c>
      <c r="E210" t="s">
        <v>74</v>
      </c>
      <c r="F210" t="s">
        <v>4458</v>
      </c>
      <c r="G210" t="s">
        <v>74</v>
      </c>
      <c r="H210" t="s">
        <v>74</v>
      </c>
      <c r="I210" t="s">
        <v>4459</v>
      </c>
      <c r="J210" t="s">
        <v>4460</v>
      </c>
      <c r="K210" t="s">
        <v>74</v>
      </c>
      <c r="L210" t="s">
        <v>74</v>
      </c>
      <c r="M210" t="s">
        <v>78</v>
      </c>
      <c r="N210" t="s">
        <v>79</v>
      </c>
      <c r="O210" t="s">
        <v>74</v>
      </c>
      <c r="P210" t="s">
        <v>74</v>
      </c>
      <c r="Q210" t="s">
        <v>74</v>
      </c>
      <c r="R210" t="s">
        <v>74</v>
      </c>
      <c r="S210" t="s">
        <v>74</v>
      </c>
      <c r="T210" t="s">
        <v>4461</v>
      </c>
      <c r="U210" t="s">
        <v>4462</v>
      </c>
      <c r="V210" t="s">
        <v>4463</v>
      </c>
      <c r="W210" t="s">
        <v>4464</v>
      </c>
      <c r="X210" t="s">
        <v>4465</v>
      </c>
      <c r="Y210" t="s">
        <v>4466</v>
      </c>
      <c r="Z210" t="s">
        <v>4467</v>
      </c>
      <c r="AA210" t="s">
        <v>4468</v>
      </c>
      <c r="AB210" t="s">
        <v>4469</v>
      </c>
      <c r="AC210" t="s">
        <v>4470</v>
      </c>
      <c r="AD210" t="s">
        <v>4471</v>
      </c>
      <c r="AE210" t="s">
        <v>4472</v>
      </c>
      <c r="AF210" t="s">
        <v>74</v>
      </c>
      <c r="AG210">
        <v>42</v>
      </c>
      <c r="AH210">
        <v>24</v>
      </c>
      <c r="AI210">
        <v>26</v>
      </c>
      <c r="AJ210">
        <v>0</v>
      </c>
      <c r="AK210">
        <v>29</v>
      </c>
      <c r="AL210" t="s">
        <v>403</v>
      </c>
      <c r="AM210" t="s">
        <v>404</v>
      </c>
      <c r="AN210" t="s">
        <v>405</v>
      </c>
      <c r="AO210" t="s">
        <v>4473</v>
      </c>
      <c r="AP210" t="s">
        <v>4474</v>
      </c>
      <c r="AQ210" t="s">
        <v>74</v>
      </c>
      <c r="AR210" t="s">
        <v>4475</v>
      </c>
      <c r="AS210" t="s">
        <v>4476</v>
      </c>
      <c r="AT210" t="s">
        <v>2376</v>
      </c>
      <c r="AU210">
        <v>2014</v>
      </c>
      <c r="AV210">
        <v>5</v>
      </c>
      <c r="AW210">
        <v>3</v>
      </c>
      <c r="AX210" t="s">
        <v>74</v>
      </c>
      <c r="AY210" t="s">
        <v>74</v>
      </c>
      <c r="AZ210" t="s">
        <v>74</v>
      </c>
      <c r="BA210" t="s">
        <v>74</v>
      </c>
      <c r="BB210">
        <v>287</v>
      </c>
      <c r="BC210">
        <v>297</v>
      </c>
      <c r="BD210" t="s">
        <v>74</v>
      </c>
      <c r="BE210" t="s">
        <v>4477</v>
      </c>
      <c r="BF210" t="str">
        <f>HYPERLINK("http://dx.doi.org/10.1111/2041-210X.12156","http://dx.doi.org/10.1111/2041-210X.12156")</f>
        <v>http://dx.doi.org/10.1111/2041-210X.12156</v>
      </c>
      <c r="BG210" t="s">
        <v>74</v>
      </c>
      <c r="BH210" t="s">
        <v>74</v>
      </c>
      <c r="BI210">
        <v>11</v>
      </c>
      <c r="BJ210" t="s">
        <v>451</v>
      </c>
      <c r="BK210" t="s">
        <v>101</v>
      </c>
      <c r="BL210" t="s">
        <v>102</v>
      </c>
      <c r="BM210" t="s">
        <v>4478</v>
      </c>
      <c r="BN210" t="s">
        <v>74</v>
      </c>
      <c r="BO210" t="s">
        <v>200</v>
      </c>
      <c r="BP210" t="s">
        <v>74</v>
      </c>
      <c r="BQ210" t="s">
        <v>74</v>
      </c>
      <c r="BR210" t="s">
        <v>104</v>
      </c>
      <c r="BS210" t="s">
        <v>4479</v>
      </c>
      <c r="BT210" t="str">
        <f>HYPERLINK("https%3A%2F%2Fwww.webofscience.com%2Fwos%2Fwoscc%2Ffull-record%2FWOS:000332517100009","View Full Record in Web of Science")</f>
        <v>View Full Record in Web of Science</v>
      </c>
    </row>
    <row r="211" spans="1:72" x14ac:dyDescent="0.15">
      <c r="A211" t="s">
        <v>72</v>
      </c>
      <c r="B211" t="s">
        <v>4480</v>
      </c>
      <c r="C211" t="s">
        <v>74</v>
      </c>
      <c r="D211" t="s">
        <v>74</v>
      </c>
      <c r="E211" t="s">
        <v>74</v>
      </c>
      <c r="F211" t="s">
        <v>4481</v>
      </c>
      <c r="G211" t="s">
        <v>74</v>
      </c>
      <c r="H211" t="s">
        <v>74</v>
      </c>
      <c r="I211" t="s">
        <v>4482</v>
      </c>
      <c r="J211" t="s">
        <v>1061</v>
      </c>
      <c r="K211" t="s">
        <v>74</v>
      </c>
      <c r="L211" t="s">
        <v>74</v>
      </c>
      <c r="M211" t="s">
        <v>78</v>
      </c>
      <c r="N211" t="s">
        <v>79</v>
      </c>
      <c r="O211" t="s">
        <v>74</v>
      </c>
      <c r="P211" t="s">
        <v>74</v>
      </c>
      <c r="Q211" t="s">
        <v>74</v>
      </c>
      <c r="R211" t="s">
        <v>74</v>
      </c>
      <c r="S211" t="s">
        <v>74</v>
      </c>
      <c r="T211" t="s">
        <v>74</v>
      </c>
      <c r="U211" t="s">
        <v>4483</v>
      </c>
      <c r="V211" t="s">
        <v>4484</v>
      </c>
      <c r="W211" t="s">
        <v>4485</v>
      </c>
      <c r="X211" t="s">
        <v>4486</v>
      </c>
      <c r="Y211" t="s">
        <v>4487</v>
      </c>
      <c r="Z211" t="s">
        <v>4488</v>
      </c>
      <c r="AA211" t="s">
        <v>4489</v>
      </c>
      <c r="AB211" t="s">
        <v>4490</v>
      </c>
      <c r="AC211" t="s">
        <v>4491</v>
      </c>
      <c r="AD211" t="s">
        <v>4492</v>
      </c>
      <c r="AE211" t="s">
        <v>4493</v>
      </c>
      <c r="AF211" t="s">
        <v>74</v>
      </c>
      <c r="AG211">
        <v>30</v>
      </c>
      <c r="AH211">
        <v>441</v>
      </c>
      <c r="AI211">
        <v>467</v>
      </c>
      <c r="AJ211">
        <v>14</v>
      </c>
      <c r="AK211">
        <v>226</v>
      </c>
      <c r="AL211" t="s">
        <v>1073</v>
      </c>
      <c r="AM211" t="s">
        <v>704</v>
      </c>
      <c r="AN211" t="s">
        <v>1074</v>
      </c>
      <c r="AO211" t="s">
        <v>1075</v>
      </c>
      <c r="AP211" t="s">
        <v>1076</v>
      </c>
      <c r="AQ211" t="s">
        <v>74</v>
      </c>
      <c r="AR211" t="s">
        <v>1077</v>
      </c>
      <c r="AS211" t="s">
        <v>1078</v>
      </c>
      <c r="AT211" t="s">
        <v>2376</v>
      </c>
      <c r="AU211">
        <v>2014</v>
      </c>
      <c r="AV211">
        <v>4</v>
      </c>
      <c r="AW211">
        <v>3</v>
      </c>
      <c r="AX211" t="s">
        <v>74</v>
      </c>
      <c r="AY211" t="s">
        <v>74</v>
      </c>
      <c r="AZ211" t="s">
        <v>74</v>
      </c>
      <c r="BA211" t="s">
        <v>74</v>
      </c>
      <c r="BB211">
        <v>201</v>
      </c>
      <c r="BC211">
        <v>205</v>
      </c>
      <c r="BD211" t="s">
        <v>74</v>
      </c>
      <c r="BE211" t="s">
        <v>4494</v>
      </c>
      <c r="BF211" t="str">
        <f>HYPERLINK("http://dx.doi.org/10.1038/NCLIMATE2118","http://dx.doi.org/10.1038/NCLIMATE2118")</f>
        <v>http://dx.doi.org/10.1038/NCLIMATE2118</v>
      </c>
      <c r="BG211" t="s">
        <v>74</v>
      </c>
      <c r="BH211" t="s">
        <v>74</v>
      </c>
      <c r="BI211">
        <v>5</v>
      </c>
      <c r="BJ211" t="s">
        <v>1080</v>
      </c>
      <c r="BK211" t="s">
        <v>479</v>
      </c>
      <c r="BL211" t="s">
        <v>1081</v>
      </c>
      <c r="BM211" t="s">
        <v>4495</v>
      </c>
      <c r="BN211" t="s">
        <v>74</v>
      </c>
      <c r="BO211" t="s">
        <v>74</v>
      </c>
      <c r="BP211" t="s">
        <v>811</v>
      </c>
      <c r="BQ211" t="s">
        <v>812</v>
      </c>
      <c r="BR211" t="s">
        <v>104</v>
      </c>
      <c r="BS211" t="s">
        <v>4496</v>
      </c>
      <c r="BT211" t="str">
        <f>HYPERLINK("https%3A%2F%2Fwww.webofscience.com%2Fwos%2Fwoscc%2Ffull-record%2FWOS:000333669100022","View Full Record in Web of Science")</f>
        <v>View Full Record in Web of Science</v>
      </c>
    </row>
    <row r="212" spans="1:72" x14ac:dyDescent="0.15">
      <c r="A212" t="s">
        <v>72</v>
      </c>
      <c r="B212" t="s">
        <v>4497</v>
      </c>
      <c r="C212" t="s">
        <v>74</v>
      </c>
      <c r="D212" t="s">
        <v>74</v>
      </c>
      <c r="E212" t="s">
        <v>74</v>
      </c>
      <c r="F212" t="s">
        <v>4498</v>
      </c>
      <c r="G212" t="s">
        <v>74</v>
      </c>
      <c r="H212" t="s">
        <v>74</v>
      </c>
      <c r="I212" t="s">
        <v>4499</v>
      </c>
      <c r="J212" t="s">
        <v>4500</v>
      </c>
      <c r="K212" t="s">
        <v>74</v>
      </c>
      <c r="L212" t="s">
        <v>74</v>
      </c>
      <c r="M212" t="s">
        <v>78</v>
      </c>
      <c r="N212" t="s">
        <v>79</v>
      </c>
      <c r="O212" t="s">
        <v>74</v>
      </c>
      <c r="P212" t="s">
        <v>74</v>
      </c>
      <c r="Q212" t="s">
        <v>74</v>
      </c>
      <c r="R212" t="s">
        <v>74</v>
      </c>
      <c r="S212" t="s">
        <v>74</v>
      </c>
      <c r="T212" t="s">
        <v>4501</v>
      </c>
      <c r="U212" t="s">
        <v>4502</v>
      </c>
      <c r="V212" t="s">
        <v>4503</v>
      </c>
      <c r="W212" t="s">
        <v>4504</v>
      </c>
      <c r="X212" t="s">
        <v>4505</v>
      </c>
      <c r="Y212" t="s">
        <v>4506</v>
      </c>
      <c r="Z212" t="s">
        <v>4507</v>
      </c>
      <c r="AA212" t="s">
        <v>4508</v>
      </c>
      <c r="AB212" t="s">
        <v>4509</v>
      </c>
      <c r="AC212" t="s">
        <v>4510</v>
      </c>
      <c r="AD212" t="s">
        <v>4511</v>
      </c>
      <c r="AE212" t="s">
        <v>4512</v>
      </c>
      <c r="AF212" t="s">
        <v>74</v>
      </c>
      <c r="AG212">
        <v>37</v>
      </c>
      <c r="AH212">
        <v>7</v>
      </c>
      <c r="AI212">
        <v>7</v>
      </c>
      <c r="AJ212">
        <v>0</v>
      </c>
      <c r="AK212">
        <v>11</v>
      </c>
      <c r="AL212" t="s">
        <v>4513</v>
      </c>
      <c r="AM212" t="s">
        <v>2151</v>
      </c>
      <c r="AN212" t="s">
        <v>4514</v>
      </c>
      <c r="AO212" t="s">
        <v>4515</v>
      </c>
      <c r="AP212" t="s">
        <v>4516</v>
      </c>
      <c r="AQ212" t="s">
        <v>74</v>
      </c>
      <c r="AR212" t="s">
        <v>4517</v>
      </c>
      <c r="AS212" t="s">
        <v>4518</v>
      </c>
      <c r="AT212" t="s">
        <v>2376</v>
      </c>
      <c r="AU212">
        <v>2014</v>
      </c>
      <c r="AV212">
        <v>43</v>
      </c>
      <c r="AW212">
        <v>1</v>
      </c>
      <c r="AX212" t="s">
        <v>74</v>
      </c>
      <c r="AY212" t="s">
        <v>74</v>
      </c>
      <c r="AZ212" t="s">
        <v>74</v>
      </c>
      <c r="BA212" t="s">
        <v>74</v>
      </c>
      <c r="BB212">
        <v>106</v>
      </c>
      <c r="BC212">
        <v>113</v>
      </c>
      <c r="BD212" t="s">
        <v>74</v>
      </c>
      <c r="BE212" t="s">
        <v>4519</v>
      </c>
      <c r="BF212" t="str">
        <f>HYPERLINK("http://dx.doi.org/10.2478/s13545-014-0122-2","http://dx.doi.org/10.2478/s13545-014-0122-2")</f>
        <v>http://dx.doi.org/10.2478/s13545-014-0122-2</v>
      </c>
      <c r="BG212" t="s">
        <v>74</v>
      </c>
      <c r="BH212" t="s">
        <v>74</v>
      </c>
      <c r="BI212">
        <v>8</v>
      </c>
      <c r="BJ212" t="s">
        <v>909</v>
      </c>
      <c r="BK212" t="s">
        <v>101</v>
      </c>
      <c r="BL212" t="s">
        <v>909</v>
      </c>
      <c r="BM212" t="s">
        <v>4520</v>
      </c>
      <c r="BN212" t="s">
        <v>74</v>
      </c>
      <c r="BO212" t="s">
        <v>4013</v>
      </c>
      <c r="BP212" t="s">
        <v>74</v>
      </c>
      <c r="BQ212" t="s">
        <v>74</v>
      </c>
      <c r="BR212" t="s">
        <v>104</v>
      </c>
      <c r="BS212" t="s">
        <v>4521</v>
      </c>
      <c r="BT212" t="str">
        <f>HYPERLINK("https%3A%2F%2Fwww.webofscience.com%2Fwos%2Fwoscc%2Ffull-record%2FWOS:000333700100012","View Full Record in Web of Science")</f>
        <v>View Full Record in Web of Science</v>
      </c>
    </row>
    <row r="213" spans="1:72" x14ac:dyDescent="0.15">
      <c r="A213" t="s">
        <v>72</v>
      </c>
      <c r="B213" t="s">
        <v>4522</v>
      </c>
      <c r="C213" t="s">
        <v>74</v>
      </c>
      <c r="D213" t="s">
        <v>74</v>
      </c>
      <c r="E213" t="s">
        <v>74</v>
      </c>
      <c r="F213" t="s">
        <v>4523</v>
      </c>
      <c r="G213" t="s">
        <v>74</v>
      </c>
      <c r="H213" t="s">
        <v>74</v>
      </c>
      <c r="I213" t="s">
        <v>4524</v>
      </c>
      <c r="J213" t="s">
        <v>1225</v>
      </c>
      <c r="K213" t="s">
        <v>74</v>
      </c>
      <c r="L213" t="s">
        <v>74</v>
      </c>
      <c r="M213" t="s">
        <v>78</v>
      </c>
      <c r="N213" t="s">
        <v>79</v>
      </c>
      <c r="O213" t="s">
        <v>74</v>
      </c>
      <c r="P213" t="s">
        <v>74</v>
      </c>
      <c r="Q213" t="s">
        <v>74</v>
      </c>
      <c r="R213" t="s">
        <v>74</v>
      </c>
      <c r="S213" t="s">
        <v>74</v>
      </c>
      <c r="T213" t="s">
        <v>4525</v>
      </c>
      <c r="U213" t="s">
        <v>4526</v>
      </c>
      <c r="V213" t="s">
        <v>4527</v>
      </c>
      <c r="W213" t="s">
        <v>4528</v>
      </c>
      <c r="X213" t="s">
        <v>4529</v>
      </c>
      <c r="Y213" t="s">
        <v>4530</v>
      </c>
      <c r="Z213" t="s">
        <v>4531</v>
      </c>
      <c r="AA213" t="s">
        <v>4532</v>
      </c>
      <c r="AB213" t="s">
        <v>4533</v>
      </c>
      <c r="AC213" t="s">
        <v>4534</v>
      </c>
      <c r="AD213" t="s">
        <v>4535</v>
      </c>
      <c r="AE213" t="s">
        <v>4536</v>
      </c>
      <c r="AF213" t="s">
        <v>74</v>
      </c>
      <c r="AG213">
        <v>77</v>
      </c>
      <c r="AH213">
        <v>22</v>
      </c>
      <c r="AI213">
        <v>22</v>
      </c>
      <c r="AJ213">
        <v>1</v>
      </c>
      <c r="AK213">
        <v>28</v>
      </c>
      <c r="AL213" t="s">
        <v>568</v>
      </c>
      <c r="AM213" t="s">
        <v>447</v>
      </c>
      <c r="AN213" t="s">
        <v>569</v>
      </c>
      <c r="AO213" t="s">
        <v>1237</v>
      </c>
      <c r="AP213" t="s">
        <v>1238</v>
      </c>
      <c r="AQ213" t="s">
        <v>74</v>
      </c>
      <c r="AR213" t="s">
        <v>1225</v>
      </c>
      <c r="AS213" t="s">
        <v>1239</v>
      </c>
      <c r="AT213" t="s">
        <v>2376</v>
      </c>
      <c r="AU213">
        <v>2014</v>
      </c>
      <c r="AV213">
        <v>29</v>
      </c>
      <c r="AW213">
        <v>3</v>
      </c>
      <c r="AX213" t="s">
        <v>74</v>
      </c>
      <c r="AY213" t="s">
        <v>74</v>
      </c>
      <c r="AZ213" t="s">
        <v>74</v>
      </c>
      <c r="BA213" t="s">
        <v>74</v>
      </c>
      <c r="BB213">
        <v>238</v>
      </c>
      <c r="BC213">
        <v>254</v>
      </c>
      <c r="BD213" t="s">
        <v>74</v>
      </c>
      <c r="BE213" t="s">
        <v>4537</v>
      </c>
      <c r="BF213" t="str">
        <f>HYPERLINK("http://dx.doi.org/10.1002/2013PA002588","http://dx.doi.org/10.1002/2013PA002588")</f>
        <v>http://dx.doi.org/10.1002/2013PA002588</v>
      </c>
      <c r="BG213" t="s">
        <v>74</v>
      </c>
      <c r="BH213" t="s">
        <v>74</v>
      </c>
      <c r="BI213">
        <v>17</v>
      </c>
      <c r="BJ213" t="s">
        <v>1241</v>
      </c>
      <c r="BK213" t="s">
        <v>101</v>
      </c>
      <c r="BL213" t="s">
        <v>1242</v>
      </c>
      <c r="BM213" t="s">
        <v>2734</v>
      </c>
      <c r="BN213" t="s">
        <v>74</v>
      </c>
      <c r="BO213" t="s">
        <v>74</v>
      </c>
      <c r="BP213" t="s">
        <v>74</v>
      </c>
      <c r="BQ213" t="s">
        <v>74</v>
      </c>
      <c r="BR213" t="s">
        <v>104</v>
      </c>
      <c r="BS213" t="s">
        <v>4538</v>
      </c>
      <c r="BT213" t="str">
        <f>HYPERLINK("https%3A%2F%2Fwww.webofscience.com%2Fwos%2Fwoscc%2Ffull-record%2FWOS:000334349800008","View Full Record in Web of Science")</f>
        <v>View Full Record in Web of Science</v>
      </c>
    </row>
    <row r="214" spans="1:72" x14ac:dyDescent="0.15">
      <c r="A214" t="s">
        <v>72</v>
      </c>
      <c r="B214" t="s">
        <v>4539</v>
      </c>
      <c r="C214" t="s">
        <v>74</v>
      </c>
      <c r="D214" t="s">
        <v>74</v>
      </c>
      <c r="E214" t="s">
        <v>74</v>
      </c>
      <c r="F214" t="s">
        <v>4540</v>
      </c>
      <c r="G214" t="s">
        <v>74</v>
      </c>
      <c r="H214" t="s">
        <v>74</v>
      </c>
      <c r="I214" t="s">
        <v>4541</v>
      </c>
      <c r="J214" t="s">
        <v>1297</v>
      </c>
      <c r="K214" t="s">
        <v>74</v>
      </c>
      <c r="L214" t="s">
        <v>74</v>
      </c>
      <c r="M214" t="s">
        <v>78</v>
      </c>
      <c r="N214" t="s">
        <v>79</v>
      </c>
      <c r="O214" t="s">
        <v>74</v>
      </c>
      <c r="P214" t="s">
        <v>74</v>
      </c>
      <c r="Q214" t="s">
        <v>74</v>
      </c>
      <c r="R214" t="s">
        <v>74</v>
      </c>
      <c r="S214" t="s">
        <v>74</v>
      </c>
      <c r="T214" t="s">
        <v>4542</v>
      </c>
      <c r="U214" t="s">
        <v>4543</v>
      </c>
      <c r="V214" t="s">
        <v>4544</v>
      </c>
      <c r="W214" t="s">
        <v>4545</v>
      </c>
      <c r="X214" t="s">
        <v>4546</v>
      </c>
      <c r="Y214" t="s">
        <v>4547</v>
      </c>
      <c r="Z214" t="s">
        <v>4548</v>
      </c>
      <c r="AA214" t="s">
        <v>74</v>
      </c>
      <c r="AB214" t="s">
        <v>74</v>
      </c>
      <c r="AC214" t="s">
        <v>4549</v>
      </c>
      <c r="AD214" t="s">
        <v>4550</v>
      </c>
      <c r="AE214" t="s">
        <v>4551</v>
      </c>
      <c r="AF214" t="s">
        <v>74</v>
      </c>
      <c r="AG214">
        <v>52</v>
      </c>
      <c r="AH214">
        <v>16</v>
      </c>
      <c r="AI214">
        <v>18</v>
      </c>
      <c r="AJ214">
        <v>1</v>
      </c>
      <c r="AK214">
        <v>36</v>
      </c>
      <c r="AL214" t="s">
        <v>145</v>
      </c>
      <c r="AM214" t="s">
        <v>92</v>
      </c>
      <c r="AN214" t="s">
        <v>472</v>
      </c>
      <c r="AO214" t="s">
        <v>1310</v>
      </c>
      <c r="AP214" t="s">
        <v>1311</v>
      </c>
      <c r="AQ214" t="s">
        <v>74</v>
      </c>
      <c r="AR214" t="s">
        <v>1312</v>
      </c>
      <c r="AS214" t="s">
        <v>1313</v>
      </c>
      <c r="AT214" t="s">
        <v>2376</v>
      </c>
      <c r="AU214">
        <v>2014</v>
      </c>
      <c r="AV214">
        <v>37</v>
      </c>
      <c r="AW214">
        <v>3</v>
      </c>
      <c r="AX214" t="s">
        <v>74</v>
      </c>
      <c r="AY214" t="s">
        <v>74</v>
      </c>
      <c r="AZ214" t="s">
        <v>74</v>
      </c>
      <c r="BA214" t="s">
        <v>74</v>
      </c>
      <c r="BB214">
        <v>311</v>
      </c>
      <c r="BC214">
        <v>320</v>
      </c>
      <c r="BD214" t="s">
        <v>74</v>
      </c>
      <c r="BE214" t="s">
        <v>4552</v>
      </c>
      <c r="BF214" t="str">
        <f>HYPERLINK("http://dx.doi.org/10.1007/s00300-013-1432-3","http://dx.doi.org/10.1007/s00300-013-1432-3")</f>
        <v>http://dx.doi.org/10.1007/s00300-013-1432-3</v>
      </c>
      <c r="BG214" t="s">
        <v>74</v>
      </c>
      <c r="BH214" t="s">
        <v>74</v>
      </c>
      <c r="BI214">
        <v>10</v>
      </c>
      <c r="BJ214" t="s">
        <v>1315</v>
      </c>
      <c r="BK214" t="s">
        <v>101</v>
      </c>
      <c r="BL214" t="s">
        <v>412</v>
      </c>
      <c r="BM214" t="s">
        <v>3530</v>
      </c>
      <c r="BN214" t="s">
        <v>74</v>
      </c>
      <c r="BO214" t="s">
        <v>74</v>
      </c>
      <c r="BP214" t="s">
        <v>74</v>
      </c>
      <c r="BQ214" t="s">
        <v>74</v>
      </c>
      <c r="BR214" t="s">
        <v>104</v>
      </c>
      <c r="BS214" t="s">
        <v>4553</v>
      </c>
      <c r="BT214" t="str">
        <f>HYPERLINK("https%3A%2F%2Fwww.webofscience.com%2Fwos%2Fwoscc%2Ffull-record%2FWOS:000331721000002","View Full Record in Web of Science")</f>
        <v>View Full Record in Web of Science</v>
      </c>
    </row>
    <row r="215" spans="1:72" x14ac:dyDescent="0.15">
      <c r="A215" t="s">
        <v>72</v>
      </c>
      <c r="B215" t="s">
        <v>4554</v>
      </c>
      <c r="C215" t="s">
        <v>74</v>
      </c>
      <c r="D215" t="s">
        <v>74</v>
      </c>
      <c r="E215" t="s">
        <v>74</v>
      </c>
      <c r="F215" t="s">
        <v>4555</v>
      </c>
      <c r="G215" t="s">
        <v>74</v>
      </c>
      <c r="H215" t="s">
        <v>74</v>
      </c>
      <c r="I215" t="s">
        <v>4556</v>
      </c>
      <c r="J215" t="s">
        <v>1297</v>
      </c>
      <c r="K215" t="s">
        <v>74</v>
      </c>
      <c r="L215" t="s">
        <v>74</v>
      </c>
      <c r="M215" t="s">
        <v>78</v>
      </c>
      <c r="N215" t="s">
        <v>79</v>
      </c>
      <c r="O215" t="s">
        <v>74</v>
      </c>
      <c r="P215" t="s">
        <v>74</v>
      </c>
      <c r="Q215" t="s">
        <v>74</v>
      </c>
      <c r="R215" t="s">
        <v>74</v>
      </c>
      <c r="S215" t="s">
        <v>74</v>
      </c>
      <c r="T215" t="s">
        <v>4557</v>
      </c>
      <c r="U215" t="s">
        <v>4558</v>
      </c>
      <c r="V215" t="s">
        <v>4559</v>
      </c>
      <c r="W215" t="s">
        <v>4560</v>
      </c>
      <c r="X215" t="s">
        <v>4561</v>
      </c>
      <c r="Y215" t="s">
        <v>4562</v>
      </c>
      <c r="Z215" t="s">
        <v>4563</v>
      </c>
      <c r="AA215" t="s">
        <v>74</v>
      </c>
      <c r="AB215" t="s">
        <v>4564</v>
      </c>
      <c r="AC215" t="s">
        <v>4565</v>
      </c>
      <c r="AD215" t="s">
        <v>4566</v>
      </c>
      <c r="AE215" t="s">
        <v>4567</v>
      </c>
      <c r="AF215" t="s">
        <v>74</v>
      </c>
      <c r="AG215">
        <v>82</v>
      </c>
      <c r="AH215">
        <v>24</v>
      </c>
      <c r="AI215">
        <v>26</v>
      </c>
      <c r="AJ215">
        <v>0</v>
      </c>
      <c r="AK215">
        <v>65</v>
      </c>
      <c r="AL215" t="s">
        <v>145</v>
      </c>
      <c r="AM215" t="s">
        <v>92</v>
      </c>
      <c r="AN215" t="s">
        <v>3045</v>
      </c>
      <c r="AO215" t="s">
        <v>1310</v>
      </c>
      <c r="AP215" t="s">
        <v>1311</v>
      </c>
      <c r="AQ215" t="s">
        <v>74</v>
      </c>
      <c r="AR215" t="s">
        <v>1312</v>
      </c>
      <c r="AS215" t="s">
        <v>1313</v>
      </c>
      <c r="AT215" t="s">
        <v>2376</v>
      </c>
      <c r="AU215">
        <v>2014</v>
      </c>
      <c r="AV215">
        <v>37</v>
      </c>
      <c r="AW215">
        <v>3</v>
      </c>
      <c r="AX215" t="s">
        <v>74</v>
      </c>
      <c r="AY215" t="s">
        <v>74</v>
      </c>
      <c r="AZ215" t="s">
        <v>74</v>
      </c>
      <c r="BA215" t="s">
        <v>74</v>
      </c>
      <c r="BB215">
        <v>375</v>
      </c>
      <c r="BC215">
        <v>389</v>
      </c>
      <c r="BD215" t="s">
        <v>74</v>
      </c>
      <c r="BE215" t="s">
        <v>4568</v>
      </c>
      <c r="BF215" t="str">
        <f>HYPERLINK("http://dx.doi.org/10.1007/s00300-013-1438-x","http://dx.doi.org/10.1007/s00300-013-1438-x")</f>
        <v>http://dx.doi.org/10.1007/s00300-013-1438-x</v>
      </c>
      <c r="BG215" t="s">
        <v>74</v>
      </c>
      <c r="BH215" t="s">
        <v>74</v>
      </c>
      <c r="BI215">
        <v>15</v>
      </c>
      <c r="BJ215" t="s">
        <v>1315</v>
      </c>
      <c r="BK215" t="s">
        <v>101</v>
      </c>
      <c r="BL215" t="s">
        <v>412</v>
      </c>
      <c r="BM215" t="s">
        <v>3530</v>
      </c>
      <c r="BN215" t="s">
        <v>74</v>
      </c>
      <c r="BO215" t="s">
        <v>270</v>
      </c>
      <c r="BP215" t="s">
        <v>74</v>
      </c>
      <c r="BQ215" t="s">
        <v>74</v>
      </c>
      <c r="BR215" t="s">
        <v>104</v>
      </c>
      <c r="BS215" t="s">
        <v>4569</v>
      </c>
      <c r="BT215" t="str">
        <f>HYPERLINK("https%3A%2F%2Fwww.webofscience.com%2Fwos%2Fwoscc%2Ffull-record%2FWOS:000331721000008","View Full Record in Web of Science")</f>
        <v>View Full Record in Web of Science</v>
      </c>
    </row>
    <row r="216" spans="1:72" x14ac:dyDescent="0.15">
      <c r="A216" t="s">
        <v>72</v>
      </c>
      <c r="B216" t="s">
        <v>4570</v>
      </c>
      <c r="C216" t="s">
        <v>74</v>
      </c>
      <c r="D216" t="s">
        <v>74</v>
      </c>
      <c r="E216" t="s">
        <v>74</v>
      </c>
      <c r="F216" t="s">
        <v>4571</v>
      </c>
      <c r="G216" t="s">
        <v>74</v>
      </c>
      <c r="H216" t="s">
        <v>74</v>
      </c>
      <c r="I216" t="s">
        <v>4572</v>
      </c>
      <c r="J216" t="s">
        <v>1297</v>
      </c>
      <c r="K216" t="s">
        <v>74</v>
      </c>
      <c r="L216" t="s">
        <v>74</v>
      </c>
      <c r="M216" t="s">
        <v>78</v>
      </c>
      <c r="N216" t="s">
        <v>79</v>
      </c>
      <c r="O216" t="s">
        <v>74</v>
      </c>
      <c r="P216" t="s">
        <v>74</v>
      </c>
      <c r="Q216" t="s">
        <v>74</v>
      </c>
      <c r="R216" t="s">
        <v>74</v>
      </c>
      <c r="S216" t="s">
        <v>74</v>
      </c>
      <c r="T216" t="s">
        <v>4573</v>
      </c>
      <c r="U216" t="s">
        <v>4574</v>
      </c>
      <c r="V216" t="s">
        <v>4575</v>
      </c>
      <c r="W216" t="s">
        <v>4576</v>
      </c>
      <c r="X216" t="s">
        <v>4577</v>
      </c>
      <c r="Y216" t="s">
        <v>4578</v>
      </c>
      <c r="Z216" t="s">
        <v>4579</v>
      </c>
      <c r="AA216" t="s">
        <v>4580</v>
      </c>
      <c r="AB216" t="s">
        <v>4581</v>
      </c>
      <c r="AC216" t="s">
        <v>4582</v>
      </c>
      <c r="AD216" t="s">
        <v>4583</v>
      </c>
      <c r="AE216" t="s">
        <v>4584</v>
      </c>
      <c r="AF216" t="s">
        <v>74</v>
      </c>
      <c r="AG216">
        <v>75</v>
      </c>
      <c r="AH216">
        <v>15</v>
      </c>
      <c r="AI216">
        <v>17</v>
      </c>
      <c r="AJ216">
        <v>2</v>
      </c>
      <c r="AK216">
        <v>43</v>
      </c>
      <c r="AL216" t="s">
        <v>145</v>
      </c>
      <c r="AM216" t="s">
        <v>92</v>
      </c>
      <c r="AN216" t="s">
        <v>3045</v>
      </c>
      <c r="AO216" t="s">
        <v>1310</v>
      </c>
      <c r="AP216" t="s">
        <v>1311</v>
      </c>
      <c r="AQ216" t="s">
        <v>74</v>
      </c>
      <c r="AR216" t="s">
        <v>1312</v>
      </c>
      <c r="AS216" t="s">
        <v>1313</v>
      </c>
      <c r="AT216" t="s">
        <v>2376</v>
      </c>
      <c r="AU216">
        <v>2014</v>
      </c>
      <c r="AV216">
        <v>37</v>
      </c>
      <c r="AW216">
        <v>3</v>
      </c>
      <c r="AX216" t="s">
        <v>74</v>
      </c>
      <c r="AY216" t="s">
        <v>74</v>
      </c>
      <c r="AZ216" t="s">
        <v>74</v>
      </c>
      <c r="BA216" t="s">
        <v>74</v>
      </c>
      <c r="BB216">
        <v>403</v>
      </c>
      <c r="BC216">
        <v>416</v>
      </c>
      <c r="BD216" t="s">
        <v>74</v>
      </c>
      <c r="BE216" t="s">
        <v>4585</v>
      </c>
      <c r="BF216" t="str">
        <f>HYPERLINK("http://dx.doi.org/10.1007/s00300-013-1440-3","http://dx.doi.org/10.1007/s00300-013-1440-3")</f>
        <v>http://dx.doi.org/10.1007/s00300-013-1440-3</v>
      </c>
      <c r="BG216" t="s">
        <v>74</v>
      </c>
      <c r="BH216" t="s">
        <v>74</v>
      </c>
      <c r="BI216">
        <v>14</v>
      </c>
      <c r="BJ216" t="s">
        <v>1315</v>
      </c>
      <c r="BK216" t="s">
        <v>101</v>
      </c>
      <c r="BL216" t="s">
        <v>412</v>
      </c>
      <c r="BM216" t="s">
        <v>3530</v>
      </c>
      <c r="BN216" t="s">
        <v>74</v>
      </c>
      <c r="BO216" t="s">
        <v>74</v>
      </c>
      <c r="BP216" t="s">
        <v>74</v>
      </c>
      <c r="BQ216" t="s">
        <v>74</v>
      </c>
      <c r="BR216" t="s">
        <v>104</v>
      </c>
      <c r="BS216" t="s">
        <v>4586</v>
      </c>
      <c r="BT216" t="str">
        <f>HYPERLINK("https%3A%2F%2Fwww.webofscience.com%2Fwos%2Fwoscc%2Ffull-record%2FWOS:000331721000010","View Full Record in Web of Science")</f>
        <v>View Full Record in Web of Science</v>
      </c>
    </row>
    <row r="217" spans="1:72" x14ac:dyDescent="0.15">
      <c r="A217" t="s">
        <v>72</v>
      </c>
      <c r="B217" t="s">
        <v>4587</v>
      </c>
      <c r="C217" t="s">
        <v>74</v>
      </c>
      <c r="D217" t="s">
        <v>74</v>
      </c>
      <c r="E217" t="s">
        <v>74</v>
      </c>
      <c r="F217" t="s">
        <v>4588</v>
      </c>
      <c r="G217" t="s">
        <v>74</v>
      </c>
      <c r="H217" t="s">
        <v>74</v>
      </c>
      <c r="I217" t="s">
        <v>4589</v>
      </c>
      <c r="J217" t="s">
        <v>1297</v>
      </c>
      <c r="K217" t="s">
        <v>74</v>
      </c>
      <c r="L217" t="s">
        <v>74</v>
      </c>
      <c r="M217" t="s">
        <v>78</v>
      </c>
      <c r="N217" t="s">
        <v>79</v>
      </c>
      <c r="O217" t="s">
        <v>74</v>
      </c>
      <c r="P217" t="s">
        <v>74</v>
      </c>
      <c r="Q217" t="s">
        <v>74</v>
      </c>
      <c r="R217" t="s">
        <v>74</v>
      </c>
      <c r="S217" t="s">
        <v>74</v>
      </c>
      <c r="T217" t="s">
        <v>4590</v>
      </c>
      <c r="U217" t="s">
        <v>4591</v>
      </c>
      <c r="V217" t="s">
        <v>4592</v>
      </c>
      <c r="W217" t="s">
        <v>4593</v>
      </c>
      <c r="X217" t="s">
        <v>74</v>
      </c>
      <c r="Y217" t="s">
        <v>4594</v>
      </c>
      <c r="Z217" t="s">
        <v>4595</v>
      </c>
      <c r="AA217" t="s">
        <v>74</v>
      </c>
      <c r="AB217" t="s">
        <v>74</v>
      </c>
      <c r="AC217" t="s">
        <v>74</v>
      </c>
      <c r="AD217" t="s">
        <v>74</v>
      </c>
      <c r="AE217" t="s">
        <v>74</v>
      </c>
      <c r="AF217" t="s">
        <v>74</v>
      </c>
      <c r="AG217">
        <v>35</v>
      </c>
      <c r="AH217">
        <v>3</v>
      </c>
      <c r="AI217">
        <v>3</v>
      </c>
      <c r="AJ217">
        <v>3</v>
      </c>
      <c r="AK217">
        <v>97</v>
      </c>
      <c r="AL217" t="s">
        <v>145</v>
      </c>
      <c r="AM217" t="s">
        <v>92</v>
      </c>
      <c r="AN217" t="s">
        <v>472</v>
      </c>
      <c r="AO217" t="s">
        <v>1310</v>
      </c>
      <c r="AP217" t="s">
        <v>1311</v>
      </c>
      <c r="AQ217" t="s">
        <v>74</v>
      </c>
      <c r="AR217" t="s">
        <v>1312</v>
      </c>
      <c r="AS217" t="s">
        <v>1313</v>
      </c>
      <c r="AT217" t="s">
        <v>2376</v>
      </c>
      <c r="AU217">
        <v>2014</v>
      </c>
      <c r="AV217">
        <v>37</v>
      </c>
      <c r="AW217">
        <v>3</v>
      </c>
      <c r="AX217" t="s">
        <v>74</v>
      </c>
      <c r="AY217" t="s">
        <v>74</v>
      </c>
      <c r="AZ217" t="s">
        <v>74</v>
      </c>
      <c r="BA217" t="s">
        <v>74</v>
      </c>
      <c r="BB217">
        <v>423</v>
      </c>
      <c r="BC217">
        <v>425</v>
      </c>
      <c r="BD217" t="s">
        <v>74</v>
      </c>
      <c r="BE217" t="s">
        <v>4596</v>
      </c>
      <c r="BF217" t="str">
        <f>HYPERLINK("http://dx.doi.org/10.1007/s00300-014-1447-4","http://dx.doi.org/10.1007/s00300-014-1447-4")</f>
        <v>http://dx.doi.org/10.1007/s00300-014-1447-4</v>
      </c>
      <c r="BG217" t="s">
        <v>74</v>
      </c>
      <c r="BH217" t="s">
        <v>74</v>
      </c>
      <c r="BI217">
        <v>3</v>
      </c>
      <c r="BJ217" t="s">
        <v>1315</v>
      </c>
      <c r="BK217" t="s">
        <v>101</v>
      </c>
      <c r="BL217" t="s">
        <v>412</v>
      </c>
      <c r="BM217" t="s">
        <v>3530</v>
      </c>
      <c r="BN217" t="s">
        <v>74</v>
      </c>
      <c r="BO217" t="s">
        <v>74</v>
      </c>
      <c r="BP217" t="s">
        <v>74</v>
      </c>
      <c r="BQ217" t="s">
        <v>74</v>
      </c>
      <c r="BR217" t="s">
        <v>104</v>
      </c>
      <c r="BS217" t="s">
        <v>4597</v>
      </c>
      <c r="BT217" t="str">
        <f>HYPERLINK("https%3A%2F%2Fwww.webofscience.com%2Fwos%2Fwoscc%2Ffull-record%2FWOS:000331721000012","View Full Record in Web of Science")</f>
        <v>View Full Record in Web of Science</v>
      </c>
    </row>
    <row r="218" spans="1:72" x14ac:dyDescent="0.15">
      <c r="A218" t="s">
        <v>72</v>
      </c>
      <c r="B218" t="s">
        <v>4598</v>
      </c>
      <c r="C218" t="s">
        <v>74</v>
      </c>
      <c r="D218" t="s">
        <v>74</v>
      </c>
      <c r="E218" t="s">
        <v>74</v>
      </c>
      <c r="F218" t="s">
        <v>4599</v>
      </c>
      <c r="G218" t="s">
        <v>74</v>
      </c>
      <c r="H218" t="s">
        <v>74</v>
      </c>
      <c r="I218" t="s">
        <v>4600</v>
      </c>
      <c r="J218" t="s">
        <v>1353</v>
      </c>
      <c r="K218" t="s">
        <v>74</v>
      </c>
      <c r="L218" t="s">
        <v>74</v>
      </c>
      <c r="M218" t="s">
        <v>78</v>
      </c>
      <c r="N218" t="s">
        <v>933</v>
      </c>
      <c r="O218" t="s">
        <v>74</v>
      </c>
      <c r="P218" t="s">
        <v>74</v>
      </c>
      <c r="Q218" t="s">
        <v>74</v>
      </c>
      <c r="R218" t="s">
        <v>74</v>
      </c>
      <c r="S218" t="s">
        <v>74</v>
      </c>
      <c r="T218" t="s">
        <v>74</v>
      </c>
      <c r="U218" t="s">
        <v>4601</v>
      </c>
      <c r="V218" t="s">
        <v>4602</v>
      </c>
      <c r="W218" t="s">
        <v>4603</v>
      </c>
      <c r="X218" t="s">
        <v>4604</v>
      </c>
      <c r="Y218" t="s">
        <v>4605</v>
      </c>
      <c r="Z218" t="s">
        <v>4606</v>
      </c>
      <c r="AA218" t="s">
        <v>4607</v>
      </c>
      <c r="AB218" t="s">
        <v>4608</v>
      </c>
      <c r="AC218" t="s">
        <v>4609</v>
      </c>
      <c r="AD218" t="s">
        <v>4610</v>
      </c>
      <c r="AE218" t="s">
        <v>4611</v>
      </c>
      <c r="AF218" t="s">
        <v>74</v>
      </c>
      <c r="AG218">
        <v>177</v>
      </c>
      <c r="AH218">
        <v>44</v>
      </c>
      <c r="AI218">
        <v>50</v>
      </c>
      <c r="AJ218">
        <v>0</v>
      </c>
      <c r="AK218">
        <v>127</v>
      </c>
      <c r="AL218" t="s">
        <v>946</v>
      </c>
      <c r="AM218" t="s">
        <v>522</v>
      </c>
      <c r="AN218" t="s">
        <v>947</v>
      </c>
      <c r="AO218" t="s">
        <v>1365</v>
      </c>
      <c r="AP218" t="s">
        <v>74</v>
      </c>
      <c r="AQ218" t="s">
        <v>74</v>
      </c>
      <c r="AR218" t="s">
        <v>1367</v>
      </c>
      <c r="AS218" t="s">
        <v>1368</v>
      </c>
      <c r="AT218" t="s">
        <v>2376</v>
      </c>
      <c r="AU218">
        <v>2014</v>
      </c>
      <c r="AV218">
        <v>122</v>
      </c>
      <c r="AW218" t="s">
        <v>74</v>
      </c>
      <c r="AX218" t="s">
        <v>74</v>
      </c>
      <c r="AY218" t="s">
        <v>74</v>
      </c>
      <c r="AZ218" t="s">
        <v>74</v>
      </c>
      <c r="BA218" t="s">
        <v>74</v>
      </c>
      <c r="BB218">
        <v>10</v>
      </c>
      <c r="BC218">
        <v>29</v>
      </c>
      <c r="BD218" t="s">
        <v>74</v>
      </c>
      <c r="BE218" t="s">
        <v>4612</v>
      </c>
      <c r="BF218" t="str">
        <f>HYPERLINK("http://dx.doi.org/10.1016/j.pocean.2013.11.007","http://dx.doi.org/10.1016/j.pocean.2013.11.007")</f>
        <v>http://dx.doi.org/10.1016/j.pocean.2013.11.007</v>
      </c>
      <c r="BG218" t="s">
        <v>74</v>
      </c>
      <c r="BH218" t="s">
        <v>74</v>
      </c>
      <c r="BI218">
        <v>20</v>
      </c>
      <c r="BJ218" t="s">
        <v>785</v>
      </c>
      <c r="BK218" t="s">
        <v>101</v>
      </c>
      <c r="BL218" t="s">
        <v>785</v>
      </c>
      <c r="BM218" t="s">
        <v>2836</v>
      </c>
      <c r="BN218" t="s">
        <v>74</v>
      </c>
      <c r="BO218" t="s">
        <v>2649</v>
      </c>
      <c r="BP218" t="s">
        <v>74</v>
      </c>
      <c r="BQ218" t="s">
        <v>74</v>
      </c>
      <c r="BR218" t="s">
        <v>104</v>
      </c>
      <c r="BS218" t="s">
        <v>4613</v>
      </c>
      <c r="BT218" t="str">
        <f>HYPERLINK("https%3A%2F%2Fwww.webofscience.com%2Fwos%2Fwoscc%2Ffull-record%2FWOS:000334006100002","View Full Record in Web of Science")</f>
        <v>View Full Record in Web of Science</v>
      </c>
    </row>
    <row r="219" spans="1:72" x14ac:dyDescent="0.15">
      <c r="A219" t="s">
        <v>72</v>
      </c>
      <c r="B219" t="s">
        <v>4614</v>
      </c>
      <c r="C219" t="s">
        <v>74</v>
      </c>
      <c r="D219" t="s">
        <v>74</v>
      </c>
      <c r="E219" t="s">
        <v>74</v>
      </c>
      <c r="F219" t="s">
        <v>4615</v>
      </c>
      <c r="G219" t="s">
        <v>74</v>
      </c>
      <c r="H219" t="s">
        <v>74</v>
      </c>
      <c r="I219" t="s">
        <v>4616</v>
      </c>
      <c r="J219" t="s">
        <v>1353</v>
      </c>
      <c r="K219" t="s">
        <v>74</v>
      </c>
      <c r="L219" t="s">
        <v>74</v>
      </c>
      <c r="M219" t="s">
        <v>78</v>
      </c>
      <c r="N219" t="s">
        <v>933</v>
      </c>
      <c r="O219" t="s">
        <v>74</v>
      </c>
      <c r="P219" t="s">
        <v>74</v>
      </c>
      <c r="Q219" t="s">
        <v>74</v>
      </c>
      <c r="R219" t="s">
        <v>74</v>
      </c>
      <c r="S219" t="s">
        <v>74</v>
      </c>
      <c r="T219" t="s">
        <v>74</v>
      </c>
      <c r="U219" t="s">
        <v>4617</v>
      </c>
      <c r="V219" t="s">
        <v>4618</v>
      </c>
      <c r="W219" t="s">
        <v>4619</v>
      </c>
      <c r="X219" t="s">
        <v>4620</v>
      </c>
      <c r="Y219" t="s">
        <v>4621</v>
      </c>
      <c r="Z219" t="s">
        <v>4622</v>
      </c>
      <c r="AA219" t="s">
        <v>4623</v>
      </c>
      <c r="AB219" t="s">
        <v>4624</v>
      </c>
      <c r="AC219" t="s">
        <v>4625</v>
      </c>
      <c r="AD219" t="s">
        <v>4626</v>
      </c>
      <c r="AE219" t="s">
        <v>4627</v>
      </c>
      <c r="AF219" t="s">
        <v>74</v>
      </c>
      <c r="AG219">
        <v>79</v>
      </c>
      <c r="AH219">
        <v>19</v>
      </c>
      <c r="AI219">
        <v>19</v>
      </c>
      <c r="AJ219">
        <v>0</v>
      </c>
      <c r="AK219">
        <v>25</v>
      </c>
      <c r="AL219" t="s">
        <v>946</v>
      </c>
      <c r="AM219" t="s">
        <v>522</v>
      </c>
      <c r="AN219" t="s">
        <v>947</v>
      </c>
      <c r="AO219" t="s">
        <v>1365</v>
      </c>
      <c r="AP219" t="s">
        <v>74</v>
      </c>
      <c r="AQ219" t="s">
        <v>74</v>
      </c>
      <c r="AR219" t="s">
        <v>1367</v>
      </c>
      <c r="AS219" t="s">
        <v>1368</v>
      </c>
      <c r="AT219" t="s">
        <v>2376</v>
      </c>
      <c r="AU219">
        <v>2014</v>
      </c>
      <c r="AV219">
        <v>122</v>
      </c>
      <c r="AW219" t="s">
        <v>74</v>
      </c>
      <c r="AX219" t="s">
        <v>74</v>
      </c>
      <c r="AY219" t="s">
        <v>74</v>
      </c>
      <c r="AZ219" t="s">
        <v>74</v>
      </c>
      <c r="BA219" t="s">
        <v>74</v>
      </c>
      <c r="BB219">
        <v>116</v>
      </c>
      <c r="BC219">
        <v>130</v>
      </c>
      <c r="BD219" t="s">
        <v>74</v>
      </c>
      <c r="BE219" t="s">
        <v>4628</v>
      </c>
      <c r="BF219" t="str">
        <f>HYPERLINK("http://dx.doi.org/10.1016/j.pocean.2013.12.005","http://dx.doi.org/10.1016/j.pocean.2013.12.005")</f>
        <v>http://dx.doi.org/10.1016/j.pocean.2013.12.005</v>
      </c>
      <c r="BG219" t="s">
        <v>74</v>
      </c>
      <c r="BH219" t="s">
        <v>74</v>
      </c>
      <c r="BI219">
        <v>15</v>
      </c>
      <c r="BJ219" t="s">
        <v>785</v>
      </c>
      <c r="BK219" t="s">
        <v>101</v>
      </c>
      <c r="BL219" t="s">
        <v>785</v>
      </c>
      <c r="BM219" t="s">
        <v>2836</v>
      </c>
      <c r="BN219" t="s">
        <v>74</v>
      </c>
      <c r="BO219" t="s">
        <v>4629</v>
      </c>
      <c r="BP219" t="s">
        <v>74</v>
      </c>
      <c r="BQ219" t="s">
        <v>74</v>
      </c>
      <c r="BR219" t="s">
        <v>104</v>
      </c>
      <c r="BS219" t="s">
        <v>4630</v>
      </c>
      <c r="BT219" t="str">
        <f>HYPERLINK("https%3A%2F%2Fwww.webofscience.com%2Fwos%2Fwoscc%2Ffull-record%2FWOS:000334006100009","View Full Record in Web of Science")</f>
        <v>View Full Record in Web of Science</v>
      </c>
    </row>
    <row r="220" spans="1:72" x14ac:dyDescent="0.15">
      <c r="A220" t="s">
        <v>72</v>
      </c>
      <c r="B220" t="s">
        <v>4631</v>
      </c>
      <c r="C220" t="s">
        <v>74</v>
      </c>
      <c r="D220" t="s">
        <v>74</v>
      </c>
      <c r="E220" t="s">
        <v>74</v>
      </c>
      <c r="F220" t="s">
        <v>4632</v>
      </c>
      <c r="G220" t="s">
        <v>74</v>
      </c>
      <c r="H220" t="s">
        <v>74</v>
      </c>
      <c r="I220" t="s">
        <v>4633</v>
      </c>
      <c r="J220" t="s">
        <v>1397</v>
      </c>
      <c r="K220" t="s">
        <v>74</v>
      </c>
      <c r="L220" t="s">
        <v>74</v>
      </c>
      <c r="M220" t="s">
        <v>78</v>
      </c>
      <c r="N220" t="s">
        <v>79</v>
      </c>
      <c r="O220" t="s">
        <v>74</v>
      </c>
      <c r="P220" t="s">
        <v>74</v>
      </c>
      <c r="Q220" t="s">
        <v>74</v>
      </c>
      <c r="R220" t="s">
        <v>74</v>
      </c>
      <c r="S220" t="s">
        <v>74</v>
      </c>
      <c r="T220" t="s">
        <v>4634</v>
      </c>
      <c r="U220" t="s">
        <v>4635</v>
      </c>
      <c r="V220" t="s">
        <v>4636</v>
      </c>
      <c r="W220" t="s">
        <v>4637</v>
      </c>
      <c r="X220" t="s">
        <v>4638</v>
      </c>
      <c r="Y220" t="s">
        <v>4639</v>
      </c>
      <c r="Z220" t="s">
        <v>4640</v>
      </c>
      <c r="AA220" t="s">
        <v>4641</v>
      </c>
      <c r="AB220" t="s">
        <v>4642</v>
      </c>
      <c r="AC220" t="s">
        <v>4643</v>
      </c>
      <c r="AD220" t="s">
        <v>4644</v>
      </c>
      <c r="AE220" t="s">
        <v>4645</v>
      </c>
      <c r="AF220" t="s">
        <v>74</v>
      </c>
      <c r="AG220">
        <v>79</v>
      </c>
      <c r="AH220">
        <v>49</v>
      </c>
      <c r="AI220">
        <v>62</v>
      </c>
      <c r="AJ220">
        <v>2</v>
      </c>
      <c r="AK220">
        <v>69</v>
      </c>
      <c r="AL220" t="s">
        <v>946</v>
      </c>
      <c r="AM220" t="s">
        <v>522</v>
      </c>
      <c r="AN220" t="s">
        <v>947</v>
      </c>
      <c r="AO220" t="s">
        <v>1410</v>
      </c>
      <c r="AP220" t="s">
        <v>74</v>
      </c>
      <c r="AQ220" t="s">
        <v>74</v>
      </c>
      <c r="AR220" t="s">
        <v>1412</v>
      </c>
      <c r="AS220" t="s">
        <v>1413</v>
      </c>
      <c r="AT220" t="s">
        <v>2644</v>
      </c>
      <c r="AU220">
        <v>2014</v>
      </c>
      <c r="AV220">
        <v>87</v>
      </c>
      <c r="AW220" t="s">
        <v>74</v>
      </c>
      <c r="AX220" t="s">
        <v>74</v>
      </c>
      <c r="AY220" t="s">
        <v>74</v>
      </c>
      <c r="AZ220" t="s">
        <v>74</v>
      </c>
      <c r="BA220" t="s">
        <v>74</v>
      </c>
      <c r="BB220">
        <v>60</v>
      </c>
      <c r="BC220">
        <v>69</v>
      </c>
      <c r="BD220" t="s">
        <v>74</v>
      </c>
      <c r="BE220" t="s">
        <v>4646</v>
      </c>
      <c r="BF220" t="str">
        <f>HYPERLINK("http://dx.doi.org/10.1016/j.quascirev.2013.12.022","http://dx.doi.org/10.1016/j.quascirev.2013.12.022")</f>
        <v>http://dx.doi.org/10.1016/j.quascirev.2013.12.022</v>
      </c>
      <c r="BG220" t="s">
        <v>74</v>
      </c>
      <c r="BH220" t="s">
        <v>74</v>
      </c>
      <c r="BI220">
        <v>10</v>
      </c>
      <c r="BJ220" t="s">
        <v>1415</v>
      </c>
      <c r="BK220" t="s">
        <v>101</v>
      </c>
      <c r="BL220" t="s">
        <v>1416</v>
      </c>
      <c r="BM220" t="s">
        <v>4647</v>
      </c>
      <c r="BN220" t="s">
        <v>74</v>
      </c>
      <c r="BO220" t="s">
        <v>74</v>
      </c>
      <c r="BP220" t="s">
        <v>74</v>
      </c>
      <c r="BQ220" t="s">
        <v>74</v>
      </c>
      <c r="BR220" t="s">
        <v>104</v>
      </c>
      <c r="BS220" t="s">
        <v>4648</v>
      </c>
      <c r="BT220" t="str">
        <f>HYPERLINK("https%3A%2F%2Fwww.webofscience.com%2Fwos%2Fwoscc%2Ffull-record%2FWOS:000335876900006","View Full Record in Web of Science")</f>
        <v>View Full Record in Web of Science</v>
      </c>
    </row>
    <row r="221" spans="1:72" x14ac:dyDescent="0.15">
      <c r="A221" t="s">
        <v>72</v>
      </c>
      <c r="B221" t="s">
        <v>4649</v>
      </c>
      <c r="C221" t="s">
        <v>74</v>
      </c>
      <c r="D221" t="s">
        <v>74</v>
      </c>
      <c r="E221" t="s">
        <v>74</v>
      </c>
      <c r="F221" t="s">
        <v>4650</v>
      </c>
      <c r="G221" t="s">
        <v>74</v>
      </c>
      <c r="H221" t="s">
        <v>74</v>
      </c>
      <c r="I221" t="s">
        <v>4651</v>
      </c>
      <c r="J221" t="s">
        <v>3384</v>
      </c>
      <c r="K221" t="s">
        <v>74</v>
      </c>
      <c r="L221" t="s">
        <v>74</v>
      </c>
      <c r="M221" t="s">
        <v>78</v>
      </c>
      <c r="N221" t="s">
        <v>79</v>
      </c>
      <c r="O221" t="s">
        <v>74</v>
      </c>
      <c r="P221" t="s">
        <v>74</v>
      </c>
      <c r="Q221" t="s">
        <v>74</v>
      </c>
      <c r="R221" t="s">
        <v>74</v>
      </c>
      <c r="S221" t="s">
        <v>74</v>
      </c>
      <c r="T221" t="s">
        <v>4652</v>
      </c>
      <c r="U221" t="s">
        <v>4653</v>
      </c>
      <c r="V221" t="s">
        <v>4654</v>
      </c>
      <c r="W221" t="s">
        <v>4655</v>
      </c>
      <c r="X221" t="s">
        <v>4656</v>
      </c>
      <c r="Y221" t="s">
        <v>4657</v>
      </c>
      <c r="Z221" t="s">
        <v>4658</v>
      </c>
      <c r="AA221" t="s">
        <v>4659</v>
      </c>
      <c r="AB221" t="s">
        <v>4660</v>
      </c>
      <c r="AC221" t="s">
        <v>74</v>
      </c>
      <c r="AD221" t="s">
        <v>74</v>
      </c>
      <c r="AE221" t="s">
        <v>74</v>
      </c>
      <c r="AF221" t="s">
        <v>74</v>
      </c>
      <c r="AG221">
        <v>100</v>
      </c>
      <c r="AH221">
        <v>7</v>
      </c>
      <c r="AI221">
        <v>7</v>
      </c>
      <c r="AJ221">
        <v>5</v>
      </c>
      <c r="AK221">
        <v>307</v>
      </c>
      <c r="AL221" t="s">
        <v>3391</v>
      </c>
      <c r="AM221" t="s">
        <v>3392</v>
      </c>
      <c r="AN221" t="s">
        <v>3393</v>
      </c>
      <c r="AO221" t="s">
        <v>3394</v>
      </c>
      <c r="AP221" t="s">
        <v>3395</v>
      </c>
      <c r="AQ221" t="s">
        <v>74</v>
      </c>
      <c r="AR221" t="s">
        <v>3396</v>
      </c>
      <c r="AS221" t="s">
        <v>3397</v>
      </c>
      <c r="AT221" t="s">
        <v>2376</v>
      </c>
      <c r="AU221">
        <v>2014</v>
      </c>
      <c r="AV221">
        <v>25</v>
      </c>
      <c r="AW221">
        <v>1</v>
      </c>
      <c r="AX221" t="s">
        <v>74</v>
      </c>
      <c r="AY221" t="s">
        <v>74</v>
      </c>
      <c r="AZ221" t="s">
        <v>74</v>
      </c>
      <c r="BA221" t="s">
        <v>74</v>
      </c>
      <c r="BB221">
        <v>59</v>
      </c>
      <c r="BC221">
        <v>70</v>
      </c>
      <c r="BD221" t="s">
        <v>74</v>
      </c>
      <c r="BE221" t="s">
        <v>4661</v>
      </c>
      <c r="BF221" t="str">
        <f>HYPERLINK("http://dx.doi.org/10.1007/s12210-013-0255-z","http://dx.doi.org/10.1007/s12210-013-0255-z")</f>
        <v>http://dx.doi.org/10.1007/s12210-013-0255-z</v>
      </c>
      <c r="BG221" t="s">
        <v>74</v>
      </c>
      <c r="BH221" t="s">
        <v>74</v>
      </c>
      <c r="BI221">
        <v>12</v>
      </c>
      <c r="BJ221" t="s">
        <v>1100</v>
      </c>
      <c r="BK221" t="s">
        <v>101</v>
      </c>
      <c r="BL221" t="s">
        <v>1101</v>
      </c>
      <c r="BM221" t="s">
        <v>3399</v>
      </c>
      <c r="BN221" t="s">
        <v>74</v>
      </c>
      <c r="BO221" t="s">
        <v>74</v>
      </c>
      <c r="BP221" t="s">
        <v>74</v>
      </c>
      <c r="BQ221" t="s">
        <v>74</v>
      </c>
      <c r="BR221" t="s">
        <v>104</v>
      </c>
      <c r="BS221" t="s">
        <v>4662</v>
      </c>
      <c r="BT221" t="str">
        <f>HYPERLINK("https%3A%2F%2Fwww.webofscience.com%2Fwos%2Fwoscc%2Ffull-record%2FWOS:000332103200007","View Full Record in Web of Science")</f>
        <v>View Full Record in Web of Science</v>
      </c>
    </row>
    <row r="222" spans="1:72" x14ac:dyDescent="0.15">
      <c r="A222" t="s">
        <v>72</v>
      </c>
      <c r="B222" t="s">
        <v>4663</v>
      </c>
      <c r="C222" t="s">
        <v>74</v>
      </c>
      <c r="D222" t="s">
        <v>74</v>
      </c>
      <c r="E222" t="s">
        <v>74</v>
      </c>
      <c r="F222" t="s">
        <v>4664</v>
      </c>
      <c r="G222" t="s">
        <v>74</v>
      </c>
      <c r="H222" t="s">
        <v>74</v>
      </c>
      <c r="I222" t="s">
        <v>4665</v>
      </c>
      <c r="J222" t="s">
        <v>132</v>
      </c>
      <c r="K222" t="s">
        <v>74</v>
      </c>
      <c r="L222" t="s">
        <v>74</v>
      </c>
      <c r="M222" t="s">
        <v>78</v>
      </c>
      <c r="N222" t="s">
        <v>79</v>
      </c>
      <c r="O222" t="s">
        <v>74</v>
      </c>
      <c r="P222" t="s">
        <v>74</v>
      </c>
      <c r="Q222" t="s">
        <v>74</v>
      </c>
      <c r="R222" t="s">
        <v>74</v>
      </c>
      <c r="S222" t="s">
        <v>74</v>
      </c>
      <c r="T222" t="s">
        <v>4666</v>
      </c>
      <c r="U222" t="s">
        <v>4667</v>
      </c>
      <c r="V222" t="s">
        <v>4668</v>
      </c>
      <c r="W222" t="s">
        <v>4669</v>
      </c>
      <c r="X222" t="s">
        <v>4670</v>
      </c>
      <c r="Y222" t="s">
        <v>4671</v>
      </c>
      <c r="Z222" t="s">
        <v>4672</v>
      </c>
      <c r="AA222" t="s">
        <v>4673</v>
      </c>
      <c r="AB222" t="s">
        <v>4674</v>
      </c>
      <c r="AC222" t="s">
        <v>4675</v>
      </c>
      <c r="AD222" t="s">
        <v>4676</v>
      </c>
      <c r="AE222" t="s">
        <v>4677</v>
      </c>
      <c r="AF222" t="s">
        <v>74</v>
      </c>
      <c r="AG222">
        <v>29</v>
      </c>
      <c r="AH222">
        <v>19</v>
      </c>
      <c r="AI222">
        <v>19</v>
      </c>
      <c r="AJ222">
        <v>3</v>
      </c>
      <c r="AK222">
        <v>35</v>
      </c>
      <c r="AL222" t="s">
        <v>145</v>
      </c>
      <c r="AM222" t="s">
        <v>146</v>
      </c>
      <c r="AN222" t="s">
        <v>147</v>
      </c>
      <c r="AO222" t="s">
        <v>148</v>
      </c>
      <c r="AP222" t="s">
        <v>149</v>
      </c>
      <c r="AQ222" t="s">
        <v>74</v>
      </c>
      <c r="AR222" t="s">
        <v>150</v>
      </c>
      <c r="AS222" t="s">
        <v>151</v>
      </c>
      <c r="AT222" t="s">
        <v>2376</v>
      </c>
      <c r="AU222">
        <v>2014</v>
      </c>
      <c r="AV222">
        <v>30</v>
      </c>
      <c r="AW222">
        <v>3</v>
      </c>
      <c r="AX222" t="s">
        <v>74</v>
      </c>
      <c r="AY222" t="s">
        <v>74</v>
      </c>
      <c r="AZ222" t="s">
        <v>74</v>
      </c>
      <c r="BA222" t="s">
        <v>74</v>
      </c>
      <c r="BB222">
        <v>931</v>
      </c>
      <c r="BC222">
        <v>941</v>
      </c>
      <c r="BD222" t="s">
        <v>74</v>
      </c>
      <c r="BE222" t="s">
        <v>4678</v>
      </c>
      <c r="BF222" t="str">
        <f>HYPERLINK("http://dx.doi.org/10.1007/s11274-013-1511-1","http://dx.doi.org/10.1007/s11274-013-1511-1")</f>
        <v>http://dx.doi.org/10.1007/s11274-013-1511-1</v>
      </c>
      <c r="BG222" t="s">
        <v>74</v>
      </c>
      <c r="BH222" t="s">
        <v>74</v>
      </c>
      <c r="BI222">
        <v>11</v>
      </c>
      <c r="BJ222" t="s">
        <v>153</v>
      </c>
      <c r="BK222" t="s">
        <v>101</v>
      </c>
      <c r="BL222" t="s">
        <v>153</v>
      </c>
      <c r="BM222" t="s">
        <v>3601</v>
      </c>
      <c r="BN222">
        <v>24085505</v>
      </c>
      <c r="BO222" t="s">
        <v>74</v>
      </c>
      <c r="BP222" t="s">
        <v>74</v>
      </c>
      <c r="BQ222" t="s">
        <v>74</v>
      </c>
      <c r="BR222" t="s">
        <v>104</v>
      </c>
      <c r="BS222" t="s">
        <v>4679</v>
      </c>
      <c r="BT222" t="str">
        <f>HYPERLINK("https%3A%2F%2Fwww.webofscience.com%2Fwos%2Fwoscc%2Ffull-record%2FWOS:000331101000016","View Full Record in Web of Science")</f>
        <v>View Full Record in Web of Science</v>
      </c>
    </row>
    <row r="223" spans="1:72" x14ac:dyDescent="0.15">
      <c r="A223" t="s">
        <v>72</v>
      </c>
      <c r="B223" t="s">
        <v>4680</v>
      </c>
      <c r="C223" t="s">
        <v>74</v>
      </c>
      <c r="D223" t="s">
        <v>74</v>
      </c>
      <c r="E223" t="s">
        <v>74</v>
      </c>
      <c r="F223" t="s">
        <v>4681</v>
      </c>
      <c r="G223" t="s">
        <v>74</v>
      </c>
      <c r="H223" t="s">
        <v>74</v>
      </c>
      <c r="I223" t="s">
        <v>4682</v>
      </c>
      <c r="J223" t="s">
        <v>4683</v>
      </c>
      <c r="K223" t="s">
        <v>74</v>
      </c>
      <c r="L223" t="s">
        <v>74</v>
      </c>
      <c r="M223" t="s">
        <v>78</v>
      </c>
      <c r="N223" t="s">
        <v>79</v>
      </c>
      <c r="O223" t="s">
        <v>74</v>
      </c>
      <c r="P223" t="s">
        <v>74</v>
      </c>
      <c r="Q223" t="s">
        <v>74</v>
      </c>
      <c r="R223" t="s">
        <v>74</v>
      </c>
      <c r="S223" t="s">
        <v>74</v>
      </c>
      <c r="T223" t="s">
        <v>4684</v>
      </c>
      <c r="U223" t="s">
        <v>4685</v>
      </c>
      <c r="V223" t="s">
        <v>4686</v>
      </c>
      <c r="W223" t="s">
        <v>4687</v>
      </c>
      <c r="X223" t="s">
        <v>4688</v>
      </c>
      <c r="Y223" t="s">
        <v>4689</v>
      </c>
      <c r="Z223" t="s">
        <v>4690</v>
      </c>
      <c r="AA223" t="s">
        <v>4691</v>
      </c>
      <c r="AB223" t="s">
        <v>4692</v>
      </c>
      <c r="AC223" t="s">
        <v>4693</v>
      </c>
      <c r="AD223" t="s">
        <v>4694</v>
      </c>
      <c r="AE223" t="s">
        <v>4695</v>
      </c>
      <c r="AF223" t="s">
        <v>74</v>
      </c>
      <c r="AG223">
        <v>65</v>
      </c>
      <c r="AH223">
        <v>14</v>
      </c>
      <c r="AI223">
        <v>16</v>
      </c>
      <c r="AJ223">
        <v>0</v>
      </c>
      <c r="AK223">
        <v>17</v>
      </c>
      <c r="AL223" t="s">
        <v>2597</v>
      </c>
      <c r="AM223" t="s">
        <v>2598</v>
      </c>
      <c r="AN223" t="s">
        <v>2599</v>
      </c>
      <c r="AO223" t="s">
        <v>4696</v>
      </c>
      <c r="AP223" t="s">
        <v>4697</v>
      </c>
      <c r="AQ223" t="s">
        <v>74</v>
      </c>
      <c r="AR223" t="s">
        <v>4698</v>
      </c>
      <c r="AS223" t="s">
        <v>4699</v>
      </c>
      <c r="AT223" t="s">
        <v>2376</v>
      </c>
      <c r="AU223">
        <v>2014</v>
      </c>
      <c r="AV223">
        <v>52</v>
      </c>
      <c r="AW223">
        <v>3</v>
      </c>
      <c r="AX223" t="s">
        <v>74</v>
      </c>
      <c r="AY223" t="s">
        <v>74</v>
      </c>
      <c r="AZ223" t="s">
        <v>74</v>
      </c>
      <c r="BA223" t="s">
        <v>74</v>
      </c>
      <c r="BB223">
        <v>1583</v>
      </c>
      <c r="BC223">
        <v>1595</v>
      </c>
      <c r="BD223" t="s">
        <v>74</v>
      </c>
      <c r="BE223" t="s">
        <v>4700</v>
      </c>
      <c r="BF223" t="str">
        <f>HYPERLINK("http://dx.doi.org/10.1109/TGRS.2013.2252621","http://dx.doi.org/10.1109/TGRS.2013.2252621")</f>
        <v>http://dx.doi.org/10.1109/TGRS.2013.2252621</v>
      </c>
      <c r="BG223" t="s">
        <v>74</v>
      </c>
      <c r="BH223" t="s">
        <v>74</v>
      </c>
      <c r="BI223">
        <v>13</v>
      </c>
      <c r="BJ223" t="s">
        <v>4701</v>
      </c>
      <c r="BK223" t="s">
        <v>101</v>
      </c>
      <c r="BL223" t="s">
        <v>4702</v>
      </c>
      <c r="BM223" t="s">
        <v>4703</v>
      </c>
      <c r="BN223" t="s">
        <v>74</v>
      </c>
      <c r="BO223" t="s">
        <v>74</v>
      </c>
      <c r="BP223" t="s">
        <v>74</v>
      </c>
      <c r="BQ223" t="s">
        <v>74</v>
      </c>
      <c r="BR223" t="s">
        <v>104</v>
      </c>
      <c r="BS223" t="s">
        <v>4704</v>
      </c>
      <c r="BT223" t="str">
        <f>HYPERLINK("https%3A%2F%2Fwww.webofscience.com%2Fwos%2Fwoscc%2Ffull-record%2FWOS:000329404800005","View Full Record in Web of Science")</f>
        <v>View Full Record in Web of Science</v>
      </c>
    </row>
    <row r="224" spans="1:72" x14ac:dyDescent="0.15">
      <c r="A224" t="s">
        <v>72</v>
      </c>
      <c r="B224" t="s">
        <v>4705</v>
      </c>
      <c r="C224" t="s">
        <v>74</v>
      </c>
      <c r="D224" t="s">
        <v>74</v>
      </c>
      <c r="E224" t="s">
        <v>74</v>
      </c>
      <c r="F224" t="s">
        <v>4706</v>
      </c>
      <c r="G224" t="s">
        <v>74</v>
      </c>
      <c r="H224" t="s">
        <v>74</v>
      </c>
      <c r="I224" t="s">
        <v>4707</v>
      </c>
      <c r="J224" t="s">
        <v>4708</v>
      </c>
      <c r="K224" t="s">
        <v>74</v>
      </c>
      <c r="L224" t="s">
        <v>74</v>
      </c>
      <c r="M224" t="s">
        <v>78</v>
      </c>
      <c r="N224" t="s">
        <v>79</v>
      </c>
      <c r="O224" t="s">
        <v>74</v>
      </c>
      <c r="P224" t="s">
        <v>74</v>
      </c>
      <c r="Q224" t="s">
        <v>74</v>
      </c>
      <c r="R224" t="s">
        <v>74</v>
      </c>
      <c r="S224" t="s">
        <v>74</v>
      </c>
      <c r="T224" t="s">
        <v>4709</v>
      </c>
      <c r="U224" t="s">
        <v>4710</v>
      </c>
      <c r="V224" t="s">
        <v>4711</v>
      </c>
      <c r="W224" t="s">
        <v>4712</v>
      </c>
      <c r="X224" t="s">
        <v>4713</v>
      </c>
      <c r="Y224" t="s">
        <v>4714</v>
      </c>
      <c r="Z224" t="s">
        <v>4715</v>
      </c>
      <c r="AA224" t="s">
        <v>4716</v>
      </c>
      <c r="AB224" t="s">
        <v>4717</v>
      </c>
      <c r="AC224" t="s">
        <v>4718</v>
      </c>
      <c r="AD224" t="s">
        <v>4718</v>
      </c>
      <c r="AE224" t="s">
        <v>4719</v>
      </c>
      <c r="AF224" t="s">
        <v>74</v>
      </c>
      <c r="AG224">
        <v>31</v>
      </c>
      <c r="AH224">
        <v>3</v>
      </c>
      <c r="AI224">
        <v>3</v>
      </c>
      <c r="AJ224">
        <v>0</v>
      </c>
      <c r="AK224">
        <v>11</v>
      </c>
      <c r="AL224" t="s">
        <v>652</v>
      </c>
      <c r="AM224" t="s">
        <v>653</v>
      </c>
      <c r="AN224" t="s">
        <v>654</v>
      </c>
      <c r="AO224" t="s">
        <v>4720</v>
      </c>
      <c r="AP224" t="s">
        <v>4721</v>
      </c>
      <c r="AQ224" t="s">
        <v>74</v>
      </c>
      <c r="AR224" t="s">
        <v>4722</v>
      </c>
      <c r="AS224" t="s">
        <v>4723</v>
      </c>
      <c r="AT224" t="s">
        <v>2376</v>
      </c>
      <c r="AU224">
        <v>2014</v>
      </c>
      <c r="AV224">
        <v>17</v>
      </c>
      <c r="AW224" t="s">
        <v>74</v>
      </c>
      <c r="AX224" t="s">
        <v>74</v>
      </c>
      <c r="AY224" t="s">
        <v>74</v>
      </c>
      <c r="AZ224" t="s">
        <v>660</v>
      </c>
      <c r="BA224" t="s">
        <v>74</v>
      </c>
      <c r="BB224">
        <v>3</v>
      </c>
      <c r="BC224">
        <v>16</v>
      </c>
      <c r="BD224" t="s">
        <v>74</v>
      </c>
      <c r="BE224" t="s">
        <v>4724</v>
      </c>
      <c r="BF224" t="str">
        <f>HYPERLINK("http://dx.doi.org/10.1016/j.stamet.2013.01.002","http://dx.doi.org/10.1016/j.stamet.2013.01.002")</f>
        <v>http://dx.doi.org/10.1016/j.stamet.2013.01.002</v>
      </c>
      <c r="BG224" t="s">
        <v>74</v>
      </c>
      <c r="BH224" t="s">
        <v>74</v>
      </c>
      <c r="BI224">
        <v>14</v>
      </c>
      <c r="BJ224" t="s">
        <v>4725</v>
      </c>
      <c r="BK224" t="s">
        <v>101</v>
      </c>
      <c r="BL224" t="s">
        <v>3713</v>
      </c>
      <c r="BM224" t="s">
        <v>4726</v>
      </c>
      <c r="BN224" t="s">
        <v>74</v>
      </c>
      <c r="BO224" t="s">
        <v>74</v>
      </c>
      <c r="BP224" t="s">
        <v>74</v>
      </c>
      <c r="BQ224" t="s">
        <v>74</v>
      </c>
      <c r="BR224" t="s">
        <v>104</v>
      </c>
      <c r="BS224" t="s">
        <v>4727</v>
      </c>
      <c r="BT224" t="str">
        <f>HYPERLINK("https%3A%2F%2Fwww.webofscience.com%2Fwos%2Fwoscc%2Ffull-record%2FWOS:000329416300002","View Full Record in Web of Science")</f>
        <v>View Full Record in Web of Science</v>
      </c>
    </row>
    <row r="225" spans="1:72" x14ac:dyDescent="0.15">
      <c r="A225" t="s">
        <v>72</v>
      </c>
      <c r="B225" t="s">
        <v>4728</v>
      </c>
      <c r="C225" t="s">
        <v>74</v>
      </c>
      <c r="D225" t="s">
        <v>74</v>
      </c>
      <c r="E225" t="s">
        <v>74</v>
      </c>
      <c r="F225" t="s">
        <v>4729</v>
      </c>
      <c r="G225" t="s">
        <v>74</v>
      </c>
      <c r="H225" t="s">
        <v>74</v>
      </c>
      <c r="I225" t="s">
        <v>4730</v>
      </c>
      <c r="J225" t="s">
        <v>1588</v>
      </c>
      <c r="K225" t="s">
        <v>74</v>
      </c>
      <c r="L225" t="s">
        <v>74</v>
      </c>
      <c r="M225" t="s">
        <v>78</v>
      </c>
      <c r="N225" t="s">
        <v>79</v>
      </c>
      <c r="O225" t="s">
        <v>74</v>
      </c>
      <c r="P225" t="s">
        <v>74</v>
      </c>
      <c r="Q225" t="s">
        <v>74</v>
      </c>
      <c r="R225" t="s">
        <v>74</v>
      </c>
      <c r="S225" t="s">
        <v>74</v>
      </c>
      <c r="T225" t="s">
        <v>4731</v>
      </c>
      <c r="U225" t="s">
        <v>4732</v>
      </c>
      <c r="V225" t="s">
        <v>4733</v>
      </c>
      <c r="W225" t="s">
        <v>4734</v>
      </c>
      <c r="X225" t="s">
        <v>4735</v>
      </c>
      <c r="Y225" t="s">
        <v>4736</v>
      </c>
      <c r="Z225" t="s">
        <v>4737</v>
      </c>
      <c r="AA225" t="s">
        <v>4738</v>
      </c>
      <c r="AB225" t="s">
        <v>4739</v>
      </c>
      <c r="AC225" t="s">
        <v>4740</v>
      </c>
      <c r="AD225" t="s">
        <v>4741</v>
      </c>
      <c r="AE225" t="s">
        <v>4742</v>
      </c>
      <c r="AF225" t="s">
        <v>74</v>
      </c>
      <c r="AG225">
        <v>39</v>
      </c>
      <c r="AH225">
        <v>35</v>
      </c>
      <c r="AI225">
        <v>39</v>
      </c>
      <c r="AJ225">
        <v>0</v>
      </c>
      <c r="AK225">
        <v>24</v>
      </c>
      <c r="AL225" t="s">
        <v>568</v>
      </c>
      <c r="AM225" t="s">
        <v>447</v>
      </c>
      <c r="AN225" t="s">
        <v>569</v>
      </c>
      <c r="AO225" t="s">
        <v>1601</v>
      </c>
      <c r="AP225" t="s">
        <v>1602</v>
      </c>
      <c r="AQ225" t="s">
        <v>74</v>
      </c>
      <c r="AR225" t="s">
        <v>1603</v>
      </c>
      <c r="AS225" t="s">
        <v>1604</v>
      </c>
      <c r="AT225" t="s">
        <v>4743</v>
      </c>
      <c r="AU225">
        <v>2014</v>
      </c>
      <c r="AV225">
        <v>41</v>
      </c>
      <c r="AW225">
        <v>4</v>
      </c>
      <c r="AX225" t="s">
        <v>74</v>
      </c>
      <c r="AY225" t="s">
        <v>74</v>
      </c>
      <c r="AZ225" t="s">
        <v>74</v>
      </c>
      <c r="BA225" t="s">
        <v>74</v>
      </c>
      <c r="BB225">
        <v>1209</v>
      </c>
      <c r="BC225">
        <v>1215</v>
      </c>
      <c r="BD225" t="s">
        <v>74</v>
      </c>
      <c r="BE225" t="s">
        <v>4744</v>
      </c>
      <c r="BF225" t="str">
        <f>HYPERLINK("http://dx.doi.org/10.1002/2013GL058947","http://dx.doi.org/10.1002/2013GL058947")</f>
        <v>http://dx.doi.org/10.1002/2013GL058947</v>
      </c>
      <c r="BG225" t="s">
        <v>74</v>
      </c>
      <c r="BH225" t="s">
        <v>74</v>
      </c>
      <c r="BI225">
        <v>7</v>
      </c>
      <c r="BJ225" t="s">
        <v>952</v>
      </c>
      <c r="BK225" t="s">
        <v>101</v>
      </c>
      <c r="BL225" t="s">
        <v>597</v>
      </c>
      <c r="BM225" t="s">
        <v>4745</v>
      </c>
      <c r="BN225" t="s">
        <v>74</v>
      </c>
      <c r="BO225" t="s">
        <v>74</v>
      </c>
      <c r="BP225" t="s">
        <v>74</v>
      </c>
      <c r="BQ225" t="s">
        <v>74</v>
      </c>
      <c r="BR225" t="s">
        <v>104</v>
      </c>
      <c r="BS225" t="s">
        <v>4746</v>
      </c>
      <c r="BT225" t="str">
        <f>HYPERLINK("https%3A%2F%2Fwww.webofscience.com%2Fwos%2Fwoscc%2Ffull-record%2FWOS:000333022700019","View Full Record in Web of Science")</f>
        <v>View Full Record in Web of Science</v>
      </c>
    </row>
    <row r="226" spans="1:72" x14ac:dyDescent="0.15">
      <c r="A226" t="s">
        <v>72</v>
      </c>
      <c r="B226" t="s">
        <v>4747</v>
      </c>
      <c r="C226" t="s">
        <v>74</v>
      </c>
      <c r="D226" t="s">
        <v>74</v>
      </c>
      <c r="E226" t="s">
        <v>74</v>
      </c>
      <c r="F226" t="s">
        <v>4748</v>
      </c>
      <c r="G226" t="s">
        <v>74</v>
      </c>
      <c r="H226" t="s">
        <v>74</v>
      </c>
      <c r="I226" t="s">
        <v>4749</v>
      </c>
      <c r="J226" t="s">
        <v>1588</v>
      </c>
      <c r="K226" t="s">
        <v>74</v>
      </c>
      <c r="L226" t="s">
        <v>74</v>
      </c>
      <c r="M226" t="s">
        <v>78</v>
      </c>
      <c r="N226" t="s">
        <v>79</v>
      </c>
      <c r="O226" t="s">
        <v>74</v>
      </c>
      <c r="P226" t="s">
        <v>74</v>
      </c>
      <c r="Q226" t="s">
        <v>74</v>
      </c>
      <c r="R226" t="s">
        <v>74</v>
      </c>
      <c r="S226" t="s">
        <v>74</v>
      </c>
      <c r="T226" t="s">
        <v>4750</v>
      </c>
      <c r="U226" t="s">
        <v>4751</v>
      </c>
      <c r="V226" t="s">
        <v>4752</v>
      </c>
      <c r="W226" t="s">
        <v>4753</v>
      </c>
      <c r="X226" t="s">
        <v>4754</v>
      </c>
      <c r="Y226" t="s">
        <v>4755</v>
      </c>
      <c r="Z226" t="s">
        <v>4756</v>
      </c>
      <c r="AA226" t="s">
        <v>4757</v>
      </c>
      <c r="AB226" t="s">
        <v>4758</v>
      </c>
      <c r="AC226" t="s">
        <v>4759</v>
      </c>
      <c r="AD226" t="s">
        <v>4760</v>
      </c>
      <c r="AE226" t="s">
        <v>4761</v>
      </c>
      <c r="AF226" t="s">
        <v>74</v>
      </c>
      <c r="AG226">
        <v>24</v>
      </c>
      <c r="AH226">
        <v>14</v>
      </c>
      <c r="AI226">
        <v>14</v>
      </c>
      <c r="AJ226">
        <v>1</v>
      </c>
      <c r="AK226">
        <v>16</v>
      </c>
      <c r="AL226" t="s">
        <v>568</v>
      </c>
      <c r="AM226" t="s">
        <v>447</v>
      </c>
      <c r="AN226" t="s">
        <v>569</v>
      </c>
      <c r="AO226" t="s">
        <v>1601</v>
      </c>
      <c r="AP226" t="s">
        <v>1602</v>
      </c>
      <c r="AQ226" t="s">
        <v>74</v>
      </c>
      <c r="AR226" t="s">
        <v>1603</v>
      </c>
      <c r="AS226" t="s">
        <v>1604</v>
      </c>
      <c r="AT226" t="s">
        <v>4743</v>
      </c>
      <c r="AU226">
        <v>2014</v>
      </c>
      <c r="AV226">
        <v>41</v>
      </c>
      <c r="AW226">
        <v>4</v>
      </c>
      <c r="AX226" t="s">
        <v>74</v>
      </c>
      <c r="AY226" t="s">
        <v>74</v>
      </c>
      <c r="AZ226" t="s">
        <v>74</v>
      </c>
      <c r="BA226" t="s">
        <v>74</v>
      </c>
      <c r="BB226">
        <v>1247</v>
      </c>
      <c r="BC226">
        <v>1254</v>
      </c>
      <c r="BD226" t="s">
        <v>74</v>
      </c>
      <c r="BE226" t="s">
        <v>4762</v>
      </c>
      <c r="BF226" t="str">
        <f>HYPERLINK("http://dx.doi.org/10.1002/2013GL059153","http://dx.doi.org/10.1002/2013GL059153")</f>
        <v>http://dx.doi.org/10.1002/2013GL059153</v>
      </c>
      <c r="BG226" t="s">
        <v>74</v>
      </c>
      <c r="BH226" t="s">
        <v>74</v>
      </c>
      <c r="BI226">
        <v>8</v>
      </c>
      <c r="BJ226" t="s">
        <v>952</v>
      </c>
      <c r="BK226" t="s">
        <v>101</v>
      </c>
      <c r="BL226" t="s">
        <v>597</v>
      </c>
      <c r="BM226" t="s">
        <v>4745</v>
      </c>
      <c r="BN226" t="s">
        <v>74</v>
      </c>
      <c r="BO226" t="s">
        <v>200</v>
      </c>
      <c r="BP226" t="s">
        <v>74</v>
      </c>
      <c r="BQ226" t="s">
        <v>74</v>
      </c>
      <c r="BR226" t="s">
        <v>104</v>
      </c>
      <c r="BS226" t="s">
        <v>4763</v>
      </c>
      <c r="BT226" t="str">
        <f>HYPERLINK("https%3A%2F%2Fwww.webofscience.com%2Fwos%2Fwoscc%2Ffull-record%2FWOS:000333022700024","View Full Record in Web of Science")</f>
        <v>View Full Record in Web of Science</v>
      </c>
    </row>
    <row r="227" spans="1:72" x14ac:dyDescent="0.15">
      <c r="A227" t="s">
        <v>72</v>
      </c>
      <c r="B227" t="s">
        <v>4764</v>
      </c>
      <c r="C227" t="s">
        <v>74</v>
      </c>
      <c r="D227" t="s">
        <v>74</v>
      </c>
      <c r="E227" t="s">
        <v>74</v>
      </c>
      <c r="F227" t="s">
        <v>4765</v>
      </c>
      <c r="G227" t="s">
        <v>74</v>
      </c>
      <c r="H227" t="s">
        <v>74</v>
      </c>
      <c r="I227" t="s">
        <v>4766</v>
      </c>
      <c r="J227" t="s">
        <v>1588</v>
      </c>
      <c r="K227" t="s">
        <v>74</v>
      </c>
      <c r="L227" t="s">
        <v>74</v>
      </c>
      <c r="M227" t="s">
        <v>78</v>
      </c>
      <c r="N227" t="s">
        <v>79</v>
      </c>
      <c r="O227" t="s">
        <v>74</v>
      </c>
      <c r="P227" t="s">
        <v>74</v>
      </c>
      <c r="Q227" t="s">
        <v>74</v>
      </c>
      <c r="R227" t="s">
        <v>74</v>
      </c>
      <c r="S227" t="s">
        <v>74</v>
      </c>
      <c r="T227" t="s">
        <v>4767</v>
      </c>
      <c r="U227" t="s">
        <v>4768</v>
      </c>
      <c r="V227" t="s">
        <v>4769</v>
      </c>
      <c r="W227" t="s">
        <v>4770</v>
      </c>
      <c r="X227" t="s">
        <v>4771</v>
      </c>
      <c r="Y227" t="s">
        <v>4772</v>
      </c>
      <c r="Z227" t="s">
        <v>4773</v>
      </c>
      <c r="AA227" t="s">
        <v>4774</v>
      </c>
      <c r="AB227" t="s">
        <v>4775</v>
      </c>
      <c r="AC227" t="s">
        <v>4776</v>
      </c>
      <c r="AD227" t="s">
        <v>4777</v>
      </c>
      <c r="AE227" t="s">
        <v>4778</v>
      </c>
      <c r="AF227" t="s">
        <v>74</v>
      </c>
      <c r="AG227">
        <v>26</v>
      </c>
      <c r="AH227">
        <v>10</v>
      </c>
      <c r="AI227">
        <v>10</v>
      </c>
      <c r="AJ227">
        <v>0</v>
      </c>
      <c r="AK227">
        <v>12</v>
      </c>
      <c r="AL227" t="s">
        <v>568</v>
      </c>
      <c r="AM227" t="s">
        <v>447</v>
      </c>
      <c r="AN227" t="s">
        <v>569</v>
      </c>
      <c r="AO227" t="s">
        <v>1601</v>
      </c>
      <c r="AP227" t="s">
        <v>1602</v>
      </c>
      <c r="AQ227" t="s">
        <v>74</v>
      </c>
      <c r="AR227" t="s">
        <v>1603</v>
      </c>
      <c r="AS227" t="s">
        <v>1604</v>
      </c>
      <c r="AT227" t="s">
        <v>4743</v>
      </c>
      <c r="AU227">
        <v>2014</v>
      </c>
      <c r="AV227">
        <v>41</v>
      </c>
      <c r="AW227">
        <v>4</v>
      </c>
      <c r="AX227" t="s">
        <v>74</v>
      </c>
      <c r="AY227" t="s">
        <v>74</v>
      </c>
      <c r="AZ227" t="s">
        <v>74</v>
      </c>
      <c r="BA227" t="s">
        <v>74</v>
      </c>
      <c r="BB227">
        <v>1232</v>
      </c>
      <c r="BC227">
        <v>1237</v>
      </c>
      <c r="BD227" t="s">
        <v>74</v>
      </c>
      <c r="BE227" t="s">
        <v>4779</v>
      </c>
      <c r="BF227" t="str">
        <f>HYPERLINK("http://dx.doi.org/10.1002/2013GL058638","http://dx.doi.org/10.1002/2013GL058638")</f>
        <v>http://dx.doi.org/10.1002/2013GL058638</v>
      </c>
      <c r="BG227" t="s">
        <v>74</v>
      </c>
      <c r="BH227" t="s">
        <v>74</v>
      </c>
      <c r="BI227">
        <v>6</v>
      </c>
      <c r="BJ227" t="s">
        <v>952</v>
      </c>
      <c r="BK227" t="s">
        <v>101</v>
      </c>
      <c r="BL227" t="s">
        <v>597</v>
      </c>
      <c r="BM227" t="s">
        <v>4745</v>
      </c>
      <c r="BN227" t="s">
        <v>74</v>
      </c>
      <c r="BO227" t="s">
        <v>4780</v>
      </c>
      <c r="BP227" t="s">
        <v>74</v>
      </c>
      <c r="BQ227" t="s">
        <v>74</v>
      </c>
      <c r="BR227" t="s">
        <v>104</v>
      </c>
      <c r="BS227" t="s">
        <v>4781</v>
      </c>
      <c r="BT227" t="str">
        <f>HYPERLINK("https%3A%2F%2Fwww.webofscience.com%2Fwos%2Fwoscc%2Ffull-record%2FWOS:000333022700022","View Full Record in Web of Science")</f>
        <v>View Full Record in Web of Science</v>
      </c>
    </row>
    <row r="228" spans="1:72" x14ac:dyDescent="0.15">
      <c r="A228" t="s">
        <v>72</v>
      </c>
      <c r="B228" t="s">
        <v>4782</v>
      </c>
      <c r="C228" t="s">
        <v>74</v>
      </c>
      <c r="D228" t="s">
        <v>74</v>
      </c>
      <c r="E228" t="s">
        <v>74</v>
      </c>
      <c r="F228" t="s">
        <v>4783</v>
      </c>
      <c r="G228" t="s">
        <v>74</v>
      </c>
      <c r="H228" t="s">
        <v>74</v>
      </c>
      <c r="I228" t="s">
        <v>4784</v>
      </c>
      <c r="J228" t="s">
        <v>1588</v>
      </c>
      <c r="K228" t="s">
        <v>74</v>
      </c>
      <c r="L228" t="s">
        <v>74</v>
      </c>
      <c r="M228" t="s">
        <v>78</v>
      </c>
      <c r="N228" t="s">
        <v>79</v>
      </c>
      <c r="O228" t="s">
        <v>74</v>
      </c>
      <c r="P228" t="s">
        <v>74</v>
      </c>
      <c r="Q228" t="s">
        <v>74</v>
      </c>
      <c r="R228" t="s">
        <v>74</v>
      </c>
      <c r="S228" t="s">
        <v>74</v>
      </c>
      <c r="T228" t="s">
        <v>4785</v>
      </c>
      <c r="U228" t="s">
        <v>4786</v>
      </c>
      <c r="V228" t="s">
        <v>4787</v>
      </c>
      <c r="W228" t="s">
        <v>4788</v>
      </c>
      <c r="X228" t="s">
        <v>4789</v>
      </c>
      <c r="Y228" t="s">
        <v>4790</v>
      </c>
      <c r="Z228" t="s">
        <v>4791</v>
      </c>
      <c r="AA228" t="s">
        <v>4792</v>
      </c>
      <c r="AB228" t="s">
        <v>4793</v>
      </c>
      <c r="AC228" t="s">
        <v>4794</v>
      </c>
      <c r="AD228" t="s">
        <v>4795</v>
      </c>
      <c r="AE228" t="s">
        <v>4796</v>
      </c>
      <c r="AF228" t="s">
        <v>74</v>
      </c>
      <c r="AG228">
        <v>36</v>
      </c>
      <c r="AH228">
        <v>7</v>
      </c>
      <c r="AI228">
        <v>7</v>
      </c>
      <c r="AJ228">
        <v>0</v>
      </c>
      <c r="AK228">
        <v>27</v>
      </c>
      <c r="AL228" t="s">
        <v>568</v>
      </c>
      <c r="AM228" t="s">
        <v>447</v>
      </c>
      <c r="AN228" t="s">
        <v>569</v>
      </c>
      <c r="AO228" t="s">
        <v>1601</v>
      </c>
      <c r="AP228" t="s">
        <v>1602</v>
      </c>
      <c r="AQ228" t="s">
        <v>74</v>
      </c>
      <c r="AR228" t="s">
        <v>1603</v>
      </c>
      <c r="AS228" t="s">
        <v>1604</v>
      </c>
      <c r="AT228" t="s">
        <v>4743</v>
      </c>
      <c r="AU228">
        <v>2014</v>
      </c>
      <c r="AV228">
        <v>41</v>
      </c>
      <c r="AW228">
        <v>4</v>
      </c>
      <c r="AX228" t="s">
        <v>74</v>
      </c>
      <c r="AY228" t="s">
        <v>74</v>
      </c>
      <c r="AZ228" t="s">
        <v>74</v>
      </c>
      <c r="BA228" t="s">
        <v>74</v>
      </c>
      <c r="BB228">
        <v>1269</v>
      </c>
      <c r="BC228">
        <v>1276</v>
      </c>
      <c r="BD228" t="s">
        <v>74</v>
      </c>
      <c r="BE228" t="s">
        <v>4797</v>
      </c>
      <c r="BF228" t="str">
        <f>HYPERLINK("http://dx.doi.org/10.1002/2013GL058994","http://dx.doi.org/10.1002/2013GL058994")</f>
        <v>http://dx.doi.org/10.1002/2013GL058994</v>
      </c>
      <c r="BG228" t="s">
        <v>74</v>
      </c>
      <c r="BH228" t="s">
        <v>74</v>
      </c>
      <c r="BI228">
        <v>8</v>
      </c>
      <c r="BJ228" t="s">
        <v>952</v>
      </c>
      <c r="BK228" t="s">
        <v>101</v>
      </c>
      <c r="BL228" t="s">
        <v>597</v>
      </c>
      <c r="BM228" t="s">
        <v>4745</v>
      </c>
      <c r="BN228" t="s">
        <v>74</v>
      </c>
      <c r="BO228" t="s">
        <v>74</v>
      </c>
      <c r="BP228" t="s">
        <v>74</v>
      </c>
      <c r="BQ228" t="s">
        <v>74</v>
      </c>
      <c r="BR228" t="s">
        <v>104</v>
      </c>
      <c r="BS228" t="s">
        <v>4798</v>
      </c>
      <c r="BT228" t="str">
        <f>HYPERLINK("https%3A%2F%2Fwww.webofscience.com%2Fwos%2Fwoscc%2Ffull-record%2FWOS:000333022700027","View Full Record in Web of Science")</f>
        <v>View Full Record in Web of Science</v>
      </c>
    </row>
    <row r="229" spans="1:72" x14ac:dyDescent="0.15">
      <c r="A229" t="s">
        <v>72</v>
      </c>
      <c r="B229" t="s">
        <v>4799</v>
      </c>
      <c r="C229" t="s">
        <v>74</v>
      </c>
      <c r="D229" t="s">
        <v>74</v>
      </c>
      <c r="E229" t="s">
        <v>74</v>
      </c>
      <c r="F229" t="s">
        <v>4800</v>
      </c>
      <c r="G229" t="s">
        <v>74</v>
      </c>
      <c r="H229" t="s">
        <v>74</v>
      </c>
      <c r="I229" t="s">
        <v>4801</v>
      </c>
      <c r="J229" t="s">
        <v>4802</v>
      </c>
      <c r="K229" t="s">
        <v>74</v>
      </c>
      <c r="L229" t="s">
        <v>74</v>
      </c>
      <c r="M229" t="s">
        <v>78</v>
      </c>
      <c r="N229" t="s">
        <v>79</v>
      </c>
      <c r="O229" t="s">
        <v>74</v>
      </c>
      <c r="P229" t="s">
        <v>74</v>
      </c>
      <c r="Q229" t="s">
        <v>74</v>
      </c>
      <c r="R229" t="s">
        <v>74</v>
      </c>
      <c r="S229" t="s">
        <v>74</v>
      </c>
      <c r="T229" t="s">
        <v>74</v>
      </c>
      <c r="U229" t="s">
        <v>4803</v>
      </c>
      <c r="V229" t="s">
        <v>4804</v>
      </c>
      <c r="W229" t="s">
        <v>4805</v>
      </c>
      <c r="X229" t="s">
        <v>4806</v>
      </c>
      <c r="Y229" t="s">
        <v>4807</v>
      </c>
      <c r="Z229" t="s">
        <v>4808</v>
      </c>
      <c r="AA229" t="s">
        <v>4809</v>
      </c>
      <c r="AB229" t="s">
        <v>4810</v>
      </c>
      <c r="AC229" t="s">
        <v>4811</v>
      </c>
      <c r="AD229" t="s">
        <v>4812</v>
      </c>
      <c r="AE229" t="s">
        <v>4813</v>
      </c>
      <c r="AF229" t="s">
        <v>74</v>
      </c>
      <c r="AG229">
        <v>30</v>
      </c>
      <c r="AH229">
        <v>58</v>
      </c>
      <c r="AI229">
        <v>67</v>
      </c>
      <c r="AJ229">
        <v>0</v>
      </c>
      <c r="AK229">
        <v>38</v>
      </c>
      <c r="AL229" t="s">
        <v>4814</v>
      </c>
      <c r="AM229" t="s">
        <v>447</v>
      </c>
      <c r="AN229" t="s">
        <v>4815</v>
      </c>
      <c r="AO229" t="s">
        <v>4816</v>
      </c>
      <c r="AP229" t="s">
        <v>4817</v>
      </c>
      <c r="AQ229" t="s">
        <v>74</v>
      </c>
      <c r="AR229" t="s">
        <v>4802</v>
      </c>
      <c r="AS229" t="s">
        <v>4818</v>
      </c>
      <c r="AT229" t="s">
        <v>4743</v>
      </c>
      <c r="AU229">
        <v>2014</v>
      </c>
      <c r="AV229">
        <v>343</v>
      </c>
      <c r="AW229">
        <v>6174</v>
      </c>
      <c r="AX229" t="s">
        <v>74</v>
      </c>
      <c r="AY229" t="s">
        <v>74</v>
      </c>
      <c r="AZ229" t="s">
        <v>74</v>
      </c>
      <c r="BA229" t="s">
        <v>74</v>
      </c>
      <c r="BB229">
        <v>999</v>
      </c>
      <c r="BC229">
        <v>1001</v>
      </c>
      <c r="BD229" t="s">
        <v>74</v>
      </c>
      <c r="BE229" t="s">
        <v>4819</v>
      </c>
      <c r="BF229" t="str">
        <f>HYPERLINK("http://dx.doi.org/10.1126/science.1247385","http://dx.doi.org/10.1126/science.1247385")</f>
        <v>http://dx.doi.org/10.1126/science.1247385</v>
      </c>
      <c r="BG229" t="s">
        <v>74</v>
      </c>
      <c r="BH229" t="s">
        <v>74</v>
      </c>
      <c r="BI229">
        <v>3</v>
      </c>
      <c r="BJ229" t="s">
        <v>1100</v>
      </c>
      <c r="BK229" t="s">
        <v>101</v>
      </c>
      <c r="BL229" t="s">
        <v>1101</v>
      </c>
      <c r="BM229" t="s">
        <v>4820</v>
      </c>
      <c r="BN229">
        <v>24557837</v>
      </c>
      <c r="BO229" t="s">
        <v>4821</v>
      </c>
      <c r="BP229" t="s">
        <v>74</v>
      </c>
      <c r="BQ229" t="s">
        <v>74</v>
      </c>
      <c r="BR229" t="s">
        <v>104</v>
      </c>
      <c r="BS229" t="s">
        <v>4822</v>
      </c>
      <c r="BT229" t="str">
        <f>HYPERLINK("https%3A%2F%2Fwww.webofscience.com%2Fwos%2Fwoscc%2Ffull-record%2FWOS:000332309600039","View Full Record in Web of Science")</f>
        <v>View Full Record in Web of Science</v>
      </c>
    </row>
    <row r="230" spans="1:72" x14ac:dyDescent="0.15">
      <c r="A230" t="s">
        <v>72</v>
      </c>
      <c r="B230" t="s">
        <v>4823</v>
      </c>
      <c r="C230" t="s">
        <v>74</v>
      </c>
      <c r="D230" t="s">
        <v>74</v>
      </c>
      <c r="E230" t="s">
        <v>74</v>
      </c>
      <c r="F230" t="s">
        <v>4824</v>
      </c>
      <c r="G230" t="s">
        <v>74</v>
      </c>
      <c r="H230" t="s">
        <v>74</v>
      </c>
      <c r="I230" t="s">
        <v>4825</v>
      </c>
      <c r="J230" t="s">
        <v>2138</v>
      </c>
      <c r="K230" t="s">
        <v>74</v>
      </c>
      <c r="L230" t="s">
        <v>74</v>
      </c>
      <c r="M230" t="s">
        <v>78</v>
      </c>
      <c r="N230" t="s">
        <v>79</v>
      </c>
      <c r="O230" t="s">
        <v>74</v>
      </c>
      <c r="P230" t="s">
        <v>74</v>
      </c>
      <c r="Q230" t="s">
        <v>74</v>
      </c>
      <c r="R230" t="s">
        <v>74</v>
      </c>
      <c r="S230" t="s">
        <v>74</v>
      </c>
      <c r="T230" t="s">
        <v>74</v>
      </c>
      <c r="U230" t="s">
        <v>4826</v>
      </c>
      <c r="V230" t="s">
        <v>4827</v>
      </c>
      <c r="W230" t="s">
        <v>4828</v>
      </c>
      <c r="X230" t="s">
        <v>4829</v>
      </c>
      <c r="Y230" t="s">
        <v>4830</v>
      </c>
      <c r="Z230" t="s">
        <v>4831</v>
      </c>
      <c r="AA230" t="s">
        <v>4832</v>
      </c>
      <c r="AB230" t="s">
        <v>4833</v>
      </c>
      <c r="AC230" t="s">
        <v>4834</v>
      </c>
      <c r="AD230" t="s">
        <v>4835</v>
      </c>
      <c r="AE230" t="s">
        <v>4836</v>
      </c>
      <c r="AF230" t="s">
        <v>74</v>
      </c>
      <c r="AG230">
        <v>55</v>
      </c>
      <c r="AH230">
        <v>14</v>
      </c>
      <c r="AI230">
        <v>20</v>
      </c>
      <c r="AJ230">
        <v>2</v>
      </c>
      <c r="AK230">
        <v>49</v>
      </c>
      <c r="AL230" t="s">
        <v>2150</v>
      </c>
      <c r="AM230" t="s">
        <v>2151</v>
      </c>
      <c r="AN230" t="s">
        <v>2152</v>
      </c>
      <c r="AO230" t="s">
        <v>2153</v>
      </c>
      <c r="AP230" t="s">
        <v>74</v>
      </c>
      <c r="AQ230" t="s">
        <v>74</v>
      </c>
      <c r="AR230" t="s">
        <v>2154</v>
      </c>
      <c r="AS230" t="s">
        <v>2155</v>
      </c>
      <c r="AT230" t="s">
        <v>4837</v>
      </c>
      <c r="AU230">
        <v>2014</v>
      </c>
      <c r="AV230">
        <v>4</v>
      </c>
      <c r="AW230" t="s">
        <v>74</v>
      </c>
      <c r="AX230" t="s">
        <v>74</v>
      </c>
      <c r="AY230" t="s">
        <v>74</v>
      </c>
      <c r="AZ230" t="s">
        <v>74</v>
      </c>
      <c r="BA230" t="s">
        <v>74</v>
      </c>
      <c r="BB230" t="s">
        <v>74</v>
      </c>
      <c r="BC230" t="s">
        <v>74</v>
      </c>
      <c r="BD230">
        <v>4187</v>
      </c>
      <c r="BE230" t="s">
        <v>4838</v>
      </c>
      <c r="BF230" t="str">
        <f>HYPERLINK("http://dx.doi.org/10.1038/srep04187","http://dx.doi.org/10.1038/srep04187")</f>
        <v>http://dx.doi.org/10.1038/srep04187</v>
      </c>
      <c r="BG230" t="s">
        <v>74</v>
      </c>
      <c r="BH230" t="s">
        <v>74</v>
      </c>
      <c r="BI230">
        <v>6</v>
      </c>
      <c r="BJ230" t="s">
        <v>1100</v>
      </c>
      <c r="BK230" t="s">
        <v>101</v>
      </c>
      <c r="BL230" t="s">
        <v>1101</v>
      </c>
      <c r="BM230" t="s">
        <v>4839</v>
      </c>
      <c r="BN230">
        <v>24569646</v>
      </c>
      <c r="BO230" t="s">
        <v>4840</v>
      </c>
      <c r="BP230" t="s">
        <v>74</v>
      </c>
      <c r="BQ230" t="s">
        <v>74</v>
      </c>
      <c r="BR230" t="s">
        <v>104</v>
      </c>
      <c r="BS230" t="s">
        <v>4841</v>
      </c>
      <c r="BT230" t="str">
        <f>HYPERLINK("https%3A%2F%2Fwww.webofscience.com%2Fwos%2Fwoscc%2Ffull-record%2FWOS:000331888400002","View Full Record in Web of Science")</f>
        <v>View Full Record in Web of Science</v>
      </c>
    </row>
    <row r="231" spans="1:72" x14ac:dyDescent="0.15">
      <c r="A231" t="s">
        <v>72</v>
      </c>
      <c r="B231" t="s">
        <v>4842</v>
      </c>
      <c r="C231" t="s">
        <v>74</v>
      </c>
      <c r="D231" t="s">
        <v>74</v>
      </c>
      <c r="E231" t="s">
        <v>74</v>
      </c>
      <c r="F231" t="s">
        <v>4843</v>
      </c>
      <c r="G231" t="s">
        <v>74</v>
      </c>
      <c r="H231" t="s">
        <v>74</v>
      </c>
      <c r="I231" t="s">
        <v>4844</v>
      </c>
      <c r="J231" t="s">
        <v>1743</v>
      </c>
      <c r="K231" t="s">
        <v>74</v>
      </c>
      <c r="L231" t="s">
        <v>74</v>
      </c>
      <c r="M231" t="s">
        <v>78</v>
      </c>
      <c r="N231" t="s">
        <v>79</v>
      </c>
      <c r="O231" t="s">
        <v>74</v>
      </c>
      <c r="P231" t="s">
        <v>74</v>
      </c>
      <c r="Q231" t="s">
        <v>74</v>
      </c>
      <c r="R231" t="s">
        <v>74</v>
      </c>
      <c r="S231" t="s">
        <v>74</v>
      </c>
      <c r="T231" t="s">
        <v>4845</v>
      </c>
      <c r="U231" t="s">
        <v>4846</v>
      </c>
      <c r="V231" t="s">
        <v>4847</v>
      </c>
      <c r="W231" t="s">
        <v>4848</v>
      </c>
      <c r="X231" t="s">
        <v>2706</v>
      </c>
      <c r="Y231" t="s">
        <v>4849</v>
      </c>
      <c r="Z231" t="s">
        <v>4850</v>
      </c>
      <c r="AA231" t="s">
        <v>4851</v>
      </c>
      <c r="AB231" t="s">
        <v>4852</v>
      </c>
      <c r="AC231" t="s">
        <v>4853</v>
      </c>
      <c r="AD231" t="s">
        <v>4853</v>
      </c>
      <c r="AE231" t="s">
        <v>4854</v>
      </c>
      <c r="AF231" t="s">
        <v>74</v>
      </c>
      <c r="AG231">
        <v>39</v>
      </c>
      <c r="AH231">
        <v>8</v>
      </c>
      <c r="AI231">
        <v>8</v>
      </c>
      <c r="AJ231">
        <v>0</v>
      </c>
      <c r="AK231">
        <v>4</v>
      </c>
      <c r="AL231" t="s">
        <v>1756</v>
      </c>
      <c r="AM231" t="s">
        <v>1757</v>
      </c>
      <c r="AN231" t="s">
        <v>1758</v>
      </c>
      <c r="AO231" t="s">
        <v>1759</v>
      </c>
      <c r="AP231" t="s">
        <v>74</v>
      </c>
      <c r="AQ231" t="s">
        <v>74</v>
      </c>
      <c r="AR231" t="s">
        <v>1760</v>
      </c>
      <c r="AS231" t="s">
        <v>1761</v>
      </c>
      <c r="AT231" t="s">
        <v>4855</v>
      </c>
      <c r="AU231">
        <v>2014</v>
      </c>
      <c r="AV231">
        <v>106</v>
      </c>
      <c r="AW231">
        <v>4</v>
      </c>
      <c r="AX231" t="s">
        <v>74</v>
      </c>
      <c r="AY231" t="s">
        <v>74</v>
      </c>
      <c r="AZ231" t="s">
        <v>74</v>
      </c>
      <c r="BA231" t="s">
        <v>74</v>
      </c>
      <c r="BB231">
        <v>565</v>
      </c>
      <c r="BC231">
        <v>581</v>
      </c>
      <c r="BD231" t="s">
        <v>74</v>
      </c>
      <c r="BE231" t="s">
        <v>74</v>
      </c>
      <c r="BF231" t="s">
        <v>74</v>
      </c>
      <c r="BG231" t="s">
        <v>74</v>
      </c>
      <c r="BH231" t="s">
        <v>74</v>
      </c>
      <c r="BI231">
        <v>17</v>
      </c>
      <c r="BJ231" t="s">
        <v>1100</v>
      </c>
      <c r="BK231" t="s">
        <v>101</v>
      </c>
      <c r="BL231" t="s">
        <v>1101</v>
      </c>
      <c r="BM231" t="s">
        <v>4856</v>
      </c>
      <c r="BN231" t="s">
        <v>74</v>
      </c>
      <c r="BO231" t="s">
        <v>74</v>
      </c>
      <c r="BP231" t="s">
        <v>74</v>
      </c>
      <c r="BQ231" t="s">
        <v>74</v>
      </c>
      <c r="BR231" t="s">
        <v>104</v>
      </c>
      <c r="BS231" t="s">
        <v>4857</v>
      </c>
      <c r="BT231" t="str">
        <f>HYPERLINK("https%3A%2F%2Fwww.webofscience.com%2Fwos%2Fwoscc%2Ffull-record%2FWOS:000332434200019","View Full Record in Web of Science")</f>
        <v>View Full Record in Web of Science</v>
      </c>
    </row>
    <row r="232" spans="1:72" x14ac:dyDescent="0.15">
      <c r="A232" t="s">
        <v>72</v>
      </c>
      <c r="B232" t="s">
        <v>4858</v>
      </c>
      <c r="C232" t="s">
        <v>74</v>
      </c>
      <c r="D232" t="s">
        <v>74</v>
      </c>
      <c r="E232" t="s">
        <v>74</v>
      </c>
      <c r="F232" t="s">
        <v>4859</v>
      </c>
      <c r="G232" t="s">
        <v>74</v>
      </c>
      <c r="H232" t="s">
        <v>74</v>
      </c>
      <c r="I232" t="s">
        <v>4860</v>
      </c>
      <c r="J232" t="s">
        <v>4861</v>
      </c>
      <c r="K232" t="s">
        <v>74</v>
      </c>
      <c r="L232" t="s">
        <v>74</v>
      </c>
      <c r="M232" t="s">
        <v>78</v>
      </c>
      <c r="N232" t="s">
        <v>79</v>
      </c>
      <c r="O232" t="s">
        <v>74</v>
      </c>
      <c r="P232" t="s">
        <v>74</v>
      </c>
      <c r="Q232" t="s">
        <v>74</v>
      </c>
      <c r="R232" t="s">
        <v>74</v>
      </c>
      <c r="S232" t="s">
        <v>74</v>
      </c>
      <c r="T232" t="s">
        <v>74</v>
      </c>
      <c r="U232" t="s">
        <v>4862</v>
      </c>
      <c r="V232" t="s">
        <v>4863</v>
      </c>
      <c r="W232" t="s">
        <v>4864</v>
      </c>
      <c r="X232" t="s">
        <v>4865</v>
      </c>
      <c r="Y232" t="s">
        <v>4866</v>
      </c>
      <c r="Z232" t="s">
        <v>4867</v>
      </c>
      <c r="AA232" t="s">
        <v>4868</v>
      </c>
      <c r="AB232" t="s">
        <v>4869</v>
      </c>
      <c r="AC232" t="s">
        <v>4870</v>
      </c>
      <c r="AD232" t="s">
        <v>4871</v>
      </c>
      <c r="AE232" t="s">
        <v>4872</v>
      </c>
      <c r="AF232" t="s">
        <v>74</v>
      </c>
      <c r="AG232">
        <v>13</v>
      </c>
      <c r="AH232">
        <v>8</v>
      </c>
      <c r="AI232">
        <v>9</v>
      </c>
      <c r="AJ232">
        <v>0</v>
      </c>
      <c r="AK232">
        <v>9</v>
      </c>
      <c r="AL232" t="s">
        <v>1048</v>
      </c>
      <c r="AM232" t="s">
        <v>522</v>
      </c>
      <c r="AN232" t="s">
        <v>1049</v>
      </c>
      <c r="AO232" t="s">
        <v>4873</v>
      </c>
      <c r="AP232" t="s">
        <v>74</v>
      </c>
      <c r="AQ232" t="s">
        <v>74</v>
      </c>
      <c r="AR232" t="s">
        <v>4874</v>
      </c>
      <c r="AS232" t="s">
        <v>4875</v>
      </c>
      <c r="AT232" t="s">
        <v>4855</v>
      </c>
      <c r="AU232">
        <v>2014</v>
      </c>
      <c r="AV232" t="s">
        <v>74</v>
      </c>
      <c r="AW232" t="s">
        <v>74</v>
      </c>
      <c r="AX232" t="s">
        <v>74</v>
      </c>
      <c r="AY232" t="s">
        <v>74</v>
      </c>
      <c r="AZ232" t="s">
        <v>74</v>
      </c>
      <c r="BA232" t="s">
        <v>74</v>
      </c>
      <c r="BB232" t="s">
        <v>74</v>
      </c>
      <c r="BC232" t="s">
        <v>74</v>
      </c>
      <c r="BD232" t="s">
        <v>4876</v>
      </c>
      <c r="BE232" t="s">
        <v>4877</v>
      </c>
      <c r="BF232" t="str">
        <f>HYPERLINK("http://dx.doi.org/10.1093/database/bau002","http://dx.doi.org/10.1093/database/bau002")</f>
        <v>http://dx.doi.org/10.1093/database/bau002</v>
      </c>
      <c r="BG232" t="s">
        <v>74</v>
      </c>
      <c r="BH232" t="s">
        <v>74</v>
      </c>
      <c r="BI232">
        <v>8</v>
      </c>
      <c r="BJ232" t="s">
        <v>4878</v>
      </c>
      <c r="BK232" t="s">
        <v>101</v>
      </c>
      <c r="BL232" t="s">
        <v>4878</v>
      </c>
      <c r="BM232" t="s">
        <v>4879</v>
      </c>
      <c r="BN232">
        <v>24573879</v>
      </c>
      <c r="BO232" t="s">
        <v>183</v>
      </c>
      <c r="BP232" t="s">
        <v>74</v>
      </c>
      <c r="BQ232" t="s">
        <v>74</v>
      </c>
      <c r="BR232" t="s">
        <v>104</v>
      </c>
      <c r="BS232" t="s">
        <v>4880</v>
      </c>
      <c r="BT232" t="str">
        <f>HYPERLINK("https%3A%2F%2Fwww.webofscience.com%2Fwos%2Fwoscc%2Ffull-record%2FWOS:000334511000001","View Full Record in Web of Science")</f>
        <v>View Full Record in Web of Science</v>
      </c>
    </row>
    <row r="233" spans="1:72" x14ac:dyDescent="0.15">
      <c r="A233" t="s">
        <v>72</v>
      </c>
      <c r="B233" t="s">
        <v>4881</v>
      </c>
      <c r="C233" t="s">
        <v>74</v>
      </c>
      <c r="D233" t="s">
        <v>74</v>
      </c>
      <c r="E233" t="s">
        <v>74</v>
      </c>
      <c r="F233" t="s">
        <v>4882</v>
      </c>
      <c r="G233" t="s">
        <v>74</v>
      </c>
      <c r="H233" t="s">
        <v>74</v>
      </c>
      <c r="I233" t="s">
        <v>4883</v>
      </c>
      <c r="J233" t="s">
        <v>4802</v>
      </c>
      <c r="K233" t="s">
        <v>74</v>
      </c>
      <c r="L233" t="s">
        <v>74</v>
      </c>
      <c r="M233" t="s">
        <v>78</v>
      </c>
      <c r="N233" t="s">
        <v>4884</v>
      </c>
      <c r="O233" t="s">
        <v>74</v>
      </c>
      <c r="P233" t="s">
        <v>74</v>
      </c>
      <c r="Q233" t="s">
        <v>74</v>
      </c>
      <c r="R233" t="s">
        <v>74</v>
      </c>
      <c r="S233" t="s">
        <v>74</v>
      </c>
      <c r="T233" t="s">
        <v>74</v>
      </c>
      <c r="U233" t="s">
        <v>74</v>
      </c>
      <c r="V233" t="s">
        <v>74</v>
      </c>
      <c r="W233" t="s">
        <v>74</v>
      </c>
      <c r="X233" t="s">
        <v>74</v>
      </c>
      <c r="Y233" t="s">
        <v>74</v>
      </c>
      <c r="Z233" t="s">
        <v>74</v>
      </c>
      <c r="AA233" t="s">
        <v>74</v>
      </c>
      <c r="AB233" t="s">
        <v>74</v>
      </c>
      <c r="AC233" t="s">
        <v>74</v>
      </c>
      <c r="AD233" t="s">
        <v>74</v>
      </c>
      <c r="AE233" t="s">
        <v>74</v>
      </c>
      <c r="AF233" t="s">
        <v>74</v>
      </c>
      <c r="AG233">
        <v>0</v>
      </c>
      <c r="AH233">
        <v>0</v>
      </c>
      <c r="AI233">
        <v>0</v>
      </c>
      <c r="AJ233">
        <v>0</v>
      </c>
      <c r="AK233">
        <v>4</v>
      </c>
      <c r="AL233" t="s">
        <v>4814</v>
      </c>
      <c r="AM233" t="s">
        <v>447</v>
      </c>
      <c r="AN233" t="s">
        <v>4815</v>
      </c>
      <c r="AO233" t="s">
        <v>4816</v>
      </c>
      <c r="AP233" t="s">
        <v>4817</v>
      </c>
      <c r="AQ233" t="s">
        <v>74</v>
      </c>
      <c r="AR233" t="s">
        <v>4802</v>
      </c>
      <c r="AS233" t="s">
        <v>4818</v>
      </c>
      <c r="AT233" t="s">
        <v>4885</v>
      </c>
      <c r="AU233">
        <v>2014</v>
      </c>
      <c r="AV233">
        <v>343</v>
      </c>
      <c r="AW233">
        <v>6173</v>
      </c>
      <c r="AX233" t="s">
        <v>74</v>
      </c>
      <c r="AY233" t="s">
        <v>74</v>
      </c>
      <c r="AZ233" t="s">
        <v>74</v>
      </c>
      <c r="BA233" t="s">
        <v>74</v>
      </c>
      <c r="BB233">
        <v>830</v>
      </c>
      <c r="BC233">
        <v>830</v>
      </c>
      <c r="BD233" t="s">
        <v>74</v>
      </c>
      <c r="BE233" t="s">
        <v>4886</v>
      </c>
      <c r="BF233" t="str">
        <f>HYPERLINK("http://dx.doi.org/10.1126/science.343.6173.830","http://dx.doi.org/10.1126/science.343.6173.830")</f>
        <v>http://dx.doi.org/10.1126/science.343.6173.830</v>
      </c>
      <c r="BG233" t="s">
        <v>74</v>
      </c>
      <c r="BH233" t="s">
        <v>74</v>
      </c>
      <c r="BI233">
        <v>1</v>
      </c>
      <c r="BJ233" t="s">
        <v>1100</v>
      </c>
      <c r="BK233" t="s">
        <v>101</v>
      </c>
      <c r="BL233" t="s">
        <v>1101</v>
      </c>
      <c r="BM233" t="s">
        <v>4887</v>
      </c>
      <c r="BN233">
        <v>24558139</v>
      </c>
      <c r="BO233" t="s">
        <v>74</v>
      </c>
      <c r="BP233" t="s">
        <v>74</v>
      </c>
      <c r="BQ233" t="s">
        <v>74</v>
      </c>
      <c r="BR233" t="s">
        <v>104</v>
      </c>
      <c r="BS233" t="s">
        <v>4888</v>
      </c>
      <c r="BT233" t="str">
        <f>HYPERLINK("https%3A%2F%2Fwww.webofscience.com%2Fwos%2Fwoscc%2Ffull-record%2FWOS:000331552600018","View Full Record in Web of Science")</f>
        <v>View Full Record in Web of Science</v>
      </c>
    </row>
    <row r="234" spans="1:72" x14ac:dyDescent="0.15">
      <c r="A234" t="s">
        <v>72</v>
      </c>
      <c r="B234" t="s">
        <v>4889</v>
      </c>
      <c r="C234" t="s">
        <v>74</v>
      </c>
      <c r="D234" t="s">
        <v>74</v>
      </c>
      <c r="E234" t="s">
        <v>74</v>
      </c>
      <c r="F234" t="s">
        <v>4890</v>
      </c>
      <c r="G234" t="s">
        <v>74</v>
      </c>
      <c r="H234" t="s">
        <v>74</v>
      </c>
      <c r="I234" t="s">
        <v>4891</v>
      </c>
      <c r="J234" t="s">
        <v>311</v>
      </c>
      <c r="K234" t="s">
        <v>74</v>
      </c>
      <c r="L234" t="s">
        <v>74</v>
      </c>
      <c r="M234" t="s">
        <v>78</v>
      </c>
      <c r="N234" t="s">
        <v>79</v>
      </c>
      <c r="O234" t="s">
        <v>74</v>
      </c>
      <c r="P234" t="s">
        <v>74</v>
      </c>
      <c r="Q234" t="s">
        <v>74</v>
      </c>
      <c r="R234" t="s">
        <v>74</v>
      </c>
      <c r="S234" t="s">
        <v>74</v>
      </c>
      <c r="T234" t="s">
        <v>4892</v>
      </c>
      <c r="U234" t="s">
        <v>4893</v>
      </c>
      <c r="V234" t="s">
        <v>4894</v>
      </c>
      <c r="W234" t="s">
        <v>4895</v>
      </c>
      <c r="X234" t="s">
        <v>4896</v>
      </c>
      <c r="Y234" t="s">
        <v>4897</v>
      </c>
      <c r="Z234" t="s">
        <v>4898</v>
      </c>
      <c r="AA234" t="s">
        <v>74</v>
      </c>
      <c r="AB234" t="s">
        <v>4899</v>
      </c>
      <c r="AC234" t="s">
        <v>4900</v>
      </c>
      <c r="AD234" t="s">
        <v>4901</v>
      </c>
      <c r="AE234" t="s">
        <v>4902</v>
      </c>
      <c r="AF234" t="s">
        <v>74</v>
      </c>
      <c r="AG234">
        <v>37</v>
      </c>
      <c r="AH234">
        <v>8</v>
      </c>
      <c r="AI234">
        <v>8</v>
      </c>
      <c r="AJ234">
        <v>0</v>
      </c>
      <c r="AK234">
        <v>1</v>
      </c>
      <c r="AL234" t="s">
        <v>323</v>
      </c>
      <c r="AM234" t="s">
        <v>324</v>
      </c>
      <c r="AN234" t="s">
        <v>325</v>
      </c>
      <c r="AO234" t="s">
        <v>326</v>
      </c>
      <c r="AP234" t="s">
        <v>327</v>
      </c>
      <c r="AQ234" t="s">
        <v>74</v>
      </c>
      <c r="AR234" t="s">
        <v>328</v>
      </c>
      <c r="AS234" t="s">
        <v>329</v>
      </c>
      <c r="AT234" t="s">
        <v>4903</v>
      </c>
      <c r="AU234">
        <v>2014</v>
      </c>
      <c r="AV234">
        <v>782</v>
      </c>
      <c r="AW234">
        <v>2</v>
      </c>
      <c r="AX234" t="s">
        <v>74</v>
      </c>
      <c r="AY234" t="s">
        <v>74</v>
      </c>
      <c r="AZ234" t="s">
        <v>74</v>
      </c>
      <c r="BA234" t="s">
        <v>74</v>
      </c>
      <c r="BB234" t="s">
        <v>74</v>
      </c>
      <c r="BC234" t="s">
        <v>74</v>
      </c>
      <c r="BD234">
        <v>72</v>
      </c>
      <c r="BE234" t="s">
        <v>4904</v>
      </c>
      <c r="BF234" t="str">
        <f>HYPERLINK("http://dx.doi.org/10.1088/0004-637X/782/2/72","http://dx.doi.org/10.1088/0004-637X/782/2/72")</f>
        <v>http://dx.doi.org/10.1088/0004-637X/782/2/72</v>
      </c>
      <c r="BG234" t="s">
        <v>74</v>
      </c>
      <c r="BH234" t="s">
        <v>74</v>
      </c>
      <c r="BI234">
        <v>8</v>
      </c>
      <c r="BJ234" t="s">
        <v>332</v>
      </c>
      <c r="BK234" t="s">
        <v>101</v>
      </c>
      <c r="BL234" t="s">
        <v>332</v>
      </c>
      <c r="BM234" t="s">
        <v>4905</v>
      </c>
      <c r="BN234" t="s">
        <v>74</v>
      </c>
      <c r="BO234" t="s">
        <v>1056</v>
      </c>
      <c r="BP234" t="s">
        <v>74</v>
      </c>
      <c r="BQ234" t="s">
        <v>74</v>
      </c>
      <c r="BR234" t="s">
        <v>104</v>
      </c>
      <c r="BS234" t="s">
        <v>4906</v>
      </c>
      <c r="BT234" t="str">
        <f>HYPERLINK("https%3A%2F%2Fwww.webofscience.com%2Fwos%2Fwoscc%2Ffull-record%2FWOS:000334584700014","View Full Record in Web of Science")</f>
        <v>View Full Record in Web of Science</v>
      </c>
    </row>
    <row r="235" spans="1:72" x14ac:dyDescent="0.15">
      <c r="A235" t="s">
        <v>72</v>
      </c>
      <c r="B235" t="s">
        <v>4907</v>
      </c>
      <c r="C235" t="s">
        <v>74</v>
      </c>
      <c r="D235" t="s">
        <v>74</v>
      </c>
      <c r="E235" t="s">
        <v>74</v>
      </c>
      <c r="F235" t="s">
        <v>4908</v>
      </c>
      <c r="G235" t="s">
        <v>74</v>
      </c>
      <c r="H235" t="s">
        <v>74</v>
      </c>
      <c r="I235" t="s">
        <v>4909</v>
      </c>
      <c r="J235" t="s">
        <v>1895</v>
      </c>
      <c r="K235" t="s">
        <v>74</v>
      </c>
      <c r="L235" t="s">
        <v>74</v>
      </c>
      <c r="M235" t="s">
        <v>78</v>
      </c>
      <c r="N235" t="s">
        <v>79</v>
      </c>
      <c r="O235" t="s">
        <v>74</v>
      </c>
      <c r="P235" t="s">
        <v>74</v>
      </c>
      <c r="Q235" t="s">
        <v>74</v>
      </c>
      <c r="R235" t="s">
        <v>74</v>
      </c>
      <c r="S235" t="s">
        <v>74</v>
      </c>
      <c r="T235" t="s">
        <v>4910</v>
      </c>
      <c r="U235" t="s">
        <v>4911</v>
      </c>
      <c r="V235" t="s">
        <v>4912</v>
      </c>
      <c r="W235" t="s">
        <v>4913</v>
      </c>
      <c r="X235" t="s">
        <v>4914</v>
      </c>
      <c r="Y235" t="s">
        <v>4915</v>
      </c>
      <c r="Z235" t="s">
        <v>4916</v>
      </c>
      <c r="AA235" t="s">
        <v>4917</v>
      </c>
      <c r="AB235" t="s">
        <v>4918</v>
      </c>
      <c r="AC235" t="s">
        <v>4919</v>
      </c>
      <c r="AD235" t="s">
        <v>4920</v>
      </c>
      <c r="AE235" t="s">
        <v>4921</v>
      </c>
      <c r="AF235" t="s">
        <v>74</v>
      </c>
      <c r="AG235">
        <v>49</v>
      </c>
      <c r="AH235">
        <v>10</v>
      </c>
      <c r="AI235">
        <v>10</v>
      </c>
      <c r="AJ235">
        <v>0</v>
      </c>
      <c r="AK235">
        <v>12</v>
      </c>
      <c r="AL235" t="s">
        <v>902</v>
      </c>
      <c r="AM235" t="s">
        <v>653</v>
      </c>
      <c r="AN235" t="s">
        <v>903</v>
      </c>
      <c r="AO235" t="s">
        <v>1907</v>
      </c>
      <c r="AP235" t="s">
        <v>1908</v>
      </c>
      <c r="AQ235" t="s">
        <v>74</v>
      </c>
      <c r="AR235" t="s">
        <v>1909</v>
      </c>
      <c r="AS235" t="s">
        <v>1910</v>
      </c>
      <c r="AT235" t="s">
        <v>4903</v>
      </c>
      <c r="AU235">
        <v>2014</v>
      </c>
      <c r="AV235">
        <v>159</v>
      </c>
      <c r="AW235" t="s">
        <v>74</v>
      </c>
      <c r="AX235" t="s">
        <v>74</v>
      </c>
      <c r="AY235" t="s">
        <v>74</v>
      </c>
      <c r="AZ235" t="s">
        <v>74</v>
      </c>
      <c r="BA235" t="s">
        <v>74</v>
      </c>
      <c r="BB235">
        <v>9</v>
      </c>
      <c r="BC235">
        <v>18</v>
      </c>
      <c r="BD235" t="s">
        <v>74</v>
      </c>
      <c r="BE235" t="s">
        <v>4922</v>
      </c>
      <c r="BF235" t="str">
        <f>HYPERLINK("http://dx.doi.org/10.1016/j.marchem.2013.12.003","http://dx.doi.org/10.1016/j.marchem.2013.12.003")</f>
        <v>http://dx.doi.org/10.1016/j.marchem.2013.12.003</v>
      </c>
      <c r="BG235" t="s">
        <v>74</v>
      </c>
      <c r="BH235" t="s">
        <v>74</v>
      </c>
      <c r="BI235">
        <v>10</v>
      </c>
      <c r="BJ235" t="s">
        <v>1912</v>
      </c>
      <c r="BK235" t="s">
        <v>101</v>
      </c>
      <c r="BL235" t="s">
        <v>1913</v>
      </c>
      <c r="BM235" t="s">
        <v>4923</v>
      </c>
      <c r="BN235" t="s">
        <v>74</v>
      </c>
      <c r="BO235" t="s">
        <v>74</v>
      </c>
      <c r="BP235" t="s">
        <v>74</v>
      </c>
      <c r="BQ235" t="s">
        <v>74</v>
      </c>
      <c r="BR235" t="s">
        <v>104</v>
      </c>
      <c r="BS235" t="s">
        <v>4924</v>
      </c>
      <c r="BT235" t="str">
        <f>HYPERLINK("https%3A%2F%2Fwww.webofscience.com%2Fwos%2Fwoscc%2Ffull-record%2FWOS:000331675600002","View Full Record in Web of Science")</f>
        <v>View Full Record in Web of Science</v>
      </c>
    </row>
    <row r="236" spans="1:72" x14ac:dyDescent="0.15">
      <c r="A236" t="s">
        <v>72</v>
      </c>
      <c r="B236" t="s">
        <v>4925</v>
      </c>
      <c r="C236" t="s">
        <v>74</v>
      </c>
      <c r="D236" t="s">
        <v>74</v>
      </c>
      <c r="E236" t="s">
        <v>74</v>
      </c>
      <c r="F236" t="s">
        <v>4926</v>
      </c>
      <c r="G236" t="s">
        <v>74</v>
      </c>
      <c r="H236" t="s">
        <v>74</v>
      </c>
      <c r="I236" t="s">
        <v>4927</v>
      </c>
      <c r="J236" t="s">
        <v>1275</v>
      </c>
      <c r="K236" t="s">
        <v>74</v>
      </c>
      <c r="L236" t="s">
        <v>74</v>
      </c>
      <c r="M236" t="s">
        <v>78</v>
      </c>
      <c r="N236" t="s">
        <v>79</v>
      </c>
      <c r="O236" t="s">
        <v>74</v>
      </c>
      <c r="P236" t="s">
        <v>74</v>
      </c>
      <c r="Q236" t="s">
        <v>74</v>
      </c>
      <c r="R236" t="s">
        <v>74</v>
      </c>
      <c r="S236" t="s">
        <v>74</v>
      </c>
      <c r="T236" t="s">
        <v>74</v>
      </c>
      <c r="U236" t="s">
        <v>4928</v>
      </c>
      <c r="V236" t="s">
        <v>4929</v>
      </c>
      <c r="W236" t="s">
        <v>4930</v>
      </c>
      <c r="X236" t="s">
        <v>4931</v>
      </c>
      <c r="Y236" t="s">
        <v>4932</v>
      </c>
      <c r="Z236" t="s">
        <v>4933</v>
      </c>
      <c r="AA236" t="s">
        <v>4934</v>
      </c>
      <c r="AB236" t="s">
        <v>4935</v>
      </c>
      <c r="AC236" t="s">
        <v>4936</v>
      </c>
      <c r="AD236" t="s">
        <v>900</v>
      </c>
      <c r="AE236" t="s">
        <v>4937</v>
      </c>
      <c r="AF236" t="s">
        <v>74</v>
      </c>
      <c r="AG236">
        <v>51</v>
      </c>
      <c r="AH236">
        <v>24</v>
      </c>
      <c r="AI236">
        <v>25</v>
      </c>
      <c r="AJ236">
        <v>0</v>
      </c>
      <c r="AK236">
        <v>33</v>
      </c>
      <c r="AL236" t="s">
        <v>1261</v>
      </c>
      <c r="AM236" t="s">
        <v>1262</v>
      </c>
      <c r="AN236" t="s">
        <v>1263</v>
      </c>
      <c r="AO236" t="s">
        <v>1287</v>
      </c>
      <c r="AP236" t="s">
        <v>74</v>
      </c>
      <c r="AQ236" t="s">
        <v>74</v>
      </c>
      <c r="AR236" t="s">
        <v>1275</v>
      </c>
      <c r="AS236" t="s">
        <v>1288</v>
      </c>
      <c r="AT236" t="s">
        <v>4938</v>
      </c>
      <c r="AU236">
        <v>2014</v>
      </c>
      <c r="AV236">
        <v>9</v>
      </c>
      <c r="AW236">
        <v>2</v>
      </c>
      <c r="AX236" t="s">
        <v>74</v>
      </c>
      <c r="AY236" t="s">
        <v>74</v>
      </c>
      <c r="AZ236" t="s">
        <v>74</v>
      </c>
      <c r="BA236" t="s">
        <v>74</v>
      </c>
      <c r="BB236" t="s">
        <v>74</v>
      </c>
      <c r="BC236" t="s">
        <v>74</v>
      </c>
      <c r="BD236" t="s">
        <v>4939</v>
      </c>
      <c r="BE236" t="s">
        <v>4940</v>
      </c>
      <c r="BF236" t="str">
        <f>HYPERLINK("http://dx.doi.org/10.1371/journal.pone.0089391","http://dx.doi.org/10.1371/journal.pone.0089391")</f>
        <v>http://dx.doi.org/10.1371/journal.pone.0089391</v>
      </c>
      <c r="BG236" t="s">
        <v>74</v>
      </c>
      <c r="BH236" t="s">
        <v>74</v>
      </c>
      <c r="BI236">
        <v>9</v>
      </c>
      <c r="BJ236" t="s">
        <v>1100</v>
      </c>
      <c r="BK236" t="s">
        <v>101</v>
      </c>
      <c r="BL236" t="s">
        <v>1101</v>
      </c>
      <c r="BM236" t="s">
        <v>4941</v>
      </c>
      <c r="BN236">
        <v>24586744</v>
      </c>
      <c r="BO236" t="s">
        <v>4942</v>
      </c>
      <c r="BP236" t="s">
        <v>74</v>
      </c>
      <c r="BQ236" t="s">
        <v>74</v>
      </c>
      <c r="BR236" t="s">
        <v>104</v>
      </c>
      <c r="BS236" t="s">
        <v>4943</v>
      </c>
      <c r="BT236" t="str">
        <f>HYPERLINK("https%3A%2F%2Fwww.webofscience.com%2Fwos%2Fwoscc%2Ffull-record%2FWOS:000331711900138","View Full Record in Web of Science")</f>
        <v>View Full Record in Web of Science</v>
      </c>
    </row>
    <row r="237" spans="1:72" x14ac:dyDescent="0.15">
      <c r="A237" t="s">
        <v>72</v>
      </c>
      <c r="B237" t="s">
        <v>4944</v>
      </c>
      <c r="C237" t="s">
        <v>74</v>
      </c>
      <c r="D237" t="s">
        <v>74</v>
      </c>
      <c r="E237" t="s">
        <v>74</v>
      </c>
      <c r="F237" t="s">
        <v>4945</v>
      </c>
      <c r="G237" t="s">
        <v>74</v>
      </c>
      <c r="H237" t="s">
        <v>74</v>
      </c>
      <c r="I237" t="s">
        <v>4946</v>
      </c>
      <c r="J237" t="s">
        <v>1699</v>
      </c>
      <c r="K237" t="s">
        <v>74</v>
      </c>
      <c r="L237" t="s">
        <v>74</v>
      </c>
      <c r="M237" t="s">
        <v>78</v>
      </c>
      <c r="N237" t="s">
        <v>79</v>
      </c>
      <c r="O237" t="s">
        <v>74</v>
      </c>
      <c r="P237" t="s">
        <v>74</v>
      </c>
      <c r="Q237" t="s">
        <v>74</v>
      </c>
      <c r="R237" t="s">
        <v>74</v>
      </c>
      <c r="S237" t="s">
        <v>74</v>
      </c>
      <c r="T237" t="s">
        <v>4947</v>
      </c>
      <c r="U237" t="s">
        <v>4948</v>
      </c>
      <c r="V237" t="s">
        <v>4949</v>
      </c>
      <c r="W237" t="s">
        <v>4950</v>
      </c>
      <c r="X237" t="s">
        <v>4951</v>
      </c>
      <c r="Y237" t="s">
        <v>4952</v>
      </c>
      <c r="Z237" t="s">
        <v>4953</v>
      </c>
      <c r="AA237" t="s">
        <v>74</v>
      </c>
      <c r="AB237" t="s">
        <v>74</v>
      </c>
      <c r="AC237" t="s">
        <v>74</v>
      </c>
      <c r="AD237" t="s">
        <v>74</v>
      </c>
      <c r="AE237" t="s">
        <v>74</v>
      </c>
      <c r="AF237" t="s">
        <v>74</v>
      </c>
      <c r="AG237">
        <v>64</v>
      </c>
      <c r="AH237">
        <v>7</v>
      </c>
      <c r="AI237">
        <v>8</v>
      </c>
      <c r="AJ237">
        <v>0</v>
      </c>
      <c r="AK237">
        <v>5</v>
      </c>
      <c r="AL237" t="s">
        <v>1711</v>
      </c>
      <c r="AM237" t="s">
        <v>1712</v>
      </c>
      <c r="AN237" t="s">
        <v>1713</v>
      </c>
      <c r="AO237" t="s">
        <v>1714</v>
      </c>
      <c r="AP237" t="s">
        <v>1715</v>
      </c>
      <c r="AQ237" t="s">
        <v>74</v>
      </c>
      <c r="AR237" t="s">
        <v>1699</v>
      </c>
      <c r="AS237" t="s">
        <v>1716</v>
      </c>
      <c r="AT237" t="s">
        <v>4938</v>
      </c>
      <c r="AU237">
        <v>2014</v>
      </c>
      <c r="AV237">
        <v>3765</v>
      </c>
      <c r="AW237">
        <v>4</v>
      </c>
      <c r="AX237" t="s">
        <v>74</v>
      </c>
      <c r="AY237" t="s">
        <v>74</v>
      </c>
      <c r="AZ237" t="s">
        <v>74</v>
      </c>
      <c r="BA237" t="s">
        <v>74</v>
      </c>
      <c r="BB237">
        <v>339</v>
      </c>
      <c r="BC237">
        <v>359</v>
      </c>
      <c r="BD237" t="s">
        <v>74</v>
      </c>
      <c r="BE237" t="s">
        <v>4954</v>
      </c>
      <c r="BF237" t="str">
        <f>HYPERLINK("http://dx.doi.org/10.11646/zootaxa.3765.4.3","http://dx.doi.org/10.11646/zootaxa.3765.4.3")</f>
        <v>http://dx.doi.org/10.11646/zootaxa.3765.4.3</v>
      </c>
      <c r="BG237" t="s">
        <v>74</v>
      </c>
      <c r="BH237" t="s">
        <v>74</v>
      </c>
      <c r="BI237">
        <v>21</v>
      </c>
      <c r="BJ237" t="s">
        <v>384</v>
      </c>
      <c r="BK237" t="s">
        <v>101</v>
      </c>
      <c r="BL237" t="s">
        <v>384</v>
      </c>
      <c r="BM237" t="s">
        <v>4955</v>
      </c>
      <c r="BN237">
        <v>24870905</v>
      </c>
      <c r="BO237" t="s">
        <v>74</v>
      </c>
      <c r="BP237" t="s">
        <v>74</v>
      </c>
      <c r="BQ237" t="s">
        <v>74</v>
      </c>
      <c r="BR237" t="s">
        <v>104</v>
      </c>
      <c r="BS237" t="s">
        <v>4956</v>
      </c>
      <c r="BT237" t="str">
        <f>HYPERLINK("https%3A%2F%2Fwww.webofscience.com%2Fwos%2Fwoscc%2Ffull-record%2FWOS:000331804500003","View Full Record in Web of Science")</f>
        <v>View Full Record in Web of Science</v>
      </c>
    </row>
    <row r="238" spans="1:72" x14ac:dyDescent="0.15">
      <c r="A238" t="s">
        <v>72</v>
      </c>
      <c r="B238" t="s">
        <v>4957</v>
      </c>
      <c r="C238" t="s">
        <v>74</v>
      </c>
      <c r="D238" t="s">
        <v>74</v>
      </c>
      <c r="E238" t="s">
        <v>74</v>
      </c>
      <c r="F238" t="s">
        <v>4958</v>
      </c>
      <c r="G238" t="s">
        <v>74</v>
      </c>
      <c r="H238" t="s">
        <v>74</v>
      </c>
      <c r="I238" t="s">
        <v>4959</v>
      </c>
      <c r="J238" t="s">
        <v>1646</v>
      </c>
      <c r="K238" t="s">
        <v>74</v>
      </c>
      <c r="L238" t="s">
        <v>74</v>
      </c>
      <c r="M238" t="s">
        <v>78</v>
      </c>
      <c r="N238" t="s">
        <v>79</v>
      </c>
      <c r="O238" t="s">
        <v>74</v>
      </c>
      <c r="P238" t="s">
        <v>74</v>
      </c>
      <c r="Q238" t="s">
        <v>74</v>
      </c>
      <c r="R238" t="s">
        <v>74</v>
      </c>
      <c r="S238" t="s">
        <v>74</v>
      </c>
      <c r="T238" t="s">
        <v>4960</v>
      </c>
      <c r="U238" t="s">
        <v>4961</v>
      </c>
      <c r="V238" t="s">
        <v>4962</v>
      </c>
      <c r="W238" t="s">
        <v>4963</v>
      </c>
      <c r="X238" t="s">
        <v>4964</v>
      </c>
      <c r="Y238" t="s">
        <v>4965</v>
      </c>
      <c r="Z238" t="s">
        <v>4966</v>
      </c>
      <c r="AA238" t="s">
        <v>4967</v>
      </c>
      <c r="AB238" t="s">
        <v>4968</v>
      </c>
      <c r="AC238" t="s">
        <v>74</v>
      </c>
      <c r="AD238" t="s">
        <v>74</v>
      </c>
      <c r="AE238" t="s">
        <v>74</v>
      </c>
      <c r="AF238" t="s">
        <v>74</v>
      </c>
      <c r="AG238">
        <v>60</v>
      </c>
      <c r="AH238">
        <v>26</v>
      </c>
      <c r="AI238">
        <v>27</v>
      </c>
      <c r="AJ238">
        <v>0</v>
      </c>
      <c r="AK238">
        <v>13</v>
      </c>
      <c r="AL238" t="s">
        <v>568</v>
      </c>
      <c r="AM238" t="s">
        <v>447</v>
      </c>
      <c r="AN238" t="s">
        <v>569</v>
      </c>
      <c r="AO238" t="s">
        <v>1658</v>
      </c>
      <c r="AP238" t="s">
        <v>1659</v>
      </c>
      <c r="AQ238" t="s">
        <v>74</v>
      </c>
      <c r="AR238" t="s">
        <v>1660</v>
      </c>
      <c r="AS238" t="s">
        <v>1661</v>
      </c>
      <c r="AT238" t="s">
        <v>4969</v>
      </c>
      <c r="AU238">
        <v>2014</v>
      </c>
      <c r="AV238">
        <v>119</v>
      </c>
      <c r="AW238">
        <v>3</v>
      </c>
      <c r="AX238" t="s">
        <v>74</v>
      </c>
      <c r="AY238" t="s">
        <v>74</v>
      </c>
      <c r="AZ238" t="s">
        <v>74</v>
      </c>
      <c r="BA238" t="s">
        <v>74</v>
      </c>
      <c r="BB238">
        <v>1386</v>
      </c>
      <c r="BC238">
        <v>1405</v>
      </c>
      <c r="BD238" t="s">
        <v>74</v>
      </c>
      <c r="BE238" t="s">
        <v>4970</v>
      </c>
      <c r="BF238" t="str">
        <f>HYPERLINK("http://dx.doi.org/10.1002/2013JD020355","http://dx.doi.org/10.1002/2013JD020355")</f>
        <v>http://dx.doi.org/10.1002/2013JD020355</v>
      </c>
      <c r="BG238" t="s">
        <v>74</v>
      </c>
      <c r="BH238" t="s">
        <v>74</v>
      </c>
      <c r="BI238">
        <v>20</v>
      </c>
      <c r="BJ238" t="s">
        <v>1391</v>
      </c>
      <c r="BK238" t="s">
        <v>101</v>
      </c>
      <c r="BL238" t="s">
        <v>1391</v>
      </c>
      <c r="BM238" t="s">
        <v>4971</v>
      </c>
      <c r="BN238" t="s">
        <v>74</v>
      </c>
      <c r="BO238" t="s">
        <v>1103</v>
      </c>
      <c r="BP238" t="s">
        <v>74</v>
      </c>
      <c r="BQ238" t="s">
        <v>74</v>
      </c>
      <c r="BR238" t="s">
        <v>104</v>
      </c>
      <c r="BS238" t="s">
        <v>4972</v>
      </c>
      <c r="BT238" t="str">
        <f>HYPERLINK("https%3A%2F%2Fwww.webofscience.com%2Fwos%2Fwoscc%2Ffull-record%2FWOS:000332994600019","View Full Record in Web of Science")</f>
        <v>View Full Record in Web of Science</v>
      </c>
    </row>
    <row r="239" spans="1:72" x14ac:dyDescent="0.15">
      <c r="A239" t="s">
        <v>72</v>
      </c>
      <c r="B239" t="s">
        <v>4973</v>
      </c>
      <c r="C239" t="s">
        <v>74</v>
      </c>
      <c r="D239" t="s">
        <v>74</v>
      </c>
      <c r="E239" t="s">
        <v>74</v>
      </c>
      <c r="F239" t="s">
        <v>4974</v>
      </c>
      <c r="G239" t="s">
        <v>74</v>
      </c>
      <c r="H239" t="s">
        <v>74</v>
      </c>
      <c r="I239" t="s">
        <v>4975</v>
      </c>
      <c r="J239" t="s">
        <v>1588</v>
      </c>
      <c r="K239" t="s">
        <v>74</v>
      </c>
      <c r="L239" t="s">
        <v>74</v>
      </c>
      <c r="M239" t="s">
        <v>78</v>
      </c>
      <c r="N239" t="s">
        <v>79</v>
      </c>
      <c r="O239" t="s">
        <v>74</v>
      </c>
      <c r="P239" t="s">
        <v>74</v>
      </c>
      <c r="Q239" t="s">
        <v>74</v>
      </c>
      <c r="R239" t="s">
        <v>74</v>
      </c>
      <c r="S239" t="s">
        <v>74</v>
      </c>
      <c r="T239" t="s">
        <v>4976</v>
      </c>
      <c r="U239" t="s">
        <v>4977</v>
      </c>
      <c r="V239" t="s">
        <v>4978</v>
      </c>
      <c r="W239" t="s">
        <v>4979</v>
      </c>
      <c r="X239" t="s">
        <v>4980</v>
      </c>
      <c r="Y239" t="s">
        <v>4981</v>
      </c>
      <c r="Z239" t="s">
        <v>4982</v>
      </c>
      <c r="AA239" t="s">
        <v>4983</v>
      </c>
      <c r="AB239" t="s">
        <v>74</v>
      </c>
      <c r="AC239" t="s">
        <v>4984</v>
      </c>
      <c r="AD239" t="s">
        <v>4985</v>
      </c>
      <c r="AE239" t="s">
        <v>4986</v>
      </c>
      <c r="AF239" t="s">
        <v>74</v>
      </c>
      <c r="AG239">
        <v>36</v>
      </c>
      <c r="AH239">
        <v>59</v>
      </c>
      <c r="AI239">
        <v>68</v>
      </c>
      <c r="AJ239">
        <v>2</v>
      </c>
      <c r="AK239">
        <v>38</v>
      </c>
      <c r="AL239" t="s">
        <v>568</v>
      </c>
      <c r="AM239" t="s">
        <v>447</v>
      </c>
      <c r="AN239" t="s">
        <v>569</v>
      </c>
      <c r="AO239" t="s">
        <v>1601</v>
      </c>
      <c r="AP239" t="s">
        <v>1602</v>
      </c>
      <c r="AQ239" t="s">
        <v>74</v>
      </c>
      <c r="AR239" t="s">
        <v>1603</v>
      </c>
      <c r="AS239" t="s">
        <v>1604</v>
      </c>
      <c r="AT239" t="s">
        <v>4969</v>
      </c>
      <c r="AU239">
        <v>2014</v>
      </c>
      <c r="AV239">
        <v>41</v>
      </c>
      <c r="AW239">
        <v>3</v>
      </c>
      <c r="AX239" t="s">
        <v>74</v>
      </c>
      <c r="AY239" t="s">
        <v>74</v>
      </c>
      <c r="AZ239" t="s">
        <v>74</v>
      </c>
      <c r="BA239" t="s">
        <v>74</v>
      </c>
      <c r="BB239">
        <v>873</v>
      </c>
      <c r="BC239">
        <v>879</v>
      </c>
      <c r="BD239" t="s">
        <v>74</v>
      </c>
      <c r="BE239" t="s">
        <v>4987</v>
      </c>
      <c r="BF239" t="str">
        <f>HYPERLINK("http://dx.doi.org/10.1002/2013GL058956","http://dx.doi.org/10.1002/2013GL058956")</f>
        <v>http://dx.doi.org/10.1002/2013GL058956</v>
      </c>
      <c r="BG239" t="s">
        <v>74</v>
      </c>
      <c r="BH239" t="s">
        <v>74</v>
      </c>
      <c r="BI239">
        <v>7</v>
      </c>
      <c r="BJ239" t="s">
        <v>952</v>
      </c>
      <c r="BK239" t="s">
        <v>101</v>
      </c>
      <c r="BL239" t="s">
        <v>597</v>
      </c>
      <c r="BM239" t="s">
        <v>4988</v>
      </c>
      <c r="BN239" t="s">
        <v>74</v>
      </c>
      <c r="BO239" t="s">
        <v>810</v>
      </c>
      <c r="BP239" t="s">
        <v>74</v>
      </c>
      <c r="BQ239" t="s">
        <v>74</v>
      </c>
      <c r="BR239" t="s">
        <v>104</v>
      </c>
      <c r="BS239" t="s">
        <v>4989</v>
      </c>
      <c r="BT239" t="str">
        <f>HYPERLINK("https%3A%2F%2Fwww.webofscience.com%2Fwos%2Fwoscc%2Ffull-record%2FWOS:000332990500018","View Full Record in Web of Science")</f>
        <v>View Full Record in Web of Science</v>
      </c>
    </row>
    <row r="240" spans="1:72" x14ac:dyDescent="0.15">
      <c r="A240" t="s">
        <v>72</v>
      </c>
      <c r="B240" t="s">
        <v>4990</v>
      </c>
      <c r="C240" t="s">
        <v>74</v>
      </c>
      <c r="D240" t="s">
        <v>74</v>
      </c>
      <c r="E240" t="s">
        <v>74</v>
      </c>
      <c r="F240" t="s">
        <v>4991</v>
      </c>
      <c r="G240" t="s">
        <v>74</v>
      </c>
      <c r="H240" t="s">
        <v>74</v>
      </c>
      <c r="I240" t="s">
        <v>4992</v>
      </c>
      <c r="J240" t="s">
        <v>1588</v>
      </c>
      <c r="K240" t="s">
        <v>74</v>
      </c>
      <c r="L240" t="s">
        <v>74</v>
      </c>
      <c r="M240" t="s">
        <v>78</v>
      </c>
      <c r="N240" t="s">
        <v>79</v>
      </c>
      <c r="O240" t="s">
        <v>74</v>
      </c>
      <c r="P240" t="s">
        <v>74</v>
      </c>
      <c r="Q240" t="s">
        <v>74</v>
      </c>
      <c r="R240" t="s">
        <v>74</v>
      </c>
      <c r="S240" t="s">
        <v>74</v>
      </c>
      <c r="T240" t="s">
        <v>4993</v>
      </c>
      <c r="U240" t="s">
        <v>4994</v>
      </c>
      <c r="V240" t="s">
        <v>4995</v>
      </c>
      <c r="W240" t="s">
        <v>4996</v>
      </c>
      <c r="X240" t="s">
        <v>4997</v>
      </c>
      <c r="Y240" t="s">
        <v>4998</v>
      </c>
      <c r="Z240" t="s">
        <v>4999</v>
      </c>
      <c r="AA240" t="s">
        <v>5000</v>
      </c>
      <c r="AB240" t="s">
        <v>5001</v>
      </c>
      <c r="AC240" t="s">
        <v>5002</v>
      </c>
      <c r="AD240" t="s">
        <v>5003</v>
      </c>
      <c r="AE240" t="s">
        <v>5004</v>
      </c>
      <c r="AF240" t="s">
        <v>74</v>
      </c>
      <c r="AG240">
        <v>32</v>
      </c>
      <c r="AH240">
        <v>51</v>
      </c>
      <c r="AI240">
        <v>63</v>
      </c>
      <c r="AJ240">
        <v>2</v>
      </c>
      <c r="AK240">
        <v>84</v>
      </c>
      <c r="AL240" t="s">
        <v>568</v>
      </c>
      <c r="AM240" t="s">
        <v>447</v>
      </c>
      <c r="AN240" t="s">
        <v>569</v>
      </c>
      <c r="AO240" t="s">
        <v>1601</v>
      </c>
      <c r="AP240" t="s">
        <v>1602</v>
      </c>
      <c r="AQ240" t="s">
        <v>74</v>
      </c>
      <c r="AR240" t="s">
        <v>1603</v>
      </c>
      <c r="AS240" t="s">
        <v>1604</v>
      </c>
      <c r="AT240" t="s">
        <v>4969</v>
      </c>
      <c r="AU240">
        <v>2014</v>
      </c>
      <c r="AV240">
        <v>41</v>
      </c>
      <c r="AW240">
        <v>3</v>
      </c>
      <c r="AX240" t="s">
        <v>74</v>
      </c>
      <c r="AY240" t="s">
        <v>74</v>
      </c>
      <c r="AZ240" t="s">
        <v>74</v>
      </c>
      <c r="BA240" t="s">
        <v>74</v>
      </c>
      <c r="BB240">
        <v>891</v>
      </c>
      <c r="BC240">
        <v>898</v>
      </c>
      <c r="BD240" t="s">
        <v>74</v>
      </c>
      <c r="BE240" t="s">
        <v>5005</v>
      </c>
      <c r="BF240" t="str">
        <f>HYPERLINK("http://dx.doi.org/10.1002/2013GL058616","http://dx.doi.org/10.1002/2013GL058616")</f>
        <v>http://dx.doi.org/10.1002/2013GL058616</v>
      </c>
      <c r="BG240" t="s">
        <v>74</v>
      </c>
      <c r="BH240" t="s">
        <v>74</v>
      </c>
      <c r="BI240">
        <v>8</v>
      </c>
      <c r="BJ240" t="s">
        <v>952</v>
      </c>
      <c r="BK240" t="s">
        <v>101</v>
      </c>
      <c r="BL240" t="s">
        <v>597</v>
      </c>
      <c r="BM240" t="s">
        <v>4988</v>
      </c>
      <c r="BN240" t="s">
        <v>74</v>
      </c>
      <c r="BO240" t="s">
        <v>200</v>
      </c>
      <c r="BP240" t="s">
        <v>74</v>
      </c>
      <c r="BQ240" t="s">
        <v>74</v>
      </c>
      <c r="BR240" t="s">
        <v>104</v>
      </c>
      <c r="BS240" t="s">
        <v>5006</v>
      </c>
      <c r="BT240" t="str">
        <f>HYPERLINK("https%3A%2F%2Fwww.webofscience.com%2Fwos%2Fwoscc%2Ffull-record%2FWOS:000332990500021","View Full Record in Web of Science")</f>
        <v>View Full Record in Web of Science</v>
      </c>
    </row>
    <row r="241" spans="1:72" x14ac:dyDescent="0.15">
      <c r="A241" t="s">
        <v>72</v>
      </c>
      <c r="B241" t="s">
        <v>5007</v>
      </c>
      <c r="C241" t="s">
        <v>74</v>
      </c>
      <c r="D241" t="s">
        <v>74</v>
      </c>
      <c r="E241" t="s">
        <v>74</v>
      </c>
      <c r="F241" t="s">
        <v>5008</v>
      </c>
      <c r="G241" t="s">
        <v>74</v>
      </c>
      <c r="H241" t="s">
        <v>74</v>
      </c>
      <c r="I241" t="s">
        <v>5009</v>
      </c>
      <c r="J241" t="s">
        <v>1646</v>
      </c>
      <c r="K241" t="s">
        <v>74</v>
      </c>
      <c r="L241" t="s">
        <v>74</v>
      </c>
      <c r="M241" t="s">
        <v>78</v>
      </c>
      <c r="N241" t="s">
        <v>79</v>
      </c>
      <c r="O241" t="s">
        <v>74</v>
      </c>
      <c r="P241" t="s">
        <v>74</v>
      </c>
      <c r="Q241" t="s">
        <v>74</v>
      </c>
      <c r="R241" t="s">
        <v>74</v>
      </c>
      <c r="S241" t="s">
        <v>74</v>
      </c>
      <c r="T241" t="s">
        <v>5010</v>
      </c>
      <c r="U241" t="s">
        <v>5011</v>
      </c>
      <c r="V241" t="s">
        <v>5012</v>
      </c>
      <c r="W241" t="s">
        <v>5013</v>
      </c>
      <c r="X241" t="s">
        <v>5014</v>
      </c>
      <c r="Y241" t="s">
        <v>5015</v>
      </c>
      <c r="Z241" t="s">
        <v>5016</v>
      </c>
      <c r="AA241" t="s">
        <v>74</v>
      </c>
      <c r="AB241" t="s">
        <v>5017</v>
      </c>
      <c r="AC241" t="s">
        <v>5018</v>
      </c>
      <c r="AD241" t="s">
        <v>5019</v>
      </c>
      <c r="AE241" t="s">
        <v>5020</v>
      </c>
      <c r="AF241" t="s">
        <v>74</v>
      </c>
      <c r="AG241">
        <v>47</v>
      </c>
      <c r="AH241">
        <v>14</v>
      </c>
      <c r="AI241">
        <v>14</v>
      </c>
      <c r="AJ241">
        <v>0</v>
      </c>
      <c r="AK241">
        <v>11</v>
      </c>
      <c r="AL241" t="s">
        <v>568</v>
      </c>
      <c r="AM241" t="s">
        <v>447</v>
      </c>
      <c r="AN241" t="s">
        <v>569</v>
      </c>
      <c r="AO241" t="s">
        <v>1658</v>
      </c>
      <c r="AP241" t="s">
        <v>1659</v>
      </c>
      <c r="AQ241" t="s">
        <v>74</v>
      </c>
      <c r="AR241" t="s">
        <v>1660</v>
      </c>
      <c r="AS241" t="s">
        <v>1661</v>
      </c>
      <c r="AT241" t="s">
        <v>4969</v>
      </c>
      <c r="AU241">
        <v>2014</v>
      </c>
      <c r="AV241">
        <v>119</v>
      </c>
      <c r="AW241">
        <v>3</v>
      </c>
      <c r="AX241" t="s">
        <v>74</v>
      </c>
      <c r="AY241" t="s">
        <v>74</v>
      </c>
      <c r="AZ241" t="s">
        <v>74</v>
      </c>
      <c r="BA241" t="s">
        <v>74</v>
      </c>
      <c r="BB241">
        <v>1363</v>
      </c>
      <c r="BC241">
        <v>1385</v>
      </c>
      <c r="BD241" t="s">
        <v>74</v>
      </c>
      <c r="BE241" t="s">
        <v>5021</v>
      </c>
      <c r="BF241" t="str">
        <f>HYPERLINK("http://dx.doi.org/10.1002/2013JD020600","http://dx.doi.org/10.1002/2013JD020600")</f>
        <v>http://dx.doi.org/10.1002/2013JD020600</v>
      </c>
      <c r="BG241" t="s">
        <v>74</v>
      </c>
      <c r="BH241" t="s">
        <v>74</v>
      </c>
      <c r="BI241">
        <v>23</v>
      </c>
      <c r="BJ241" t="s">
        <v>1391</v>
      </c>
      <c r="BK241" t="s">
        <v>101</v>
      </c>
      <c r="BL241" t="s">
        <v>1391</v>
      </c>
      <c r="BM241" t="s">
        <v>4971</v>
      </c>
      <c r="BN241" t="s">
        <v>74</v>
      </c>
      <c r="BO241" t="s">
        <v>200</v>
      </c>
      <c r="BP241" t="s">
        <v>74</v>
      </c>
      <c r="BQ241" t="s">
        <v>74</v>
      </c>
      <c r="BR241" t="s">
        <v>104</v>
      </c>
      <c r="BS241" t="s">
        <v>5022</v>
      </c>
      <c r="BT241" t="str">
        <f>HYPERLINK("https%3A%2F%2Fwww.webofscience.com%2Fwos%2Fwoscc%2Ffull-record%2FWOS:000332994600018","View Full Record in Web of Science")</f>
        <v>View Full Record in Web of Science</v>
      </c>
    </row>
    <row r="242" spans="1:72" x14ac:dyDescent="0.15">
      <c r="A242" t="s">
        <v>72</v>
      </c>
      <c r="B242" t="s">
        <v>5023</v>
      </c>
      <c r="C242" t="s">
        <v>74</v>
      </c>
      <c r="D242" t="s">
        <v>74</v>
      </c>
      <c r="E242" t="s">
        <v>74</v>
      </c>
      <c r="F242" t="s">
        <v>5024</v>
      </c>
      <c r="G242" t="s">
        <v>74</v>
      </c>
      <c r="H242" t="s">
        <v>74</v>
      </c>
      <c r="I242" t="s">
        <v>5025</v>
      </c>
      <c r="J242" t="s">
        <v>2097</v>
      </c>
      <c r="K242" t="s">
        <v>74</v>
      </c>
      <c r="L242" t="s">
        <v>74</v>
      </c>
      <c r="M242" t="s">
        <v>78</v>
      </c>
      <c r="N242" t="s">
        <v>79</v>
      </c>
      <c r="O242" t="s">
        <v>74</v>
      </c>
      <c r="P242" t="s">
        <v>74</v>
      </c>
      <c r="Q242" t="s">
        <v>74</v>
      </c>
      <c r="R242" t="s">
        <v>74</v>
      </c>
      <c r="S242" t="s">
        <v>74</v>
      </c>
      <c r="T242" t="s">
        <v>5026</v>
      </c>
      <c r="U242" t="s">
        <v>5027</v>
      </c>
      <c r="V242" t="s">
        <v>5028</v>
      </c>
      <c r="W242" t="s">
        <v>5029</v>
      </c>
      <c r="X242" t="s">
        <v>5030</v>
      </c>
      <c r="Y242" t="s">
        <v>5031</v>
      </c>
      <c r="Z242" t="s">
        <v>5032</v>
      </c>
      <c r="AA242" t="s">
        <v>5033</v>
      </c>
      <c r="AB242" t="s">
        <v>5034</v>
      </c>
      <c r="AC242" t="s">
        <v>5035</v>
      </c>
      <c r="AD242" t="s">
        <v>5036</v>
      </c>
      <c r="AE242" t="s">
        <v>5037</v>
      </c>
      <c r="AF242" t="s">
        <v>74</v>
      </c>
      <c r="AG242">
        <v>35</v>
      </c>
      <c r="AH242">
        <v>46</v>
      </c>
      <c r="AI242">
        <v>48</v>
      </c>
      <c r="AJ242">
        <v>0</v>
      </c>
      <c r="AK242">
        <v>82</v>
      </c>
      <c r="AL242" t="s">
        <v>946</v>
      </c>
      <c r="AM242" t="s">
        <v>522</v>
      </c>
      <c r="AN242" t="s">
        <v>947</v>
      </c>
      <c r="AO242" t="s">
        <v>2109</v>
      </c>
      <c r="AP242" t="s">
        <v>2110</v>
      </c>
      <c r="AQ242" t="s">
        <v>74</v>
      </c>
      <c r="AR242" t="s">
        <v>2111</v>
      </c>
      <c r="AS242" t="s">
        <v>2112</v>
      </c>
      <c r="AT242" t="s">
        <v>5038</v>
      </c>
      <c r="AU242">
        <v>2014</v>
      </c>
      <c r="AV242">
        <v>79</v>
      </c>
      <c r="AW242" t="s">
        <v>1531</v>
      </c>
      <c r="AX242" t="s">
        <v>74</v>
      </c>
      <c r="AY242" t="s">
        <v>74</v>
      </c>
      <c r="AZ242" t="s">
        <v>74</v>
      </c>
      <c r="BA242" t="s">
        <v>74</v>
      </c>
      <c r="BB242">
        <v>321</v>
      </c>
      <c r="BC242">
        <v>325</v>
      </c>
      <c r="BD242" t="s">
        <v>74</v>
      </c>
      <c r="BE242" t="s">
        <v>5039</v>
      </c>
      <c r="BF242" t="str">
        <f>HYPERLINK("http://dx.doi.org/10.1016/j.marpolbul.2013.12.015","http://dx.doi.org/10.1016/j.marpolbul.2013.12.015")</f>
        <v>http://dx.doi.org/10.1016/j.marpolbul.2013.12.015</v>
      </c>
      <c r="BG242" t="s">
        <v>74</v>
      </c>
      <c r="BH242" t="s">
        <v>74</v>
      </c>
      <c r="BI242">
        <v>5</v>
      </c>
      <c r="BJ242" t="s">
        <v>2114</v>
      </c>
      <c r="BK242" t="s">
        <v>101</v>
      </c>
      <c r="BL242" t="s">
        <v>2115</v>
      </c>
      <c r="BM242" t="s">
        <v>5040</v>
      </c>
      <c r="BN242">
        <v>24368117</v>
      </c>
      <c r="BO242" t="s">
        <v>74</v>
      </c>
      <c r="BP242" t="s">
        <v>74</v>
      </c>
      <c r="BQ242" t="s">
        <v>74</v>
      </c>
      <c r="BR242" t="s">
        <v>104</v>
      </c>
      <c r="BS242" t="s">
        <v>5041</v>
      </c>
      <c r="BT242" t="str">
        <f>HYPERLINK("https%3A%2F%2Fwww.webofscience.com%2Fwos%2Fwoscc%2Ffull-record%2FWOS:000332436300052","View Full Record in Web of Science")</f>
        <v>View Full Record in Web of Science</v>
      </c>
    </row>
    <row r="243" spans="1:72" x14ac:dyDescent="0.15">
      <c r="A243" t="s">
        <v>72</v>
      </c>
      <c r="B243" t="s">
        <v>5042</v>
      </c>
      <c r="C243" t="s">
        <v>74</v>
      </c>
      <c r="D243" t="s">
        <v>74</v>
      </c>
      <c r="E243" t="s">
        <v>74</v>
      </c>
      <c r="F243" t="s">
        <v>5043</v>
      </c>
      <c r="G243" t="s">
        <v>74</v>
      </c>
      <c r="H243" t="s">
        <v>74</v>
      </c>
      <c r="I243" t="s">
        <v>5044</v>
      </c>
      <c r="J243" t="s">
        <v>5045</v>
      </c>
      <c r="K243" t="s">
        <v>74</v>
      </c>
      <c r="L243" t="s">
        <v>74</v>
      </c>
      <c r="M243" t="s">
        <v>78</v>
      </c>
      <c r="N243" t="s">
        <v>79</v>
      </c>
      <c r="O243" t="s">
        <v>74</v>
      </c>
      <c r="P243" t="s">
        <v>74</v>
      </c>
      <c r="Q243" t="s">
        <v>74</v>
      </c>
      <c r="R243" t="s">
        <v>74</v>
      </c>
      <c r="S243" t="s">
        <v>74</v>
      </c>
      <c r="T243" t="s">
        <v>5046</v>
      </c>
      <c r="U243" t="s">
        <v>5047</v>
      </c>
      <c r="V243" t="s">
        <v>5048</v>
      </c>
      <c r="W243" t="s">
        <v>5049</v>
      </c>
      <c r="X243" t="s">
        <v>5050</v>
      </c>
      <c r="Y243" t="s">
        <v>5051</v>
      </c>
      <c r="Z243" t="s">
        <v>5052</v>
      </c>
      <c r="AA243" t="s">
        <v>5053</v>
      </c>
      <c r="AB243" t="s">
        <v>5054</v>
      </c>
      <c r="AC243" t="s">
        <v>5055</v>
      </c>
      <c r="AD243" t="s">
        <v>5056</v>
      </c>
      <c r="AE243" t="s">
        <v>5057</v>
      </c>
      <c r="AF243" t="s">
        <v>74</v>
      </c>
      <c r="AG243">
        <v>56</v>
      </c>
      <c r="AH243">
        <v>34</v>
      </c>
      <c r="AI243">
        <v>38</v>
      </c>
      <c r="AJ243">
        <v>0</v>
      </c>
      <c r="AK243">
        <v>37</v>
      </c>
      <c r="AL243" t="s">
        <v>946</v>
      </c>
      <c r="AM243" t="s">
        <v>522</v>
      </c>
      <c r="AN243" t="s">
        <v>947</v>
      </c>
      <c r="AO243" t="s">
        <v>5058</v>
      </c>
      <c r="AP243" t="s">
        <v>5059</v>
      </c>
      <c r="AQ243" t="s">
        <v>74</v>
      </c>
      <c r="AR243" t="s">
        <v>5060</v>
      </c>
      <c r="AS243" t="s">
        <v>5061</v>
      </c>
      <c r="AT243" t="s">
        <v>5038</v>
      </c>
      <c r="AU243">
        <v>2014</v>
      </c>
      <c r="AV243">
        <v>74</v>
      </c>
      <c r="AW243" t="s">
        <v>74</v>
      </c>
      <c r="AX243" t="s">
        <v>74</v>
      </c>
      <c r="AY243" t="s">
        <v>74</v>
      </c>
      <c r="AZ243" t="s">
        <v>74</v>
      </c>
      <c r="BA243" t="s">
        <v>74</v>
      </c>
      <c r="BB243">
        <v>77</v>
      </c>
      <c r="BC243">
        <v>87</v>
      </c>
      <c r="BD243" t="s">
        <v>74</v>
      </c>
      <c r="BE243" t="s">
        <v>5062</v>
      </c>
      <c r="BF243" t="str">
        <f>HYPERLINK("http://dx.doi.org/10.1016/j.csr.2013.10.010","http://dx.doi.org/10.1016/j.csr.2013.10.010")</f>
        <v>http://dx.doi.org/10.1016/j.csr.2013.10.010</v>
      </c>
      <c r="BG243" t="s">
        <v>74</v>
      </c>
      <c r="BH243" t="s">
        <v>74</v>
      </c>
      <c r="BI243">
        <v>11</v>
      </c>
      <c r="BJ243" t="s">
        <v>785</v>
      </c>
      <c r="BK243" t="s">
        <v>101</v>
      </c>
      <c r="BL243" t="s">
        <v>785</v>
      </c>
      <c r="BM243" t="s">
        <v>5063</v>
      </c>
      <c r="BN243" t="s">
        <v>74</v>
      </c>
      <c r="BO243" t="s">
        <v>74</v>
      </c>
      <c r="BP243" t="s">
        <v>74</v>
      </c>
      <c r="BQ243" t="s">
        <v>74</v>
      </c>
      <c r="BR243" t="s">
        <v>104</v>
      </c>
      <c r="BS243" t="s">
        <v>5064</v>
      </c>
      <c r="BT243" t="str">
        <f>HYPERLINK("https%3A%2F%2Fwww.webofscience.com%2Fwos%2Fwoscc%2Ffull-record%2FWOS:000331681600007","View Full Record in Web of Science")</f>
        <v>View Full Record in Web of Science</v>
      </c>
    </row>
    <row r="244" spans="1:72" x14ac:dyDescent="0.15">
      <c r="A244" t="s">
        <v>72</v>
      </c>
      <c r="B244" t="s">
        <v>5065</v>
      </c>
      <c r="C244" t="s">
        <v>74</v>
      </c>
      <c r="D244" t="s">
        <v>74</v>
      </c>
      <c r="E244" t="s">
        <v>74</v>
      </c>
      <c r="F244" t="s">
        <v>5066</v>
      </c>
      <c r="G244" t="s">
        <v>74</v>
      </c>
      <c r="H244" t="s">
        <v>74</v>
      </c>
      <c r="I244" t="s">
        <v>5067</v>
      </c>
      <c r="J244" t="s">
        <v>5068</v>
      </c>
      <c r="K244" t="s">
        <v>74</v>
      </c>
      <c r="L244" t="s">
        <v>74</v>
      </c>
      <c r="M244" t="s">
        <v>78</v>
      </c>
      <c r="N244" t="s">
        <v>79</v>
      </c>
      <c r="O244" t="s">
        <v>74</v>
      </c>
      <c r="P244" t="s">
        <v>74</v>
      </c>
      <c r="Q244" t="s">
        <v>74</v>
      </c>
      <c r="R244" t="s">
        <v>74</v>
      </c>
      <c r="S244" t="s">
        <v>74</v>
      </c>
      <c r="T244" t="s">
        <v>5069</v>
      </c>
      <c r="U244" t="s">
        <v>5070</v>
      </c>
      <c r="V244" t="s">
        <v>5071</v>
      </c>
      <c r="W244" t="s">
        <v>5072</v>
      </c>
      <c r="X244" t="s">
        <v>5073</v>
      </c>
      <c r="Y244" t="s">
        <v>5074</v>
      </c>
      <c r="Z244" t="s">
        <v>5075</v>
      </c>
      <c r="AA244" t="s">
        <v>5076</v>
      </c>
      <c r="AB244" t="s">
        <v>5077</v>
      </c>
      <c r="AC244" t="s">
        <v>5078</v>
      </c>
      <c r="AD244" t="s">
        <v>5078</v>
      </c>
      <c r="AE244" t="s">
        <v>5079</v>
      </c>
      <c r="AF244" t="s">
        <v>74</v>
      </c>
      <c r="AG244">
        <v>78</v>
      </c>
      <c r="AH244">
        <v>76</v>
      </c>
      <c r="AI244">
        <v>85</v>
      </c>
      <c r="AJ244">
        <v>3</v>
      </c>
      <c r="AK244">
        <v>118</v>
      </c>
      <c r="AL244" t="s">
        <v>902</v>
      </c>
      <c r="AM244" t="s">
        <v>653</v>
      </c>
      <c r="AN244" t="s">
        <v>903</v>
      </c>
      <c r="AO244" t="s">
        <v>5080</v>
      </c>
      <c r="AP244" t="s">
        <v>5081</v>
      </c>
      <c r="AQ244" t="s">
        <v>74</v>
      </c>
      <c r="AR244" t="s">
        <v>5082</v>
      </c>
      <c r="AS244" t="s">
        <v>5083</v>
      </c>
      <c r="AT244" t="s">
        <v>5038</v>
      </c>
      <c r="AU244">
        <v>2014</v>
      </c>
      <c r="AV244">
        <v>472</v>
      </c>
      <c r="AW244" t="s">
        <v>74</v>
      </c>
      <c r="AX244" t="s">
        <v>74</v>
      </c>
      <c r="AY244" t="s">
        <v>74</v>
      </c>
      <c r="AZ244" t="s">
        <v>74</v>
      </c>
      <c r="BA244" t="s">
        <v>74</v>
      </c>
      <c r="BB244">
        <v>888</v>
      </c>
      <c r="BC244">
        <v>900</v>
      </c>
      <c r="BD244" t="s">
        <v>74</v>
      </c>
      <c r="BE244" t="s">
        <v>5084</v>
      </c>
      <c r="BF244" t="str">
        <f>HYPERLINK("http://dx.doi.org/10.1016/j.scitotenv.2013.11.110","http://dx.doi.org/10.1016/j.scitotenv.2013.11.110")</f>
        <v>http://dx.doi.org/10.1016/j.scitotenv.2013.11.110</v>
      </c>
      <c r="BG244" t="s">
        <v>74</v>
      </c>
      <c r="BH244" t="s">
        <v>74</v>
      </c>
      <c r="BI244">
        <v>13</v>
      </c>
      <c r="BJ244" t="s">
        <v>478</v>
      </c>
      <c r="BK244" t="s">
        <v>101</v>
      </c>
      <c r="BL244" t="s">
        <v>102</v>
      </c>
      <c r="BM244" t="s">
        <v>5085</v>
      </c>
      <c r="BN244">
        <v>24342096</v>
      </c>
      <c r="BO244" t="s">
        <v>74</v>
      </c>
      <c r="BP244" t="s">
        <v>74</v>
      </c>
      <c r="BQ244" t="s">
        <v>74</v>
      </c>
      <c r="BR244" t="s">
        <v>104</v>
      </c>
      <c r="BS244" t="s">
        <v>5086</v>
      </c>
      <c r="BT244" t="str">
        <f>HYPERLINK("https%3A%2F%2Fwww.webofscience.com%2Fwos%2Fwoscc%2Ffull-record%2FWOS:000331916100098","View Full Record in Web of Science")</f>
        <v>View Full Record in Web of Science</v>
      </c>
    </row>
    <row r="245" spans="1:72" x14ac:dyDescent="0.15">
      <c r="A245" t="s">
        <v>72</v>
      </c>
      <c r="B245" t="s">
        <v>5087</v>
      </c>
      <c r="C245" t="s">
        <v>74</v>
      </c>
      <c r="D245" t="s">
        <v>74</v>
      </c>
      <c r="E245" t="s">
        <v>74</v>
      </c>
      <c r="F245" t="s">
        <v>5088</v>
      </c>
      <c r="G245" t="s">
        <v>74</v>
      </c>
      <c r="H245" t="s">
        <v>74</v>
      </c>
      <c r="I245" t="s">
        <v>5089</v>
      </c>
      <c r="J245" t="s">
        <v>3471</v>
      </c>
      <c r="K245" t="s">
        <v>74</v>
      </c>
      <c r="L245" t="s">
        <v>74</v>
      </c>
      <c r="M245" t="s">
        <v>78</v>
      </c>
      <c r="N245" t="s">
        <v>79</v>
      </c>
      <c r="O245" t="s">
        <v>74</v>
      </c>
      <c r="P245" t="s">
        <v>74</v>
      </c>
      <c r="Q245" t="s">
        <v>74</v>
      </c>
      <c r="R245" t="s">
        <v>74</v>
      </c>
      <c r="S245" t="s">
        <v>74</v>
      </c>
      <c r="T245" t="s">
        <v>5090</v>
      </c>
      <c r="U245" t="s">
        <v>5091</v>
      </c>
      <c r="V245" t="s">
        <v>5092</v>
      </c>
      <c r="W245" t="s">
        <v>5093</v>
      </c>
      <c r="X245" t="s">
        <v>5094</v>
      </c>
      <c r="Y245" t="s">
        <v>5095</v>
      </c>
      <c r="Z245" t="s">
        <v>5096</v>
      </c>
      <c r="AA245" t="s">
        <v>74</v>
      </c>
      <c r="AB245" t="s">
        <v>5097</v>
      </c>
      <c r="AC245" t="s">
        <v>5098</v>
      </c>
      <c r="AD245" t="s">
        <v>5099</v>
      </c>
      <c r="AE245" t="s">
        <v>5100</v>
      </c>
      <c r="AF245" t="s">
        <v>74</v>
      </c>
      <c r="AG245">
        <v>105</v>
      </c>
      <c r="AH245">
        <v>45</v>
      </c>
      <c r="AI245">
        <v>50</v>
      </c>
      <c r="AJ245">
        <v>0</v>
      </c>
      <c r="AK245">
        <v>20</v>
      </c>
      <c r="AL245" t="s">
        <v>902</v>
      </c>
      <c r="AM245" t="s">
        <v>653</v>
      </c>
      <c r="AN245" t="s">
        <v>903</v>
      </c>
      <c r="AO245" t="s">
        <v>3483</v>
      </c>
      <c r="AP245" t="s">
        <v>3484</v>
      </c>
      <c r="AQ245" t="s">
        <v>74</v>
      </c>
      <c r="AR245" t="s">
        <v>3485</v>
      </c>
      <c r="AS245" t="s">
        <v>3486</v>
      </c>
      <c r="AT245" t="s">
        <v>5038</v>
      </c>
      <c r="AU245">
        <v>2014</v>
      </c>
      <c r="AV245">
        <v>388</v>
      </c>
      <c r="AW245" t="s">
        <v>74</v>
      </c>
      <c r="AX245" t="s">
        <v>74</v>
      </c>
      <c r="AY245" t="s">
        <v>74</v>
      </c>
      <c r="AZ245" t="s">
        <v>74</v>
      </c>
      <c r="BA245" t="s">
        <v>74</v>
      </c>
      <c r="BB245">
        <v>143</v>
      </c>
      <c r="BC245">
        <v>155</v>
      </c>
      <c r="BD245" t="s">
        <v>74</v>
      </c>
      <c r="BE245" t="s">
        <v>5101</v>
      </c>
      <c r="BF245" t="str">
        <f>HYPERLINK("http://dx.doi.org/10.1016/j.epsl.2013.11.051","http://dx.doi.org/10.1016/j.epsl.2013.11.051")</f>
        <v>http://dx.doi.org/10.1016/j.epsl.2013.11.051</v>
      </c>
      <c r="BG245" t="s">
        <v>74</v>
      </c>
      <c r="BH245" t="s">
        <v>74</v>
      </c>
      <c r="BI245">
        <v>13</v>
      </c>
      <c r="BJ245" t="s">
        <v>574</v>
      </c>
      <c r="BK245" t="s">
        <v>101</v>
      </c>
      <c r="BL245" t="s">
        <v>574</v>
      </c>
      <c r="BM245" t="s">
        <v>5102</v>
      </c>
      <c r="BN245" t="s">
        <v>74</v>
      </c>
      <c r="BO245" t="s">
        <v>74</v>
      </c>
      <c r="BP245" t="s">
        <v>74</v>
      </c>
      <c r="BQ245" t="s">
        <v>74</v>
      </c>
      <c r="BR245" t="s">
        <v>104</v>
      </c>
      <c r="BS245" t="s">
        <v>5103</v>
      </c>
      <c r="BT245" t="str">
        <f>HYPERLINK("https%3A%2F%2Fwww.webofscience.com%2Fwos%2Fwoscc%2Ffull-record%2FWOS:000331502600015","View Full Record in Web of Science")</f>
        <v>View Full Record in Web of Science</v>
      </c>
    </row>
    <row r="246" spans="1:72" x14ac:dyDescent="0.15">
      <c r="A246" t="s">
        <v>72</v>
      </c>
      <c r="B246" t="s">
        <v>5104</v>
      </c>
      <c r="C246" t="s">
        <v>74</v>
      </c>
      <c r="D246" t="s">
        <v>74</v>
      </c>
      <c r="E246" t="s">
        <v>74</v>
      </c>
      <c r="F246" t="s">
        <v>5105</v>
      </c>
      <c r="G246" t="s">
        <v>74</v>
      </c>
      <c r="H246" t="s">
        <v>74</v>
      </c>
      <c r="I246" t="s">
        <v>5106</v>
      </c>
      <c r="J246" t="s">
        <v>3471</v>
      </c>
      <c r="K246" t="s">
        <v>74</v>
      </c>
      <c r="L246" t="s">
        <v>74</v>
      </c>
      <c r="M246" t="s">
        <v>78</v>
      </c>
      <c r="N246" t="s">
        <v>79</v>
      </c>
      <c r="O246" t="s">
        <v>74</v>
      </c>
      <c r="P246" t="s">
        <v>74</v>
      </c>
      <c r="Q246" t="s">
        <v>74</v>
      </c>
      <c r="R246" t="s">
        <v>74</v>
      </c>
      <c r="S246" t="s">
        <v>74</v>
      </c>
      <c r="T246" t="s">
        <v>5107</v>
      </c>
      <c r="U246" t="s">
        <v>5108</v>
      </c>
      <c r="V246" t="s">
        <v>5109</v>
      </c>
      <c r="W246" t="s">
        <v>5110</v>
      </c>
      <c r="X246" t="s">
        <v>5111</v>
      </c>
      <c r="Y246" t="s">
        <v>5112</v>
      </c>
      <c r="Z246" t="s">
        <v>5113</v>
      </c>
      <c r="AA246" t="s">
        <v>5114</v>
      </c>
      <c r="AB246" t="s">
        <v>5115</v>
      </c>
      <c r="AC246" t="s">
        <v>5116</v>
      </c>
      <c r="AD246" t="s">
        <v>5117</v>
      </c>
      <c r="AE246" t="s">
        <v>5118</v>
      </c>
      <c r="AF246" t="s">
        <v>74</v>
      </c>
      <c r="AG246">
        <v>81</v>
      </c>
      <c r="AH246">
        <v>27</v>
      </c>
      <c r="AI246">
        <v>30</v>
      </c>
      <c r="AJ246">
        <v>1</v>
      </c>
      <c r="AK246">
        <v>55</v>
      </c>
      <c r="AL246" t="s">
        <v>652</v>
      </c>
      <c r="AM246" t="s">
        <v>653</v>
      </c>
      <c r="AN246" t="s">
        <v>654</v>
      </c>
      <c r="AO246" t="s">
        <v>3483</v>
      </c>
      <c r="AP246" t="s">
        <v>3484</v>
      </c>
      <c r="AQ246" t="s">
        <v>74</v>
      </c>
      <c r="AR246" t="s">
        <v>3485</v>
      </c>
      <c r="AS246" t="s">
        <v>3486</v>
      </c>
      <c r="AT246" t="s">
        <v>5038</v>
      </c>
      <c r="AU246">
        <v>2014</v>
      </c>
      <c r="AV246">
        <v>388</v>
      </c>
      <c r="AW246" t="s">
        <v>74</v>
      </c>
      <c r="AX246" t="s">
        <v>74</v>
      </c>
      <c r="AY246" t="s">
        <v>74</v>
      </c>
      <c r="AZ246" t="s">
        <v>74</v>
      </c>
      <c r="BA246" t="s">
        <v>74</v>
      </c>
      <c r="BB246">
        <v>293</v>
      </c>
      <c r="BC246">
        <v>305</v>
      </c>
      <c r="BD246" t="s">
        <v>74</v>
      </c>
      <c r="BE246" t="s">
        <v>5119</v>
      </c>
      <c r="BF246" t="str">
        <f>HYPERLINK("http://dx.doi.org/10.1016/j.epsl.2013.11.035","http://dx.doi.org/10.1016/j.epsl.2013.11.035")</f>
        <v>http://dx.doi.org/10.1016/j.epsl.2013.11.035</v>
      </c>
      <c r="BG246" t="s">
        <v>74</v>
      </c>
      <c r="BH246" t="s">
        <v>74</v>
      </c>
      <c r="BI246">
        <v>13</v>
      </c>
      <c r="BJ246" t="s">
        <v>574</v>
      </c>
      <c r="BK246" t="s">
        <v>101</v>
      </c>
      <c r="BL246" t="s">
        <v>574</v>
      </c>
      <c r="BM246" t="s">
        <v>5102</v>
      </c>
      <c r="BN246" t="s">
        <v>74</v>
      </c>
      <c r="BO246" t="s">
        <v>74</v>
      </c>
      <c r="BP246" t="s">
        <v>74</v>
      </c>
      <c r="BQ246" t="s">
        <v>74</v>
      </c>
      <c r="BR246" t="s">
        <v>104</v>
      </c>
      <c r="BS246" t="s">
        <v>5120</v>
      </c>
      <c r="BT246" t="str">
        <f>HYPERLINK("https%3A%2F%2Fwww.webofscience.com%2Fwos%2Fwoscc%2Ffull-record%2FWOS:000331502600029","View Full Record in Web of Science")</f>
        <v>View Full Record in Web of Science</v>
      </c>
    </row>
    <row r="247" spans="1:72" x14ac:dyDescent="0.15">
      <c r="A247" t="s">
        <v>72</v>
      </c>
      <c r="B247" t="s">
        <v>5121</v>
      </c>
      <c r="C247" t="s">
        <v>74</v>
      </c>
      <c r="D247" t="s">
        <v>74</v>
      </c>
      <c r="E247" t="s">
        <v>74</v>
      </c>
      <c r="F247" t="s">
        <v>5122</v>
      </c>
      <c r="G247" t="s">
        <v>74</v>
      </c>
      <c r="H247" t="s">
        <v>74</v>
      </c>
      <c r="I247" t="s">
        <v>5123</v>
      </c>
      <c r="J247" t="s">
        <v>3567</v>
      </c>
      <c r="K247" t="s">
        <v>74</v>
      </c>
      <c r="L247" t="s">
        <v>74</v>
      </c>
      <c r="M247" t="s">
        <v>78</v>
      </c>
      <c r="N247" t="s">
        <v>79</v>
      </c>
      <c r="O247" t="s">
        <v>74</v>
      </c>
      <c r="P247" t="s">
        <v>74</v>
      </c>
      <c r="Q247" t="s">
        <v>74</v>
      </c>
      <c r="R247" t="s">
        <v>74</v>
      </c>
      <c r="S247" t="s">
        <v>74</v>
      </c>
      <c r="T247" t="s">
        <v>74</v>
      </c>
      <c r="U247" t="s">
        <v>5124</v>
      </c>
      <c r="V247" t="s">
        <v>5125</v>
      </c>
      <c r="W247" t="s">
        <v>5126</v>
      </c>
      <c r="X247" t="s">
        <v>5127</v>
      </c>
      <c r="Y247" t="s">
        <v>5128</v>
      </c>
      <c r="Z247" t="s">
        <v>5129</v>
      </c>
      <c r="AA247" t="s">
        <v>5130</v>
      </c>
      <c r="AB247" t="s">
        <v>5131</v>
      </c>
      <c r="AC247" t="s">
        <v>5132</v>
      </c>
      <c r="AD247" t="s">
        <v>5133</v>
      </c>
      <c r="AE247" t="s">
        <v>5134</v>
      </c>
      <c r="AF247" t="s">
        <v>74</v>
      </c>
      <c r="AG247">
        <v>77</v>
      </c>
      <c r="AH247">
        <v>62</v>
      </c>
      <c r="AI247">
        <v>72</v>
      </c>
      <c r="AJ247">
        <v>2</v>
      </c>
      <c r="AK247">
        <v>52</v>
      </c>
      <c r="AL247" t="s">
        <v>946</v>
      </c>
      <c r="AM247" t="s">
        <v>522</v>
      </c>
      <c r="AN247" t="s">
        <v>947</v>
      </c>
      <c r="AO247" t="s">
        <v>3579</v>
      </c>
      <c r="AP247" t="s">
        <v>3580</v>
      </c>
      <c r="AQ247" t="s">
        <v>74</v>
      </c>
      <c r="AR247" t="s">
        <v>3581</v>
      </c>
      <c r="AS247" t="s">
        <v>3582</v>
      </c>
      <c r="AT247" t="s">
        <v>5038</v>
      </c>
      <c r="AU247">
        <v>2014</v>
      </c>
      <c r="AV247">
        <v>127</v>
      </c>
      <c r="AW247" t="s">
        <v>74</v>
      </c>
      <c r="AX247" t="s">
        <v>74</v>
      </c>
      <c r="AY247" t="s">
        <v>74</v>
      </c>
      <c r="AZ247" t="s">
        <v>74</v>
      </c>
      <c r="BA247" t="s">
        <v>74</v>
      </c>
      <c r="BB247">
        <v>171</v>
      </c>
      <c r="BC247">
        <v>189</v>
      </c>
      <c r="BD247" t="s">
        <v>74</v>
      </c>
      <c r="BE247" t="s">
        <v>5135</v>
      </c>
      <c r="BF247" t="str">
        <f>HYPERLINK("http://dx.doi.org/10.1016/j.gca.2013.11.038","http://dx.doi.org/10.1016/j.gca.2013.11.038")</f>
        <v>http://dx.doi.org/10.1016/j.gca.2013.11.038</v>
      </c>
      <c r="BG247" t="s">
        <v>74</v>
      </c>
      <c r="BH247" t="s">
        <v>74</v>
      </c>
      <c r="BI247">
        <v>19</v>
      </c>
      <c r="BJ247" t="s">
        <v>574</v>
      </c>
      <c r="BK247" t="s">
        <v>101</v>
      </c>
      <c r="BL247" t="s">
        <v>574</v>
      </c>
      <c r="BM247" t="s">
        <v>5136</v>
      </c>
      <c r="BN247" t="s">
        <v>74</v>
      </c>
      <c r="BO247" t="s">
        <v>74</v>
      </c>
      <c r="BP247" t="s">
        <v>74</v>
      </c>
      <c r="BQ247" t="s">
        <v>74</v>
      </c>
      <c r="BR247" t="s">
        <v>104</v>
      </c>
      <c r="BS247" t="s">
        <v>5137</v>
      </c>
      <c r="BT247" t="str">
        <f>HYPERLINK("https%3A%2F%2Fwww.webofscience.com%2Fwos%2Fwoscc%2Ffull-record%2FWOS:000329842900011","View Full Record in Web of Science")</f>
        <v>View Full Record in Web of Science</v>
      </c>
    </row>
    <row r="248" spans="1:72" x14ac:dyDescent="0.15">
      <c r="A248" t="s">
        <v>72</v>
      </c>
      <c r="B248" t="s">
        <v>5138</v>
      </c>
      <c r="C248" t="s">
        <v>74</v>
      </c>
      <c r="D248" t="s">
        <v>74</v>
      </c>
      <c r="E248" t="s">
        <v>74</v>
      </c>
      <c r="F248" t="s">
        <v>5139</v>
      </c>
      <c r="G248" t="s">
        <v>74</v>
      </c>
      <c r="H248" t="s">
        <v>74</v>
      </c>
      <c r="I248" t="s">
        <v>5140</v>
      </c>
      <c r="J248" t="s">
        <v>3567</v>
      </c>
      <c r="K248" t="s">
        <v>74</v>
      </c>
      <c r="L248" t="s">
        <v>74</v>
      </c>
      <c r="M248" t="s">
        <v>78</v>
      </c>
      <c r="N248" t="s">
        <v>79</v>
      </c>
      <c r="O248" t="s">
        <v>74</v>
      </c>
      <c r="P248" t="s">
        <v>74</v>
      </c>
      <c r="Q248" t="s">
        <v>74</v>
      </c>
      <c r="R248" t="s">
        <v>74</v>
      </c>
      <c r="S248" t="s">
        <v>74</v>
      </c>
      <c r="T248" t="s">
        <v>74</v>
      </c>
      <c r="U248" t="s">
        <v>5141</v>
      </c>
      <c r="V248" t="s">
        <v>5142</v>
      </c>
      <c r="W248" t="s">
        <v>5143</v>
      </c>
      <c r="X248" t="s">
        <v>5144</v>
      </c>
      <c r="Y248" t="s">
        <v>5145</v>
      </c>
      <c r="Z248" t="s">
        <v>5146</v>
      </c>
      <c r="AA248" t="s">
        <v>5147</v>
      </c>
      <c r="AB248" t="s">
        <v>5148</v>
      </c>
      <c r="AC248" t="s">
        <v>5149</v>
      </c>
      <c r="AD248" t="s">
        <v>5150</v>
      </c>
      <c r="AE248" t="s">
        <v>5151</v>
      </c>
      <c r="AF248" t="s">
        <v>74</v>
      </c>
      <c r="AG248">
        <v>108</v>
      </c>
      <c r="AH248">
        <v>88</v>
      </c>
      <c r="AI248">
        <v>96</v>
      </c>
      <c r="AJ248">
        <v>6</v>
      </c>
      <c r="AK248">
        <v>105</v>
      </c>
      <c r="AL248" t="s">
        <v>946</v>
      </c>
      <c r="AM248" t="s">
        <v>522</v>
      </c>
      <c r="AN248" t="s">
        <v>947</v>
      </c>
      <c r="AO248" t="s">
        <v>3579</v>
      </c>
      <c r="AP248" t="s">
        <v>3580</v>
      </c>
      <c r="AQ248" t="s">
        <v>74</v>
      </c>
      <c r="AR248" t="s">
        <v>3581</v>
      </c>
      <c r="AS248" t="s">
        <v>3582</v>
      </c>
      <c r="AT248" t="s">
        <v>5038</v>
      </c>
      <c r="AU248">
        <v>2014</v>
      </c>
      <c r="AV248">
        <v>127</v>
      </c>
      <c r="AW248" t="s">
        <v>74</v>
      </c>
      <c r="AX248" t="s">
        <v>74</v>
      </c>
      <c r="AY248" t="s">
        <v>74</v>
      </c>
      <c r="AZ248" t="s">
        <v>74</v>
      </c>
      <c r="BA248" t="s">
        <v>74</v>
      </c>
      <c r="BB248">
        <v>348</v>
      </c>
      <c r="BC248">
        <v>367</v>
      </c>
      <c r="BD248" t="s">
        <v>74</v>
      </c>
      <c r="BE248" t="s">
        <v>5152</v>
      </c>
      <c r="BF248" t="str">
        <f>HYPERLINK("http://dx.doi.org/10.1016/j.gca.2013.10.022","http://dx.doi.org/10.1016/j.gca.2013.10.022")</f>
        <v>http://dx.doi.org/10.1016/j.gca.2013.10.022</v>
      </c>
      <c r="BG248" t="s">
        <v>74</v>
      </c>
      <c r="BH248" t="s">
        <v>74</v>
      </c>
      <c r="BI248">
        <v>20</v>
      </c>
      <c r="BJ248" t="s">
        <v>574</v>
      </c>
      <c r="BK248" t="s">
        <v>101</v>
      </c>
      <c r="BL248" t="s">
        <v>574</v>
      </c>
      <c r="BM248" t="s">
        <v>5136</v>
      </c>
      <c r="BN248" t="s">
        <v>74</v>
      </c>
      <c r="BO248" t="s">
        <v>74</v>
      </c>
      <c r="BP248" t="s">
        <v>74</v>
      </c>
      <c r="BQ248" t="s">
        <v>74</v>
      </c>
      <c r="BR248" t="s">
        <v>104</v>
      </c>
      <c r="BS248" t="s">
        <v>5153</v>
      </c>
      <c r="BT248" t="str">
        <f>HYPERLINK("https%3A%2F%2Fwww.webofscience.com%2Fwos%2Fwoscc%2Ffull-record%2FWOS:000329842900021","View Full Record in Web of Science")</f>
        <v>View Full Record in Web of Science</v>
      </c>
    </row>
    <row r="249" spans="1:72" x14ac:dyDescent="0.15">
      <c r="A249" t="s">
        <v>72</v>
      </c>
      <c r="B249" t="s">
        <v>5154</v>
      </c>
      <c r="C249" t="s">
        <v>74</v>
      </c>
      <c r="D249" t="s">
        <v>74</v>
      </c>
      <c r="E249" t="s">
        <v>74</v>
      </c>
      <c r="F249" t="s">
        <v>5155</v>
      </c>
      <c r="G249" t="s">
        <v>74</v>
      </c>
      <c r="H249" t="s">
        <v>74</v>
      </c>
      <c r="I249" t="s">
        <v>5156</v>
      </c>
      <c r="J249" t="s">
        <v>2097</v>
      </c>
      <c r="K249" t="s">
        <v>74</v>
      </c>
      <c r="L249" t="s">
        <v>74</v>
      </c>
      <c r="M249" t="s">
        <v>78</v>
      </c>
      <c r="N249" t="s">
        <v>79</v>
      </c>
      <c r="O249" t="s">
        <v>74</v>
      </c>
      <c r="P249" t="s">
        <v>74</v>
      </c>
      <c r="Q249" t="s">
        <v>74</v>
      </c>
      <c r="R249" t="s">
        <v>74</v>
      </c>
      <c r="S249" t="s">
        <v>74</v>
      </c>
      <c r="T249" t="s">
        <v>5157</v>
      </c>
      <c r="U249" t="s">
        <v>5158</v>
      </c>
      <c r="V249" t="s">
        <v>5159</v>
      </c>
      <c r="W249" t="s">
        <v>5160</v>
      </c>
      <c r="X249" t="s">
        <v>5161</v>
      </c>
      <c r="Y249" t="s">
        <v>5162</v>
      </c>
      <c r="Z249" t="s">
        <v>5163</v>
      </c>
      <c r="AA249" t="s">
        <v>74</v>
      </c>
      <c r="AB249" t="s">
        <v>5164</v>
      </c>
      <c r="AC249" t="s">
        <v>5165</v>
      </c>
      <c r="AD249" t="s">
        <v>5165</v>
      </c>
      <c r="AE249" t="s">
        <v>5166</v>
      </c>
      <c r="AF249" t="s">
        <v>74</v>
      </c>
      <c r="AG249">
        <v>22</v>
      </c>
      <c r="AH249">
        <v>94</v>
      </c>
      <c r="AI249">
        <v>102</v>
      </c>
      <c r="AJ249">
        <v>1</v>
      </c>
      <c r="AK249">
        <v>138</v>
      </c>
      <c r="AL249" t="s">
        <v>946</v>
      </c>
      <c r="AM249" t="s">
        <v>522</v>
      </c>
      <c r="AN249" t="s">
        <v>947</v>
      </c>
      <c r="AO249" t="s">
        <v>2109</v>
      </c>
      <c r="AP249" t="s">
        <v>2110</v>
      </c>
      <c r="AQ249" t="s">
        <v>74</v>
      </c>
      <c r="AR249" t="s">
        <v>2111</v>
      </c>
      <c r="AS249" t="s">
        <v>2112</v>
      </c>
      <c r="AT249" t="s">
        <v>5038</v>
      </c>
      <c r="AU249">
        <v>2014</v>
      </c>
      <c r="AV249">
        <v>79</v>
      </c>
      <c r="AW249" t="s">
        <v>1531</v>
      </c>
      <c r="AX249" t="s">
        <v>74</v>
      </c>
      <c r="AY249" t="s">
        <v>74</v>
      </c>
      <c r="AZ249" t="s">
        <v>74</v>
      </c>
      <c r="BA249" t="s">
        <v>74</v>
      </c>
      <c r="BB249">
        <v>220</v>
      </c>
      <c r="BC249">
        <v>224</v>
      </c>
      <c r="BD249" t="s">
        <v>74</v>
      </c>
      <c r="BE249" t="s">
        <v>5167</v>
      </c>
      <c r="BF249" t="str">
        <f>HYPERLINK("http://dx.doi.org/10.1016/j.marpolbul.2013.12.010","http://dx.doi.org/10.1016/j.marpolbul.2013.12.010")</f>
        <v>http://dx.doi.org/10.1016/j.marpolbul.2013.12.010</v>
      </c>
      <c r="BG249" t="s">
        <v>74</v>
      </c>
      <c r="BH249" t="s">
        <v>74</v>
      </c>
      <c r="BI249">
        <v>5</v>
      </c>
      <c r="BJ249" t="s">
        <v>2114</v>
      </c>
      <c r="BK249" t="s">
        <v>101</v>
      </c>
      <c r="BL249" t="s">
        <v>2115</v>
      </c>
      <c r="BM249" t="s">
        <v>5040</v>
      </c>
      <c r="BN249">
        <v>24360332</v>
      </c>
      <c r="BO249" t="s">
        <v>74</v>
      </c>
      <c r="BP249" t="s">
        <v>74</v>
      </c>
      <c r="BQ249" t="s">
        <v>74</v>
      </c>
      <c r="BR249" t="s">
        <v>104</v>
      </c>
      <c r="BS249" t="s">
        <v>5168</v>
      </c>
      <c r="BT249" t="str">
        <f>HYPERLINK("https%3A%2F%2Fwww.webofscience.com%2Fwos%2Fwoscc%2Ffull-record%2FWOS:000332436300039","View Full Record in Web of Science")</f>
        <v>View Full Record in Web of Science</v>
      </c>
    </row>
    <row r="250" spans="1:72" x14ac:dyDescent="0.15">
      <c r="A250" t="s">
        <v>72</v>
      </c>
      <c r="B250" t="s">
        <v>5169</v>
      </c>
      <c r="C250" t="s">
        <v>74</v>
      </c>
      <c r="D250" t="s">
        <v>74</v>
      </c>
      <c r="E250" t="s">
        <v>74</v>
      </c>
      <c r="F250" t="s">
        <v>5170</v>
      </c>
      <c r="G250" t="s">
        <v>74</v>
      </c>
      <c r="H250" t="s">
        <v>74</v>
      </c>
      <c r="I250" t="s">
        <v>5171</v>
      </c>
      <c r="J250" t="s">
        <v>1397</v>
      </c>
      <c r="K250" t="s">
        <v>74</v>
      </c>
      <c r="L250" t="s">
        <v>74</v>
      </c>
      <c r="M250" t="s">
        <v>78</v>
      </c>
      <c r="N250" t="s">
        <v>79</v>
      </c>
      <c r="O250" t="s">
        <v>74</v>
      </c>
      <c r="P250" t="s">
        <v>74</v>
      </c>
      <c r="Q250" t="s">
        <v>74</v>
      </c>
      <c r="R250" t="s">
        <v>74</v>
      </c>
      <c r="S250" t="s">
        <v>74</v>
      </c>
      <c r="T250" t="s">
        <v>5172</v>
      </c>
      <c r="U250" t="s">
        <v>5173</v>
      </c>
      <c r="V250" t="s">
        <v>5174</v>
      </c>
      <c r="W250" t="s">
        <v>5175</v>
      </c>
      <c r="X250" t="s">
        <v>5176</v>
      </c>
      <c r="Y250" t="s">
        <v>5177</v>
      </c>
      <c r="Z250" t="s">
        <v>5178</v>
      </c>
      <c r="AA250" t="s">
        <v>5179</v>
      </c>
      <c r="AB250" t="s">
        <v>5180</v>
      </c>
      <c r="AC250" t="s">
        <v>5181</v>
      </c>
      <c r="AD250" t="s">
        <v>5182</v>
      </c>
      <c r="AE250" t="s">
        <v>5183</v>
      </c>
      <c r="AF250" t="s">
        <v>74</v>
      </c>
      <c r="AG250">
        <v>70</v>
      </c>
      <c r="AH250">
        <v>31</v>
      </c>
      <c r="AI250">
        <v>37</v>
      </c>
      <c r="AJ250">
        <v>7</v>
      </c>
      <c r="AK250">
        <v>63</v>
      </c>
      <c r="AL250" t="s">
        <v>946</v>
      </c>
      <c r="AM250" t="s">
        <v>522</v>
      </c>
      <c r="AN250" t="s">
        <v>947</v>
      </c>
      <c r="AO250" t="s">
        <v>1410</v>
      </c>
      <c r="AP250" t="s">
        <v>74</v>
      </c>
      <c r="AQ250" t="s">
        <v>74</v>
      </c>
      <c r="AR250" t="s">
        <v>1412</v>
      </c>
      <c r="AS250" t="s">
        <v>1413</v>
      </c>
      <c r="AT250" t="s">
        <v>5038</v>
      </c>
      <c r="AU250">
        <v>2014</v>
      </c>
      <c r="AV250">
        <v>86</v>
      </c>
      <c r="AW250" t="s">
        <v>74</v>
      </c>
      <c r="AX250" t="s">
        <v>74</v>
      </c>
      <c r="AY250" t="s">
        <v>74</v>
      </c>
      <c r="AZ250" t="s">
        <v>74</v>
      </c>
      <c r="BA250" t="s">
        <v>74</v>
      </c>
      <c r="BB250">
        <v>24</v>
      </c>
      <c r="BC250">
        <v>34</v>
      </c>
      <c r="BD250" t="s">
        <v>74</v>
      </c>
      <c r="BE250" t="s">
        <v>5184</v>
      </c>
      <c r="BF250" t="str">
        <f>HYPERLINK("http://dx.doi.org/10.1016/j.quascirev.2013.12.018","http://dx.doi.org/10.1016/j.quascirev.2013.12.018")</f>
        <v>http://dx.doi.org/10.1016/j.quascirev.2013.12.018</v>
      </c>
      <c r="BG250" t="s">
        <v>74</v>
      </c>
      <c r="BH250" t="s">
        <v>74</v>
      </c>
      <c r="BI250">
        <v>11</v>
      </c>
      <c r="BJ250" t="s">
        <v>1415</v>
      </c>
      <c r="BK250" t="s">
        <v>101</v>
      </c>
      <c r="BL250" t="s">
        <v>1416</v>
      </c>
      <c r="BM250" t="s">
        <v>5185</v>
      </c>
      <c r="BN250" t="s">
        <v>74</v>
      </c>
      <c r="BO250" t="s">
        <v>74</v>
      </c>
      <c r="BP250" t="s">
        <v>74</v>
      </c>
      <c r="BQ250" t="s">
        <v>74</v>
      </c>
      <c r="BR250" t="s">
        <v>104</v>
      </c>
      <c r="BS250" t="s">
        <v>5186</v>
      </c>
      <c r="BT250" t="str">
        <f>HYPERLINK("https%3A%2F%2Fwww.webofscience.com%2Fwos%2Fwoscc%2Ffull-record%2FWOS:000331991100003","View Full Record in Web of Science")</f>
        <v>View Full Record in Web of Science</v>
      </c>
    </row>
    <row r="251" spans="1:72" x14ac:dyDescent="0.15">
      <c r="A251" t="s">
        <v>72</v>
      </c>
      <c r="B251" t="s">
        <v>5187</v>
      </c>
      <c r="C251" t="s">
        <v>74</v>
      </c>
      <c r="D251" t="s">
        <v>74</v>
      </c>
      <c r="E251" t="s">
        <v>74</v>
      </c>
      <c r="F251" t="s">
        <v>5188</v>
      </c>
      <c r="G251" t="s">
        <v>74</v>
      </c>
      <c r="H251" t="s">
        <v>74</v>
      </c>
      <c r="I251" t="s">
        <v>5189</v>
      </c>
      <c r="J251" t="s">
        <v>1397</v>
      </c>
      <c r="K251" t="s">
        <v>74</v>
      </c>
      <c r="L251" t="s">
        <v>74</v>
      </c>
      <c r="M251" t="s">
        <v>78</v>
      </c>
      <c r="N251" t="s">
        <v>79</v>
      </c>
      <c r="O251" t="s">
        <v>74</v>
      </c>
      <c r="P251" t="s">
        <v>74</v>
      </c>
      <c r="Q251" t="s">
        <v>74</v>
      </c>
      <c r="R251" t="s">
        <v>74</v>
      </c>
      <c r="S251" t="s">
        <v>74</v>
      </c>
      <c r="T251" t="s">
        <v>5190</v>
      </c>
      <c r="U251" t="s">
        <v>5191</v>
      </c>
      <c r="V251" t="s">
        <v>5192</v>
      </c>
      <c r="W251" t="s">
        <v>5193</v>
      </c>
      <c r="X251" t="s">
        <v>5194</v>
      </c>
      <c r="Y251" t="s">
        <v>5195</v>
      </c>
      <c r="Z251" t="s">
        <v>5196</v>
      </c>
      <c r="AA251" t="s">
        <v>5197</v>
      </c>
      <c r="AB251" t="s">
        <v>5198</v>
      </c>
      <c r="AC251" t="s">
        <v>5199</v>
      </c>
      <c r="AD251" t="s">
        <v>5200</v>
      </c>
      <c r="AE251" t="s">
        <v>5201</v>
      </c>
      <c r="AF251" t="s">
        <v>74</v>
      </c>
      <c r="AG251">
        <v>72</v>
      </c>
      <c r="AH251">
        <v>26</v>
      </c>
      <c r="AI251">
        <v>27</v>
      </c>
      <c r="AJ251">
        <v>1</v>
      </c>
      <c r="AK251">
        <v>32</v>
      </c>
      <c r="AL251" t="s">
        <v>946</v>
      </c>
      <c r="AM251" t="s">
        <v>522</v>
      </c>
      <c r="AN251" t="s">
        <v>947</v>
      </c>
      <c r="AO251" t="s">
        <v>1410</v>
      </c>
      <c r="AP251" t="s">
        <v>74</v>
      </c>
      <c r="AQ251" t="s">
        <v>74</v>
      </c>
      <c r="AR251" t="s">
        <v>1412</v>
      </c>
      <c r="AS251" t="s">
        <v>1413</v>
      </c>
      <c r="AT251" t="s">
        <v>5038</v>
      </c>
      <c r="AU251">
        <v>2014</v>
      </c>
      <c r="AV251">
        <v>86</v>
      </c>
      <c r="AW251" t="s">
        <v>74</v>
      </c>
      <c r="AX251" t="s">
        <v>74</v>
      </c>
      <c r="AY251" t="s">
        <v>74</v>
      </c>
      <c r="AZ251" t="s">
        <v>74</v>
      </c>
      <c r="BA251" t="s">
        <v>74</v>
      </c>
      <c r="BB251">
        <v>78</v>
      </c>
      <c r="BC251">
        <v>88</v>
      </c>
      <c r="BD251" t="s">
        <v>74</v>
      </c>
      <c r="BE251" t="s">
        <v>5202</v>
      </c>
      <c r="BF251" t="str">
        <f>HYPERLINK("http://dx.doi.org/10.1016/j.quascirev.2013.11.012","http://dx.doi.org/10.1016/j.quascirev.2013.11.012")</f>
        <v>http://dx.doi.org/10.1016/j.quascirev.2013.11.012</v>
      </c>
      <c r="BG251" t="s">
        <v>74</v>
      </c>
      <c r="BH251" t="s">
        <v>74</v>
      </c>
      <c r="BI251">
        <v>11</v>
      </c>
      <c r="BJ251" t="s">
        <v>1415</v>
      </c>
      <c r="BK251" t="s">
        <v>101</v>
      </c>
      <c r="BL251" t="s">
        <v>1416</v>
      </c>
      <c r="BM251" t="s">
        <v>5185</v>
      </c>
      <c r="BN251" t="s">
        <v>74</v>
      </c>
      <c r="BO251" t="s">
        <v>270</v>
      </c>
      <c r="BP251" t="s">
        <v>74</v>
      </c>
      <c r="BQ251" t="s">
        <v>74</v>
      </c>
      <c r="BR251" t="s">
        <v>104</v>
      </c>
      <c r="BS251" t="s">
        <v>5203</v>
      </c>
      <c r="BT251" t="str">
        <f>HYPERLINK("https%3A%2F%2Fwww.webofscience.com%2Fwos%2Fwoscc%2Ffull-record%2FWOS:000331991100007","View Full Record in Web of Science")</f>
        <v>View Full Record in Web of Science</v>
      </c>
    </row>
    <row r="252" spans="1:72" x14ac:dyDescent="0.15">
      <c r="A252" t="s">
        <v>72</v>
      </c>
      <c r="B252" t="s">
        <v>5204</v>
      </c>
      <c r="C252" t="s">
        <v>74</v>
      </c>
      <c r="D252" t="s">
        <v>74</v>
      </c>
      <c r="E252" t="s">
        <v>74</v>
      </c>
      <c r="F252" t="s">
        <v>5205</v>
      </c>
      <c r="G252" t="s">
        <v>74</v>
      </c>
      <c r="H252" t="s">
        <v>74</v>
      </c>
      <c r="I252" t="s">
        <v>5206</v>
      </c>
      <c r="J252" t="s">
        <v>5207</v>
      </c>
      <c r="K252" t="s">
        <v>74</v>
      </c>
      <c r="L252" t="s">
        <v>74</v>
      </c>
      <c r="M252" t="s">
        <v>78</v>
      </c>
      <c r="N252" t="s">
        <v>79</v>
      </c>
      <c r="O252" t="s">
        <v>74</v>
      </c>
      <c r="P252" t="s">
        <v>74</v>
      </c>
      <c r="Q252" t="s">
        <v>74</v>
      </c>
      <c r="R252" t="s">
        <v>74</v>
      </c>
      <c r="S252" t="s">
        <v>74</v>
      </c>
      <c r="T252" t="s">
        <v>74</v>
      </c>
      <c r="U252" t="s">
        <v>5208</v>
      </c>
      <c r="V252" t="s">
        <v>5209</v>
      </c>
      <c r="W252" t="s">
        <v>5210</v>
      </c>
      <c r="X252" t="s">
        <v>5211</v>
      </c>
      <c r="Y252" t="s">
        <v>5212</v>
      </c>
      <c r="Z252" t="s">
        <v>5213</v>
      </c>
      <c r="AA252" t="s">
        <v>5214</v>
      </c>
      <c r="AB252" t="s">
        <v>5215</v>
      </c>
      <c r="AC252" t="s">
        <v>5216</v>
      </c>
      <c r="AD252" t="s">
        <v>5217</v>
      </c>
      <c r="AE252" t="s">
        <v>5218</v>
      </c>
      <c r="AF252" t="s">
        <v>74</v>
      </c>
      <c r="AG252">
        <v>35</v>
      </c>
      <c r="AH252">
        <v>1222</v>
      </c>
      <c r="AI252">
        <v>1314</v>
      </c>
      <c r="AJ252">
        <v>37</v>
      </c>
      <c r="AK252">
        <v>1076</v>
      </c>
      <c r="AL252" t="s">
        <v>2150</v>
      </c>
      <c r="AM252" t="s">
        <v>2151</v>
      </c>
      <c r="AN252" t="s">
        <v>2152</v>
      </c>
      <c r="AO252" t="s">
        <v>5219</v>
      </c>
      <c r="AP252" t="s">
        <v>5220</v>
      </c>
      <c r="AQ252" t="s">
        <v>74</v>
      </c>
      <c r="AR252" t="s">
        <v>5207</v>
      </c>
      <c r="AS252" t="s">
        <v>5221</v>
      </c>
      <c r="AT252" t="s">
        <v>5222</v>
      </c>
      <c r="AU252">
        <v>2014</v>
      </c>
      <c r="AV252">
        <v>506</v>
      </c>
      <c r="AW252">
        <v>7487</v>
      </c>
      <c r="AX252" t="s">
        <v>74</v>
      </c>
      <c r="AY252" t="s">
        <v>74</v>
      </c>
      <c r="AZ252" t="s">
        <v>74</v>
      </c>
      <c r="BA252" t="s">
        <v>74</v>
      </c>
      <c r="BB252">
        <v>216</v>
      </c>
      <c r="BC252" t="s">
        <v>5223</v>
      </c>
      <c r="BD252" t="s">
        <v>74</v>
      </c>
      <c r="BE252" t="s">
        <v>5224</v>
      </c>
      <c r="BF252" t="str">
        <f>HYPERLINK("http://dx.doi.org/10.1038/nature13022","http://dx.doi.org/10.1038/nature13022")</f>
        <v>http://dx.doi.org/10.1038/nature13022</v>
      </c>
      <c r="BG252" t="s">
        <v>74</v>
      </c>
      <c r="BH252" t="s">
        <v>74</v>
      </c>
      <c r="BI252">
        <v>13</v>
      </c>
      <c r="BJ252" t="s">
        <v>1100</v>
      </c>
      <c r="BK252" t="s">
        <v>101</v>
      </c>
      <c r="BL252" t="s">
        <v>1101</v>
      </c>
      <c r="BM252" t="s">
        <v>5225</v>
      </c>
      <c r="BN252">
        <v>24499817</v>
      </c>
      <c r="BO252" t="s">
        <v>5226</v>
      </c>
      <c r="BP252" t="s">
        <v>811</v>
      </c>
      <c r="BQ252" t="s">
        <v>812</v>
      </c>
      <c r="BR252" t="s">
        <v>104</v>
      </c>
      <c r="BS252" t="s">
        <v>5227</v>
      </c>
      <c r="BT252" t="str">
        <f>HYPERLINK("https%3A%2F%2Fwww.webofscience.com%2Fwos%2Fwoscc%2Ffull-record%2FWOS:000331107700037","View Full Record in Web of Science")</f>
        <v>View Full Record in Web of Science</v>
      </c>
    </row>
    <row r="253" spans="1:72" x14ac:dyDescent="0.15">
      <c r="A253" t="s">
        <v>72</v>
      </c>
      <c r="B253" t="s">
        <v>5228</v>
      </c>
      <c r="C253" t="s">
        <v>74</v>
      </c>
      <c r="D253" t="s">
        <v>74</v>
      </c>
      <c r="E253" t="s">
        <v>74</v>
      </c>
      <c r="F253" t="s">
        <v>5229</v>
      </c>
      <c r="G253" t="s">
        <v>74</v>
      </c>
      <c r="H253" t="s">
        <v>74</v>
      </c>
      <c r="I253" t="s">
        <v>5230</v>
      </c>
      <c r="J253" t="s">
        <v>1275</v>
      </c>
      <c r="K253" t="s">
        <v>74</v>
      </c>
      <c r="L253" t="s">
        <v>74</v>
      </c>
      <c r="M253" t="s">
        <v>78</v>
      </c>
      <c r="N253" t="s">
        <v>79</v>
      </c>
      <c r="O253" t="s">
        <v>74</v>
      </c>
      <c r="P253" t="s">
        <v>74</v>
      </c>
      <c r="Q253" t="s">
        <v>74</v>
      </c>
      <c r="R253" t="s">
        <v>74</v>
      </c>
      <c r="S253" t="s">
        <v>74</v>
      </c>
      <c r="T253" t="s">
        <v>74</v>
      </c>
      <c r="U253" t="s">
        <v>5231</v>
      </c>
      <c r="V253" t="s">
        <v>5232</v>
      </c>
      <c r="W253" t="s">
        <v>5233</v>
      </c>
      <c r="X253" t="s">
        <v>5234</v>
      </c>
      <c r="Y253" t="s">
        <v>5235</v>
      </c>
      <c r="Z253" t="s">
        <v>5236</v>
      </c>
      <c r="AA253" t="s">
        <v>5237</v>
      </c>
      <c r="AB253" t="s">
        <v>5238</v>
      </c>
      <c r="AC253" t="s">
        <v>5239</v>
      </c>
      <c r="AD253" t="s">
        <v>350</v>
      </c>
      <c r="AE253" t="s">
        <v>74</v>
      </c>
      <c r="AF253" t="s">
        <v>74</v>
      </c>
      <c r="AG253">
        <v>29</v>
      </c>
      <c r="AH253">
        <v>69</v>
      </c>
      <c r="AI253">
        <v>78</v>
      </c>
      <c r="AJ253">
        <v>2</v>
      </c>
      <c r="AK253">
        <v>45</v>
      </c>
      <c r="AL253" t="s">
        <v>1261</v>
      </c>
      <c r="AM253" t="s">
        <v>1262</v>
      </c>
      <c r="AN253" t="s">
        <v>1263</v>
      </c>
      <c r="AO253" t="s">
        <v>1287</v>
      </c>
      <c r="AP253" t="s">
        <v>74</v>
      </c>
      <c r="AQ253" t="s">
        <v>74</v>
      </c>
      <c r="AR253" t="s">
        <v>1275</v>
      </c>
      <c r="AS253" t="s">
        <v>1288</v>
      </c>
      <c r="AT253" t="s">
        <v>5240</v>
      </c>
      <c r="AU253">
        <v>2014</v>
      </c>
      <c r="AV253">
        <v>9</v>
      </c>
      <c r="AW253">
        <v>2</v>
      </c>
      <c r="AX253" t="s">
        <v>74</v>
      </c>
      <c r="AY253" t="s">
        <v>74</v>
      </c>
      <c r="AZ253" t="s">
        <v>74</v>
      </c>
      <c r="BA253" t="s">
        <v>74</v>
      </c>
      <c r="BB253" t="s">
        <v>74</v>
      </c>
      <c r="BC253" t="s">
        <v>74</v>
      </c>
      <c r="BD253" t="s">
        <v>5241</v>
      </c>
      <c r="BE253" t="s">
        <v>5242</v>
      </c>
      <c r="BF253" t="str">
        <f>HYPERLINK("http://dx.doi.org/10.1371/journal.pone.0088655","http://dx.doi.org/10.1371/journal.pone.0088655")</f>
        <v>http://dx.doi.org/10.1371/journal.pone.0088655</v>
      </c>
      <c r="BG253" t="s">
        <v>74</v>
      </c>
      <c r="BH253" t="s">
        <v>74</v>
      </c>
      <c r="BI253">
        <v>9</v>
      </c>
      <c r="BJ253" t="s">
        <v>1100</v>
      </c>
      <c r="BK253" t="s">
        <v>101</v>
      </c>
      <c r="BL253" t="s">
        <v>1101</v>
      </c>
      <c r="BM253" t="s">
        <v>5243</v>
      </c>
      <c r="BN253" t="s">
        <v>74</v>
      </c>
      <c r="BO253" t="s">
        <v>1292</v>
      </c>
      <c r="BP253" t="s">
        <v>74</v>
      </c>
      <c r="BQ253" t="s">
        <v>74</v>
      </c>
      <c r="BR253" t="s">
        <v>104</v>
      </c>
      <c r="BS253" t="s">
        <v>5244</v>
      </c>
      <c r="BT253" t="str">
        <f>HYPERLINK("https%3A%2F%2Fwww.webofscience.com%2Fwos%2Fwoscc%2Ffull-record%2FWOS:000331262600089","View Full Record in Web of Science")</f>
        <v>View Full Record in Web of Science</v>
      </c>
    </row>
    <row r="254" spans="1:72" x14ac:dyDescent="0.15">
      <c r="A254" t="s">
        <v>72</v>
      </c>
      <c r="B254" t="s">
        <v>5245</v>
      </c>
      <c r="C254" t="s">
        <v>74</v>
      </c>
      <c r="D254" t="s">
        <v>74</v>
      </c>
      <c r="E254" t="s">
        <v>74</v>
      </c>
      <c r="F254" t="s">
        <v>5246</v>
      </c>
      <c r="G254" t="s">
        <v>74</v>
      </c>
      <c r="H254" t="s">
        <v>74</v>
      </c>
      <c r="I254" t="s">
        <v>5247</v>
      </c>
      <c r="J254" t="s">
        <v>1275</v>
      </c>
      <c r="K254" t="s">
        <v>74</v>
      </c>
      <c r="L254" t="s">
        <v>74</v>
      </c>
      <c r="M254" t="s">
        <v>78</v>
      </c>
      <c r="N254" t="s">
        <v>79</v>
      </c>
      <c r="O254" t="s">
        <v>74</v>
      </c>
      <c r="P254" t="s">
        <v>74</v>
      </c>
      <c r="Q254" t="s">
        <v>74</v>
      </c>
      <c r="R254" t="s">
        <v>74</v>
      </c>
      <c r="S254" t="s">
        <v>74</v>
      </c>
      <c r="T254" t="s">
        <v>74</v>
      </c>
      <c r="U254" t="s">
        <v>5248</v>
      </c>
      <c r="V254" t="s">
        <v>5249</v>
      </c>
      <c r="W254" t="s">
        <v>5250</v>
      </c>
      <c r="X254" t="s">
        <v>5251</v>
      </c>
      <c r="Y254" t="s">
        <v>5252</v>
      </c>
      <c r="Z254" t="s">
        <v>5253</v>
      </c>
      <c r="AA254" t="s">
        <v>5254</v>
      </c>
      <c r="AB254" t="s">
        <v>5255</v>
      </c>
      <c r="AC254" t="s">
        <v>5256</v>
      </c>
      <c r="AD254" t="s">
        <v>5257</v>
      </c>
      <c r="AE254" t="s">
        <v>5258</v>
      </c>
      <c r="AF254" t="s">
        <v>74</v>
      </c>
      <c r="AG254">
        <v>43</v>
      </c>
      <c r="AH254">
        <v>81</v>
      </c>
      <c r="AI254">
        <v>92</v>
      </c>
      <c r="AJ254">
        <v>4</v>
      </c>
      <c r="AK254">
        <v>60</v>
      </c>
      <c r="AL254" t="s">
        <v>1261</v>
      </c>
      <c r="AM254" t="s">
        <v>1262</v>
      </c>
      <c r="AN254" t="s">
        <v>1263</v>
      </c>
      <c r="AO254" t="s">
        <v>1287</v>
      </c>
      <c r="AP254" t="s">
        <v>74</v>
      </c>
      <c r="AQ254" t="s">
        <v>74</v>
      </c>
      <c r="AR254" t="s">
        <v>1275</v>
      </c>
      <c r="AS254" t="s">
        <v>1288</v>
      </c>
      <c r="AT254" t="s">
        <v>5259</v>
      </c>
      <c r="AU254">
        <v>2014</v>
      </c>
      <c r="AV254">
        <v>9</v>
      </c>
      <c r="AW254">
        <v>2</v>
      </c>
      <c r="AX254" t="s">
        <v>74</v>
      </c>
      <c r="AY254" t="s">
        <v>74</v>
      </c>
      <c r="AZ254" t="s">
        <v>74</v>
      </c>
      <c r="BA254" t="s">
        <v>74</v>
      </c>
      <c r="BB254" t="s">
        <v>74</v>
      </c>
      <c r="BC254" t="s">
        <v>74</v>
      </c>
      <c r="BD254" t="s">
        <v>5260</v>
      </c>
      <c r="BE254" t="s">
        <v>5261</v>
      </c>
      <c r="BF254" t="str">
        <f>HYPERLINK("http://dx.doi.org/10.1371/journal.pone.0086588","http://dx.doi.org/10.1371/journal.pone.0086588")</f>
        <v>http://dx.doi.org/10.1371/journal.pone.0086588</v>
      </c>
      <c r="BG254" t="s">
        <v>74</v>
      </c>
      <c r="BH254" t="s">
        <v>74</v>
      </c>
      <c r="BI254">
        <v>11</v>
      </c>
      <c r="BJ254" t="s">
        <v>1100</v>
      </c>
      <c r="BK254" t="s">
        <v>101</v>
      </c>
      <c r="BL254" t="s">
        <v>1101</v>
      </c>
      <c r="BM254" t="s">
        <v>5262</v>
      </c>
      <c r="BN254">
        <v>24523862</v>
      </c>
      <c r="BO254" t="s">
        <v>1270</v>
      </c>
      <c r="BP254" t="s">
        <v>74</v>
      </c>
      <c r="BQ254" t="s">
        <v>74</v>
      </c>
      <c r="BR254" t="s">
        <v>104</v>
      </c>
      <c r="BS254" t="s">
        <v>5263</v>
      </c>
      <c r="BT254" t="str">
        <f>HYPERLINK("https%3A%2F%2Fwww.webofscience.com%2Fwos%2Fwoscc%2Ffull-record%2FWOS:000331258100011","View Full Record in Web of Science")</f>
        <v>View Full Record in Web of Science</v>
      </c>
    </row>
    <row r="255" spans="1:72" x14ac:dyDescent="0.15">
      <c r="A255" t="s">
        <v>72</v>
      </c>
      <c r="B255" t="s">
        <v>5264</v>
      </c>
      <c r="C255" t="s">
        <v>74</v>
      </c>
      <c r="D255" t="s">
        <v>74</v>
      </c>
      <c r="E255" t="s">
        <v>74</v>
      </c>
      <c r="F255" t="s">
        <v>5265</v>
      </c>
      <c r="G255" t="s">
        <v>74</v>
      </c>
      <c r="H255" t="s">
        <v>74</v>
      </c>
      <c r="I255" t="s">
        <v>5266</v>
      </c>
      <c r="J255" t="s">
        <v>5267</v>
      </c>
      <c r="K255" t="s">
        <v>74</v>
      </c>
      <c r="L255" t="s">
        <v>74</v>
      </c>
      <c r="M255" t="s">
        <v>78</v>
      </c>
      <c r="N255" t="s">
        <v>79</v>
      </c>
      <c r="O255" t="s">
        <v>74</v>
      </c>
      <c r="P255" t="s">
        <v>74</v>
      </c>
      <c r="Q255" t="s">
        <v>74</v>
      </c>
      <c r="R255" t="s">
        <v>74</v>
      </c>
      <c r="S255" t="s">
        <v>74</v>
      </c>
      <c r="T255" t="s">
        <v>5268</v>
      </c>
      <c r="U255" t="s">
        <v>5269</v>
      </c>
      <c r="V255" t="s">
        <v>5270</v>
      </c>
      <c r="W255" t="s">
        <v>5271</v>
      </c>
      <c r="X255" t="s">
        <v>5272</v>
      </c>
      <c r="Y255" t="s">
        <v>5273</v>
      </c>
      <c r="Z255" t="s">
        <v>5274</v>
      </c>
      <c r="AA255" t="s">
        <v>5275</v>
      </c>
      <c r="AB255" t="s">
        <v>5276</v>
      </c>
      <c r="AC255" t="s">
        <v>5277</v>
      </c>
      <c r="AD255" t="s">
        <v>5278</v>
      </c>
      <c r="AE255" t="s">
        <v>5279</v>
      </c>
      <c r="AF255" t="s">
        <v>74</v>
      </c>
      <c r="AG255">
        <v>53</v>
      </c>
      <c r="AH255">
        <v>9</v>
      </c>
      <c r="AI255">
        <v>11</v>
      </c>
      <c r="AJ255">
        <v>2</v>
      </c>
      <c r="AK255">
        <v>36</v>
      </c>
      <c r="AL255" t="s">
        <v>652</v>
      </c>
      <c r="AM255" t="s">
        <v>653</v>
      </c>
      <c r="AN255" t="s">
        <v>654</v>
      </c>
      <c r="AO255" t="s">
        <v>5280</v>
      </c>
      <c r="AP255" t="s">
        <v>5281</v>
      </c>
      <c r="AQ255" t="s">
        <v>74</v>
      </c>
      <c r="AR255" t="s">
        <v>5282</v>
      </c>
      <c r="AS255" t="s">
        <v>5283</v>
      </c>
      <c r="AT255" t="s">
        <v>5284</v>
      </c>
      <c r="AU255">
        <v>2014</v>
      </c>
      <c r="AV255">
        <v>273</v>
      </c>
      <c r="AW255" t="s">
        <v>74</v>
      </c>
      <c r="AX255" t="s">
        <v>74</v>
      </c>
      <c r="AY255" t="s">
        <v>74</v>
      </c>
      <c r="AZ255" t="s">
        <v>74</v>
      </c>
      <c r="BA255" t="s">
        <v>74</v>
      </c>
      <c r="BB255">
        <v>236</v>
      </c>
      <c r="BC255">
        <v>241</v>
      </c>
      <c r="BD255" t="s">
        <v>74</v>
      </c>
      <c r="BE255" t="s">
        <v>5285</v>
      </c>
      <c r="BF255" t="str">
        <f>HYPERLINK("http://dx.doi.org/10.1016/j.ecolmodel.2013.11.017","http://dx.doi.org/10.1016/j.ecolmodel.2013.11.017")</f>
        <v>http://dx.doi.org/10.1016/j.ecolmodel.2013.11.017</v>
      </c>
      <c r="BG255" t="s">
        <v>74</v>
      </c>
      <c r="BH255" t="s">
        <v>74</v>
      </c>
      <c r="BI255">
        <v>6</v>
      </c>
      <c r="BJ255" t="s">
        <v>451</v>
      </c>
      <c r="BK255" t="s">
        <v>101</v>
      </c>
      <c r="BL255" t="s">
        <v>102</v>
      </c>
      <c r="BM255" t="s">
        <v>5286</v>
      </c>
      <c r="BN255" t="s">
        <v>74</v>
      </c>
      <c r="BO255" t="s">
        <v>252</v>
      </c>
      <c r="BP255" t="s">
        <v>74</v>
      </c>
      <c r="BQ255" t="s">
        <v>74</v>
      </c>
      <c r="BR255" t="s">
        <v>104</v>
      </c>
      <c r="BS255" t="s">
        <v>5287</v>
      </c>
      <c r="BT255" t="str">
        <f>HYPERLINK("https%3A%2F%2Fwww.webofscience.com%2Fwos%2Fwoscc%2Ffull-record%2FWOS:000331673800023","View Full Record in Web of Science")</f>
        <v>View Full Record in Web of Science</v>
      </c>
    </row>
    <row r="256" spans="1:72" x14ac:dyDescent="0.15">
      <c r="A256" t="s">
        <v>72</v>
      </c>
      <c r="B256" t="s">
        <v>5288</v>
      </c>
      <c r="C256" t="s">
        <v>74</v>
      </c>
      <c r="D256" t="s">
        <v>74</v>
      </c>
      <c r="E256" t="s">
        <v>74</v>
      </c>
      <c r="F256" t="s">
        <v>5289</v>
      </c>
      <c r="G256" t="s">
        <v>74</v>
      </c>
      <c r="H256" t="s">
        <v>74</v>
      </c>
      <c r="I256" t="s">
        <v>5290</v>
      </c>
      <c r="J256" t="s">
        <v>1699</v>
      </c>
      <c r="K256" t="s">
        <v>74</v>
      </c>
      <c r="L256" t="s">
        <v>74</v>
      </c>
      <c r="M256" t="s">
        <v>78</v>
      </c>
      <c r="N256" t="s">
        <v>79</v>
      </c>
      <c r="O256" t="s">
        <v>74</v>
      </c>
      <c r="P256" t="s">
        <v>74</v>
      </c>
      <c r="Q256" t="s">
        <v>74</v>
      </c>
      <c r="R256" t="s">
        <v>74</v>
      </c>
      <c r="S256" t="s">
        <v>74</v>
      </c>
      <c r="T256" t="s">
        <v>5291</v>
      </c>
      <c r="U256" t="s">
        <v>5292</v>
      </c>
      <c r="V256" t="s">
        <v>5293</v>
      </c>
      <c r="W256" t="s">
        <v>5294</v>
      </c>
      <c r="X256" t="s">
        <v>5295</v>
      </c>
      <c r="Y256" t="s">
        <v>5296</v>
      </c>
      <c r="Z256" t="s">
        <v>5297</v>
      </c>
      <c r="AA256" t="s">
        <v>5298</v>
      </c>
      <c r="AB256" t="s">
        <v>5299</v>
      </c>
      <c r="AC256" t="s">
        <v>5300</v>
      </c>
      <c r="AD256" t="s">
        <v>5301</v>
      </c>
      <c r="AE256" t="s">
        <v>5302</v>
      </c>
      <c r="AF256" t="s">
        <v>74</v>
      </c>
      <c r="AG256">
        <v>154</v>
      </c>
      <c r="AH256">
        <v>74</v>
      </c>
      <c r="AI256">
        <v>77</v>
      </c>
      <c r="AJ256">
        <v>1</v>
      </c>
      <c r="AK256">
        <v>10</v>
      </c>
      <c r="AL256" t="s">
        <v>1711</v>
      </c>
      <c r="AM256" t="s">
        <v>1712</v>
      </c>
      <c r="AN256" t="s">
        <v>1713</v>
      </c>
      <c r="AO256" t="s">
        <v>1714</v>
      </c>
      <c r="AP256" t="s">
        <v>1715</v>
      </c>
      <c r="AQ256" t="s">
        <v>74</v>
      </c>
      <c r="AR256" t="s">
        <v>1699</v>
      </c>
      <c r="AS256" t="s">
        <v>1716</v>
      </c>
      <c r="AT256" t="s">
        <v>5303</v>
      </c>
      <c r="AU256">
        <v>2014</v>
      </c>
      <c r="AV256">
        <v>3763</v>
      </c>
      <c r="AW256">
        <v>1</v>
      </c>
      <c r="AX256" t="s">
        <v>74</v>
      </c>
      <c r="AY256" t="s">
        <v>74</v>
      </c>
      <c r="AZ256" t="s">
        <v>74</v>
      </c>
      <c r="BA256" t="s">
        <v>74</v>
      </c>
      <c r="BB256">
        <v>1</v>
      </c>
      <c r="BC256">
        <v>62</v>
      </c>
      <c r="BD256" t="s">
        <v>74</v>
      </c>
      <c r="BE256" t="s">
        <v>74</v>
      </c>
      <c r="BF256" t="s">
        <v>74</v>
      </c>
      <c r="BG256" t="s">
        <v>74</v>
      </c>
      <c r="BH256" t="s">
        <v>74</v>
      </c>
      <c r="BI256">
        <v>62</v>
      </c>
      <c r="BJ256" t="s">
        <v>384</v>
      </c>
      <c r="BK256" t="s">
        <v>101</v>
      </c>
      <c r="BL256" t="s">
        <v>384</v>
      </c>
      <c r="BM256" t="s">
        <v>5304</v>
      </c>
      <c r="BN256">
        <v>24870276</v>
      </c>
      <c r="BO256" t="s">
        <v>74</v>
      </c>
      <c r="BP256" t="s">
        <v>74</v>
      </c>
      <c r="BQ256" t="s">
        <v>74</v>
      </c>
      <c r="BR256" t="s">
        <v>104</v>
      </c>
      <c r="BS256" t="s">
        <v>5305</v>
      </c>
      <c r="BT256" t="str">
        <f>HYPERLINK("https%3A%2F%2Fwww.webofscience.com%2Fwos%2Fwoscc%2Ffull-record%2FWOS:000330568100001","View Full Record in Web of Science")</f>
        <v>View Full Record in Web of Science</v>
      </c>
    </row>
    <row r="257" spans="1:72" x14ac:dyDescent="0.15">
      <c r="A257" t="s">
        <v>72</v>
      </c>
      <c r="B257" t="s">
        <v>5306</v>
      </c>
      <c r="C257" t="s">
        <v>74</v>
      </c>
      <c r="D257" t="s">
        <v>74</v>
      </c>
      <c r="E257" t="s">
        <v>74</v>
      </c>
      <c r="F257" t="s">
        <v>5307</v>
      </c>
      <c r="G257" t="s">
        <v>74</v>
      </c>
      <c r="H257" t="s">
        <v>74</v>
      </c>
      <c r="I257" t="s">
        <v>5308</v>
      </c>
      <c r="J257" t="s">
        <v>2138</v>
      </c>
      <c r="K257" t="s">
        <v>74</v>
      </c>
      <c r="L257" t="s">
        <v>74</v>
      </c>
      <c r="M257" t="s">
        <v>78</v>
      </c>
      <c r="N257" t="s">
        <v>79</v>
      </c>
      <c r="O257" t="s">
        <v>74</v>
      </c>
      <c r="P257" t="s">
        <v>74</v>
      </c>
      <c r="Q257" t="s">
        <v>74</v>
      </c>
      <c r="R257" t="s">
        <v>74</v>
      </c>
      <c r="S257" t="s">
        <v>74</v>
      </c>
      <c r="T257" t="s">
        <v>74</v>
      </c>
      <c r="U257" t="s">
        <v>5309</v>
      </c>
      <c r="V257" t="s">
        <v>5310</v>
      </c>
      <c r="W257" t="s">
        <v>5311</v>
      </c>
      <c r="X257" t="s">
        <v>5312</v>
      </c>
      <c r="Y257" t="s">
        <v>5313</v>
      </c>
      <c r="Z257" t="s">
        <v>5314</v>
      </c>
      <c r="AA257" t="s">
        <v>5315</v>
      </c>
      <c r="AB257" t="s">
        <v>5316</v>
      </c>
      <c r="AC257" t="s">
        <v>5317</v>
      </c>
      <c r="AD257" t="s">
        <v>5317</v>
      </c>
      <c r="AE257" t="s">
        <v>5318</v>
      </c>
      <c r="AF257" t="s">
        <v>74</v>
      </c>
      <c r="AG257">
        <v>40</v>
      </c>
      <c r="AH257">
        <v>59</v>
      </c>
      <c r="AI257">
        <v>64</v>
      </c>
      <c r="AJ257">
        <v>5</v>
      </c>
      <c r="AK257">
        <v>60</v>
      </c>
      <c r="AL257" t="s">
        <v>2150</v>
      </c>
      <c r="AM257" t="s">
        <v>2151</v>
      </c>
      <c r="AN257" t="s">
        <v>2152</v>
      </c>
      <c r="AO257" t="s">
        <v>2153</v>
      </c>
      <c r="AP257" t="s">
        <v>74</v>
      </c>
      <c r="AQ257" t="s">
        <v>74</v>
      </c>
      <c r="AR257" t="s">
        <v>2154</v>
      </c>
      <c r="AS257" t="s">
        <v>2155</v>
      </c>
      <c r="AT257" t="s">
        <v>5319</v>
      </c>
      <c r="AU257">
        <v>2014</v>
      </c>
      <c r="AV257">
        <v>4</v>
      </c>
      <c r="AW257" t="s">
        <v>74</v>
      </c>
      <c r="AX257" t="s">
        <v>74</v>
      </c>
      <c r="AY257" t="s">
        <v>74</v>
      </c>
      <c r="AZ257" t="s">
        <v>74</v>
      </c>
      <c r="BA257" t="s">
        <v>74</v>
      </c>
      <c r="BB257" t="s">
        <v>74</v>
      </c>
      <c r="BC257" t="s">
        <v>74</v>
      </c>
      <c r="BD257">
        <v>3957</v>
      </c>
      <c r="BE257" t="s">
        <v>5320</v>
      </c>
      <c r="BF257" t="str">
        <f>HYPERLINK("http://dx.doi.org/10.1038/srep03957","http://dx.doi.org/10.1038/srep03957")</f>
        <v>http://dx.doi.org/10.1038/srep03957</v>
      </c>
      <c r="BG257" t="s">
        <v>74</v>
      </c>
      <c r="BH257" t="s">
        <v>74</v>
      </c>
      <c r="BI257">
        <v>9</v>
      </c>
      <c r="BJ257" t="s">
        <v>1100</v>
      </c>
      <c r="BK257" t="s">
        <v>101</v>
      </c>
      <c r="BL257" t="s">
        <v>1101</v>
      </c>
      <c r="BM257" t="s">
        <v>5321</v>
      </c>
      <c r="BN257">
        <v>24492458</v>
      </c>
      <c r="BO257" t="s">
        <v>2318</v>
      </c>
      <c r="BP257" t="s">
        <v>74</v>
      </c>
      <c r="BQ257" t="s">
        <v>74</v>
      </c>
      <c r="BR257" t="s">
        <v>104</v>
      </c>
      <c r="BS257" t="s">
        <v>5322</v>
      </c>
      <c r="BT257" t="str">
        <f>HYPERLINK("https%3A%2F%2Fwww.webofscience.com%2Fwos%2Fwoscc%2Ffull-record%2FWOS:000331217500001","View Full Record in Web of Science")</f>
        <v>View Full Record in Web of Science</v>
      </c>
    </row>
    <row r="258" spans="1:72" x14ac:dyDescent="0.15">
      <c r="A258" t="s">
        <v>72</v>
      </c>
      <c r="B258" t="s">
        <v>5323</v>
      </c>
      <c r="C258" t="s">
        <v>74</v>
      </c>
      <c r="D258" t="s">
        <v>74</v>
      </c>
      <c r="E258" t="s">
        <v>74</v>
      </c>
      <c r="F258" t="s">
        <v>5324</v>
      </c>
      <c r="G258" t="s">
        <v>74</v>
      </c>
      <c r="H258" t="s">
        <v>74</v>
      </c>
      <c r="I258" t="s">
        <v>5325</v>
      </c>
      <c r="J258" t="s">
        <v>5326</v>
      </c>
      <c r="K258" t="s">
        <v>74</v>
      </c>
      <c r="L258" t="s">
        <v>74</v>
      </c>
      <c r="M258" t="s">
        <v>78</v>
      </c>
      <c r="N258" t="s">
        <v>79</v>
      </c>
      <c r="O258" t="s">
        <v>74</v>
      </c>
      <c r="P258" t="s">
        <v>74</v>
      </c>
      <c r="Q258" t="s">
        <v>74</v>
      </c>
      <c r="R258" t="s">
        <v>74</v>
      </c>
      <c r="S258" t="s">
        <v>74</v>
      </c>
      <c r="T258" t="s">
        <v>74</v>
      </c>
      <c r="U258" t="s">
        <v>5327</v>
      </c>
      <c r="V258" t="s">
        <v>5328</v>
      </c>
      <c r="W258" t="s">
        <v>5329</v>
      </c>
      <c r="X258" t="s">
        <v>3635</v>
      </c>
      <c r="Y258" t="s">
        <v>5330</v>
      </c>
      <c r="Z258" t="s">
        <v>5331</v>
      </c>
      <c r="AA258" t="s">
        <v>5332</v>
      </c>
      <c r="AB258" t="s">
        <v>5333</v>
      </c>
      <c r="AC258" t="s">
        <v>5334</v>
      </c>
      <c r="AD258" t="s">
        <v>5334</v>
      </c>
      <c r="AE258" t="s">
        <v>5335</v>
      </c>
      <c r="AF258" t="s">
        <v>74</v>
      </c>
      <c r="AG258">
        <v>39</v>
      </c>
      <c r="AH258">
        <v>10</v>
      </c>
      <c r="AI258">
        <v>10</v>
      </c>
      <c r="AJ258">
        <v>2</v>
      </c>
      <c r="AK258">
        <v>36</v>
      </c>
      <c r="AL258" t="s">
        <v>3145</v>
      </c>
      <c r="AM258" t="s">
        <v>447</v>
      </c>
      <c r="AN258" t="s">
        <v>3146</v>
      </c>
      <c r="AO258" t="s">
        <v>5336</v>
      </c>
      <c r="AP258" t="s">
        <v>5337</v>
      </c>
      <c r="AQ258" t="s">
        <v>74</v>
      </c>
      <c r="AR258" t="s">
        <v>5338</v>
      </c>
      <c r="AS258" t="s">
        <v>5339</v>
      </c>
      <c r="AT258" t="s">
        <v>5319</v>
      </c>
      <c r="AU258">
        <v>2014</v>
      </c>
      <c r="AV258">
        <v>48</v>
      </c>
      <c r="AW258">
        <v>3</v>
      </c>
      <c r="AX258" t="s">
        <v>74</v>
      </c>
      <c r="AY258" t="s">
        <v>74</v>
      </c>
      <c r="AZ258" t="s">
        <v>74</v>
      </c>
      <c r="BA258" t="s">
        <v>74</v>
      </c>
      <c r="BB258">
        <v>1795</v>
      </c>
      <c r="BC258">
        <v>1802</v>
      </c>
      <c r="BD258" t="s">
        <v>74</v>
      </c>
      <c r="BE258" t="s">
        <v>5340</v>
      </c>
      <c r="BF258" t="str">
        <f>HYPERLINK("http://dx.doi.org/10.1021/es404126z","http://dx.doi.org/10.1021/es404126z")</f>
        <v>http://dx.doi.org/10.1021/es404126z</v>
      </c>
      <c r="BG258" t="s">
        <v>74</v>
      </c>
      <c r="BH258" t="s">
        <v>74</v>
      </c>
      <c r="BI258">
        <v>8</v>
      </c>
      <c r="BJ258" t="s">
        <v>3642</v>
      </c>
      <c r="BK258" t="s">
        <v>101</v>
      </c>
      <c r="BL258" t="s">
        <v>3643</v>
      </c>
      <c r="BM258" t="s">
        <v>5341</v>
      </c>
      <c r="BN258">
        <v>24397469</v>
      </c>
      <c r="BO258" t="s">
        <v>74</v>
      </c>
      <c r="BP258" t="s">
        <v>74</v>
      </c>
      <c r="BQ258" t="s">
        <v>74</v>
      </c>
      <c r="BR258" t="s">
        <v>104</v>
      </c>
      <c r="BS258" t="s">
        <v>5342</v>
      </c>
      <c r="BT258" t="str">
        <f>HYPERLINK("https%3A%2F%2Fwww.webofscience.com%2Fwos%2Fwoscc%2Ffull-record%2FWOS:000331015100054","View Full Record in Web of Science")</f>
        <v>View Full Record in Web of Science</v>
      </c>
    </row>
    <row r="259" spans="1:72" x14ac:dyDescent="0.15">
      <c r="A259" t="s">
        <v>72</v>
      </c>
      <c r="B259" t="s">
        <v>5343</v>
      </c>
      <c r="C259" t="s">
        <v>74</v>
      </c>
      <c r="D259" t="s">
        <v>74</v>
      </c>
      <c r="E259" t="s">
        <v>74</v>
      </c>
      <c r="F259" t="s">
        <v>5344</v>
      </c>
      <c r="G259" t="s">
        <v>74</v>
      </c>
      <c r="H259" t="s">
        <v>74</v>
      </c>
      <c r="I259" t="s">
        <v>5345</v>
      </c>
      <c r="J259" t="s">
        <v>5346</v>
      </c>
      <c r="K259" t="s">
        <v>74</v>
      </c>
      <c r="L259" t="s">
        <v>74</v>
      </c>
      <c r="M259" t="s">
        <v>78</v>
      </c>
      <c r="N259" t="s">
        <v>79</v>
      </c>
      <c r="O259" t="s">
        <v>74</v>
      </c>
      <c r="P259" t="s">
        <v>74</v>
      </c>
      <c r="Q259" t="s">
        <v>74</v>
      </c>
      <c r="R259" t="s">
        <v>74</v>
      </c>
      <c r="S259" t="s">
        <v>74</v>
      </c>
      <c r="T259" t="s">
        <v>5347</v>
      </c>
      <c r="U259" t="s">
        <v>5348</v>
      </c>
      <c r="V259" t="s">
        <v>5349</v>
      </c>
      <c r="W259" t="s">
        <v>5350</v>
      </c>
      <c r="X259" t="s">
        <v>5351</v>
      </c>
      <c r="Y259" t="s">
        <v>5352</v>
      </c>
      <c r="Z259" t="s">
        <v>5353</v>
      </c>
      <c r="AA259" t="s">
        <v>74</v>
      </c>
      <c r="AB259" t="s">
        <v>74</v>
      </c>
      <c r="AC259" t="s">
        <v>5354</v>
      </c>
      <c r="AD259" t="s">
        <v>5355</v>
      </c>
      <c r="AE259" t="s">
        <v>5356</v>
      </c>
      <c r="AF259" t="s">
        <v>74</v>
      </c>
      <c r="AG259">
        <v>20</v>
      </c>
      <c r="AH259">
        <v>0</v>
      </c>
      <c r="AI259">
        <v>1</v>
      </c>
      <c r="AJ259">
        <v>0</v>
      </c>
      <c r="AK259">
        <v>13</v>
      </c>
      <c r="AL259" t="s">
        <v>5357</v>
      </c>
      <c r="AM259" t="s">
        <v>92</v>
      </c>
      <c r="AN259" t="s">
        <v>472</v>
      </c>
      <c r="AO259" t="s">
        <v>5358</v>
      </c>
      <c r="AP259" t="s">
        <v>5359</v>
      </c>
      <c r="AQ259" t="s">
        <v>74</v>
      </c>
      <c r="AR259" t="s">
        <v>5360</v>
      </c>
      <c r="AS259" t="s">
        <v>5361</v>
      </c>
      <c r="AT259" t="s">
        <v>5362</v>
      </c>
      <c r="AU259">
        <v>2014</v>
      </c>
      <c r="AV259">
        <v>35</v>
      </c>
      <c r="AW259">
        <v>2</v>
      </c>
      <c r="AX259" t="s">
        <v>74</v>
      </c>
      <c r="AY259" t="s">
        <v>74</v>
      </c>
      <c r="AZ259" t="s">
        <v>74</v>
      </c>
      <c r="BA259" t="s">
        <v>74</v>
      </c>
      <c r="BB259">
        <v>290</v>
      </c>
      <c r="BC259">
        <v>304</v>
      </c>
      <c r="BD259" t="s">
        <v>74</v>
      </c>
      <c r="BE259" t="s">
        <v>5363</v>
      </c>
      <c r="BF259" t="str">
        <f>HYPERLINK("http://dx.doi.org/10.1007/s10765-014-1594-4","http://dx.doi.org/10.1007/s10765-014-1594-4")</f>
        <v>http://dx.doi.org/10.1007/s10765-014-1594-4</v>
      </c>
      <c r="BG259" t="s">
        <v>74</v>
      </c>
      <c r="BH259" t="s">
        <v>74</v>
      </c>
      <c r="BI259">
        <v>15</v>
      </c>
      <c r="BJ259" t="s">
        <v>5364</v>
      </c>
      <c r="BK259" t="s">
        <v>101</v>
      </c>
      <c r="BL259" t="s">
        <v>5365</v>
      </c>
      <c r="BM259" t="s">
        <v>5366</v>
      </c>
      <c r="BN259" t="s">
        <v>74</v>
      </c>
      <c r="BO259" t="s">
        <v>74</v>
      </c>
      <c r="BP259" t="s">
        <v>74</v>
      </c>
      <c r="BQ259" t="s">
        <v>74</v>
      </c>
      <c r="BR259" t="s">
        <v>104</v>
      </c>
      <c r="BS259" t="s">
        <v>5367</v>
      </c>
      <c r="BT259" t="str">
        <f>HYPERLINK("https%3A%2F%2Fwww.webofscience.com%2Fwos%2Fwoscc%2Ffull-record%2FWOS:000339342200006","View Full Record in Web of Science")</f>
        <v>View Full Record in Web of Science</v>
      </c>
    </row>
    <row r="260" spans="1:72" x14ac:dyDescent="0.15">
      <c r="A260" t="s">
        <v>72</v>
      </c>
      <c r="B260" t="s">
        <v>5368</v>
      </c>
      <c r="C260" t="s">
        <v>74</v>
      </c>
      <c r="D260" t="s">
        <v>74</v>
      </c>
      <c r="E260" t="s">
        <v>74</v>
      </c>
      <c r="F260" t="s">
        <v>5369</v>
      </c>
      <c r="G260" t="s">
        <v>74</v>
      </c>
      <c r="H260" t="s">
        <v>74</v>
      </c>
      <c r="I260" t="s">
        <v>5370</v>
      </c>
      <c r="J260" t="s">
        <v>5371</v>
      </c>
      <c r="K260" t="s">
        <v>74</v>
      </c>
      <c r="L260" t="s">
        <v>74</v>
      </c>
      <c r="M260" t="s">
        <v>78</v>
      </c>
      <c r="N260" t="s">
        <v>79</v>
      </c>
      <c r="O260" t="s">
        <v>74</v>
      </c>
      <c r="P260" t="s">
        <v>74</v>
      </c>
      <c r="Q260" t="s">
        <v>74</v>
      </c>
      <c r="R260" t="s">
        <v>74</v>
      </c>
      <c r="S260" t="s">
        <v>74</v>
      </c>
      <c r="T260" t="s">
        <v>74</v>
      </c>
      <c r="U260" t="s">
        <v>5372</v>
      </c>
      <c r="V260" t="s">
        <v>5373</v>
      </c>
      <c r="W260" t="s">
        <v>5374</v>
      </c>
      <c r="X260" t="s">
        <v>5375</v>
      </c>
      <c r="Y260" t="s">
        <v>5376</v>
      </c>
      <c r="Z260" t="s">
        <v>5377</v>
      </c>
      <c r="AA260" t="s">
        <v>5378</v>
      </c>
      <c r="AB260" t="s">
        <v>5379</v>
      </c>
      <c r="AC260" t="s">
        <v>5380</v>
      </c>
      <c r="AD260" t="s">
        <v>5381</v>
      </c>
      <c r="AE260" t="s">
        <v>5382</v>
      </c>
      <c r="AF260" t="s">
        <v>74</v>
      </c>
      <c r="AG260">
        <v>28</v>
      </c>
      <c r="AH260">
        <v>10</v>
      </c>
      <c r="AI260">
        <v>11</v>
      </c>
      <c r="AJ260">
        <v>0</v>
      </c>
      <c r="AK260">
        <v>9</v>
      </c>
      <c r="AL260" t="s">
        <v>5383</v>
      </c>
      <c r="AM260" t="s">
        <v>704</v>
      </c>
      <c r="AN260" t="s">
        <v>5384</v>
      </c>
      <c r="AO260" t="s">
        <v>5385</v>
      </c>
      <c r="AP260" t="s">
        <v>5386</v>
      </c>
      <c r="AQ260" t="s">
        <v>74</v>
      </c>
      <c r="AR260" t="s">
        <v>5387</v>
      </c>
      <c r="AS260" t="s">
        <v>5388</v>
      </c>
      <c r="AT260" t="s">
        <v>5362</v>
      </c>
      <c r="AU260">
        <v>2014</v>
      </c>
      <c r="AV260">
        <v>64</v>
      </c>
      <c r="AW260" t="s">
        <v>74</v>
      </c>
      <c r="AX260">
        <v>2</v>
      </c>
      <c r="AY260" t="s">
        <v>74</v>
      </c>
      <c r="AZ260" t="s">
        <v>74</v>
      </c>
      <c r="BA260" t="s">
        <v>74</v>
      </c>
      <c r="BB260">
        <v>675</v>
      </c>
      <c r="BC260">
        <v>679</v>
      </c>
      <c r="BD260" t="s">
        <v>74</v>
      </c>
      <c r="BE260" t="s">
        <v>5389</v>
      </c>
      <c r="BF260" t="str">
        <f>HYPERLINK("http://dx.doi.org/10.1099/ijs.0.054981-0","http://dx.doi.org/10.1099/ijs.0.054981-0")</f>
        <v>http://dx.doi.org/10.1099/ijs.0.054981-0</v>
      </c>
      <c r="BG260" t="s">
        <v>74</v>
      </c>
      <c r="BH260" t="s">
        <v>74</v>
      </c>
      <c r="BI260">
        <v>5</v>
      </c>
      <c r="BJ260" t="s">
        <v>3624</v>
      </c>
      <c r="BK260" t="s">
        <v>101</v>
      </c>
      <c r="BL260" t="s">
        <v>3624</v>
      </c>
      <c r="BM260" t="s">
        <v>5390</v>
      </c>
      <c r="BN260">
        <v>24271212</v>
      </c>
      <c r="BO260" t="s">
        <v>74</v>
      </c>
      <c r="BP260" t="s">
        <v>74</v>
      </c>
      <c r="BQ260" t="s">
        <v>74</v>
      </c>
      <c r="BR260" t="s">
        <v>104</v>
      </c>
      <c r="BS260" t="s">
        <v>5391</v>
      </c>
      <c r="BT260" t="str">
        <f>HYPERLINK("https%3A%2F%2Fwww.webofscience.com%2Fwos%2Fwoscc%2Ffull-record%2FWOS:000337930800054","View Full Record in Web of Science")</f>
        <v>View Full Record in Web of Science</v>
      </c>
    </row>
    <row r="261" spans="1:72" x14ac:dyDescent="0.15">
      <c r="A261" t="s">
        <v>72</v>
      </c>
      <c r="B261" t="s">
        <v>5392</v>
      </c>
      <c r="C261" t="s">
        <v>74</v>
      </c>
      <c r="D261" t="s">
        <v>74</v>
      </c>
      <c r="E261" t="s">
        <v>74</v>
      </c>
      <c r="F261" t="s">
        <v>5393</v>
      </c>
      <c r="G261" t="s">
        <v>74</v>
      </c>
      <c r="H261" t="s">
        <v>74</v>
      </c>
      <c r="I261" t="s">
        <v>5394</v>
      </c>
      <c r="J261" t="s">
        <v>768</v>
      </c>
      <c r="K261" t="s">
        <v>74</v>
      </c>
      <c r="L261" t="s">
        <v>74</v>
      </c>
      <c r="M261" t="s">
        <v>78</v>
      </c>
      <c r="N261" t="s">
        <v>79</v>
      </c>
      <c r="O261" t="s">
        <v>74</v>
      </c>
      <c r="P261" t="s">
        <v>74</v>
      </c>
      <c r="Q261" t="s">
        <v>74</v>
      </c>
      <c r="R261" t="s">
        <v>74</v>
      </c>
      <c r="S261" t="s">
        <v>74</v>
      </c>
      <c r="T261" t="s">
        <v>74</v>
      </c>
      <c r="U261" t="s">
        <v>5395</v>
      </c>
      <c r="V261" t="s">
        <v>5396</v>
      </c>
      <c r="W261" t="s">
        <v>5397</v>
      </c>
      <c r="X261" t="s">
        <v>5398</v>
      </c>
      <c r="Y261" t="s">
        <v>5399</v>
      </c>
      <c r="Z261" t="s">
        <v>5400</v>
      </c>
      <c r="AA261" t="s">
        <v>5401</v>
      </c>
      <c r="AB261" t="s">
        <v>5402</v>
      </c>
      <c r="AC261" t="s">
        <v>5403</v>
      </c>
      <c r="AD261" t="s">
        <v>5404</v>
      </c>
      <c r="AE261" t="s">
        <v>5405</v>
      </c>
      <c r="AF261" t="s">
        <v>74</v>
      </c>
      <c r="AG261">
        <v>71</v>
      </c>
      <c r="AH261">
        <v>67</v>
      </c>
      <c r="AI261">
        <v>71</v>
      </c>
      <c r="AJ261">
        <v>1</v>
      </c>
      <c r="AK261">
        <v>12</v>
      </c>
      <c r="AL261" t="s">
        <v>568</v>
      </c>
      <c r="AM261" t="s">
        <v>447</v>
      </c>
      <c r="AN261" t="s">
        <v>569</v>
      </c>
      <c r="AO261" t="s">
        <v>780</v>
      </c>
      <c r="AP261" t="s">
        <v>781</v>
      </c>
      <c r="AQ261" t="s">
        <v>74</v>
      </c>
      <c r="AR261" t="s">
        <v>782</v>
      </c>
      <c r="AS261" t="s">
        <v>783</v>
      </c>
      <c r="AT261" t="s">
        <v>5362</v>
      </c>
      <c r="AU261">
        <v>2014</v>
      </c>
      <c r="AV261">
        <v>119</v>
      </c>
      <c r="AW261">
        <v>2</v>
      </c>
      <c r="AX261" t="s">
        <v>74</v>
      </c>
      <c r="AY261" t="s">
        <v>74</v>
      </c>
      <c r="AZ261" t="s">
        <v>74</v>
      </c>
      <c r="BA261" t="s">
        <v>74</v>
      </c>
      <c r="BB261">
        <v>731</v>
      </c>
      <c r="BC261">
        <v>756</v>
      </c>
      <c r="BD261" t="s">
        <v>74</v>
      </c>
      <c r="BE261" t="s">
        <v>5406</v>
      </c>
      <c r="BF261" t="str">
        <f>HYPERLINK("http://dx.doi.org/10.1002/2013JC009498","http://dx.doi.org/10.1002/2013JC009498")</f>
        <v>http://dx.doi.org/10.1002/2013JC009498</v>
      </c>
      <c r="BG261" t="s">
        <v>74</v>
      </c>
      <c r="BH261" t="s">
        <v>74</v>
      </c>
      <c r="BI261">
        <v>26</v>
      </c>
      <c r="BJ261" t="s">
        <v>785</v>
      </c>
      <c r="BK261" t="s">
        <v>101</v>
      </c>
      <c r="BL261" t="s">
        <v>785</v>
      </c>
      <c r="BM261" t="s">
        <v>5407</v>
      </c>
      <c r="BN261" t="s">
        <v>74</v>
      </c>
      <c r="BO261" t="s">
        <v>270</v>
      </c>
      <c r="BP261" t="s">
        <v>74</v>
      </c>
      <c r="BQ261" t="s">
        <v>74</v>
      </c>
      <c r="BR261" t="s">
        <v>104</v>
      </c>
      <c r="BS261" t="s">
        <v>5408</v>
      </c>
      <c r="BT261" t="str">
        <f>HYPERLINK("https%3A%2F%2Fwww.webofscience.com%2Fwos%2Fwoscc%2Ffull-record%2FWOS:000336261200007","View Full Record in Web of Science")</f>
        <v>View Full Record in Web of Science</v>
      </c>
    </row>
    <row r="262" spans="1:72" x14ac:dyDescent="0.15">
      <c r="A262" t="s">
        <v>72</v>
      </c>
      <c r="B262" t="s">
        <v>5409</v>
      </c>
      <c r="C262" t="s">
        <v>74</v>
      </c>
      <c r="D262" t="s">
        <v>74</v>
      </c>
      <c r="E262" t="s">
        <v>74</v>
      </c>
      <c r="F262" t="s">
        <v>5410</v>
      </c>
      <c r="G262" t="s">
        <v>74</v>
      </c>
      <c r="H262" t="s">
        <v>74</v>
      </c>
      <c r="I262" t="s">
        <v>5411</v>
      </c>
      <c r="J262" t="s">
        <v>768</v>
      </c>
      <c r="K262" t="s">
        <v>74</v>
      </c>
      <c r="L262" t="s">
        <v>74</v>
      </c>
      <c r="M262" t="s">
        <v>78</v>
      </c>
      <c r="N262" t="s">
        <v>79</v>
      </c>
      <c r="O262" t="s">
        <v>74</v>
      </c>
      <c r="P262" t="s">
        <v>74</v>
      </c>
      <c r="Q262" t="s">
        <v>74</v>
      </c>
      <c r="R262" t="s">
        <v>74</v>
      </c>
      <c r="S262" t="s">
        <v>74</v>
      </c>
      <c r="T262" t="s">
        <v>74</v>
      </c>
      <c r="U262" t="s">
        <v>5412</v>
      </c>
      <c r="V262" t="s">
        <v>5413</v>
      </c>
      <c r="W262" t="s">
        <v>5414</v>
      </c>
      <c r="X262" t="s">
        <v>5415</v>
      </c>
      <c r="Y262" t="s">
        <v>5416</v>
      </c>
      <c r="Z262" t="s">
        <v>5417</v>
      </c>
      <c r="AA262" t="s">
        <v>5418</v>
      </c>
      <c r="AB262" t="s">
        <v>5419</v>
      </c>
      <c r="AC262" t="s">
        <v>5420</v>
      </c>
      <c r="AD262" t="s">
        <v>5421</v>
      </c>
      <c r="AE262" t="s">
        <v>5422</v>
      </c>
      <c r="AF262" t="s">
        <v>74</v>
      </c>
      <c r="AG262">
        <v>71</v>
      </c>
      <c r="AH262">
        <v>13</v>
      </c>
      <c r="AI262">
        <v>14</v>
      </c>
      <c r="AJ262">
        <v>0</v>
      </c>
      <c r="AK262">
        <v>21</v>
      </c>
      <c r="AL262" t="s">
        <v>568</v>
      </c>
      <c r="AM262" t="s">
        <v>447</v>
      </c>
      <c r="AN262" t="s">
        <v>569</v>
      </c>
      <c r="AO262" t="s">
        <v>780</v>
      </c>
      <c r="AP262" t="s">
        <v>781</v>
      </c>
      <c r="AQ262" t="s">
        <v>74</v>
      </c>
      <c r="AR262" t="s">
        <v>782</v>
      </c>
      <c r="AS262" t="s">
        <v>783</v>
      </c>
      <c r="AT262" t="s">
        <v>5362</v>
      </c>
      <c r="AU262">
        <v>2014</v>
      </c>
      <c r="AV262">
        <v>119</v>
      </c>
      <c r="AW262">
        <v>2</v>
      </c>
      <c r="AX262" t="s">
        <v>74</v>
      </c>
      <c r="AY262" t="s">
        <v>74</v>
      </c>
      <c r="AZ262" t="s">
        <v>74</v>
      </c>
      <c r="BA262" t="s">
        <v>74</v>
      </c>
      <c r="BB262">
        <v>1123</v>
      </c>
      <c r="BC262">
        <v>1145</v>
      </c>
      <c r="BD262" t="s">
        <v>74</v>
      </c>
      <c r="BE262" t="s">
        <v>5423</v>
      </c>
      <c r="BF262" t="str">
        <f>HYPERLINK("http://dx.doi.org/10.1002/2013JC008908","http://dx.doi.org/10.1002/2013JC008908")</f>
        <v>http://dx.doi.org/10.1002/2013JC008908</v>
      </c>
      <c r="BG262" t="s">
        <v>74</v>
      </c>
      <c r="BH262" t="s">
        <v>74</v>
      </c>
      <c r="BI262">
        <v>23</v>
      </c>
      <c r="BJ262" t="s">
        <v>785</v>
      </c>
      <c r="BK262" t="s">
        <v>101</v>
      </c>
      <c r="BL262" t="s">
        <v>785</v>
      </c>
      <c r="BM262" t="s">
        <v>5407</v>
      </c>
      <c r="BN262" t="s">
        <v>74</v>
      </c>
      <c r="BO262" t="s">
        <v>200</v>
      </c>
      <c r="BP262" t="s">
        <v>74</v>
      </c>
      <c r="BQ262" t="s">
        <v>74</v>
      </c>
      <c r="BR262" t="s">
        <v>104</v>
      </c>
      <c r="BS262" t="s">
        <v>5424</v>
      </c>
      <c r="BT262" t="str">
        <f>HYPERLINK("https%3A%2F%2Fwww.webofscience.com%2Fwos%2Fwoscc%2Ffull-record%2FWOS:000336261200030","View Full Record in Web of Science")</f>
        <v>View Full Record in Web of Science</v>
      </c>
    </row>
    <row r="263" spans="1:72" x14ac:dyDescent="0.15">
      <c r="A263" t="s">
        <v>72</v>
      </c>
      <c r="B263" t="s">
        <v>5425</v>
      </c>
      <c r="C263" t="s">
        <v>74</v>
      </c>
      <c r="D263" t="s">
        <v>74</v>
      </c>
      <c r="E263" t="s">
        <v>74</v>
      </c>
      <c r="F263" t="s">
        <v>5426</v>
      </c>
      <c r="G263" t="s">
        <v>74</v>
      </c>
      <c r="H263" t="s">
        <v>74</v>
      </c>
      <c r="I263" t="s">
        <v>5427</v>
      </c>
      <c r="J263" t="s">
        <v>768</v>
      </c>
      <c r="K263" t="s">
        <v>74</v>
      </c>
      <c r="L263" t="s">
        <v>74</v>
      </c>
      <c r="M263" t="s">
        <v>78</v>
      </c>
      <c r="N263" t="s">
        <v>79</v>
      </c>
      <c r="O263" t="s">
        <v>74</v>
      </c>
      <c r="P263" t="s">
        <v>74</v>
      </c>
      <c r="Q263" t="s">
        <v>74</v>
      </c>
      <c r="R263" t="s">
        <v>74</v>
      </c>
      <c r="S263" t="s">
        <v>74</v>
      </c>
      <c r="T263" t="s">
        <v>74</v>
      </c>
      <c r="U263" t="s">
        <v>5428</v>
      </c>
      <c r="V263" t="s">
        <v>5429</v>
      </c>
      <c r="W263" t="s">
        <v>5430</v>
      </c>
      <c r="X263" t="s">
        <v>5431</v>
      </c>
      <c r="Y263" t="s">
        <v>5432</v>
      </c>
      <c r="Z263" t="s">
        <v>5433</v>
      </c>
      <c r="AA263" t="s">
        <v>74</v>
      </c>
      <c r="AB263" t="s">
        <v>5434</v>
      </c>
      <c r="AC263" t="s">
        <v>5435</v>
      </c>
      <c r="AD263" t="s">
        <v>5436</v>
      </c>
      <c r="AE263" t="s">
        <v>5437</v>
      </c>
      <c r="AF263" t="s">
        <v>74</v>
      </c>
      <c r="AG263">
        <v>59</v>
      </c>
      <c r="AH263">
        <v>17</v>
      </c>
      <c r="AI263">
        <v>17</v>
      </c>
      <c r="AJ263">
        <v>0</v>
      </c>
      <c r="AK263">
        <v>19</v>
      </c>
      <c r="AL263" t="s">
        <v>568</v>
      </c>
      <c r="AM263" t="s">
        <v>447</v>
      </c>
      <c r="AN263" t="s">
        <v>569</v>
      </c>
      <c r="AO263" t="s">
        <v>780</v>
      </c>
      <c r="AP263" t="s">
        <v>781</v>
      </c>
      <c r="AQ263" t="s">
        <v>74</v>
      </c>
      <c r="AR263" t="s">
        <v>782</v>
      </c>
      <c r="AS263" t="s">
        <v>783</v>
      </c>
      <c r="AT263" t="s">
        <v>5362</v>
      </c>
      <c r="AU263">
        <v>2014</v>
      </c>
      <c r="AV263">
        <v>119</v>
      </c>
      <c r="AW263">
        <v>2</v>
      </c>
      <c r="AX263" t="s">
        <v>74</v>
      </c>
      <c r="AY263" t="s">
        <v>74</v>
      </c>
      <c r="AZ263" t="s">
        <v>74</v>
      </c>
      <c r="BA263" t="s">
        <v>74</v>
      </c>
      <c r="BB263">
        <v>1146</v>
      </c>
      <c r="BC263">
        <v>1160</v>
      </c>
      <c r="BD263" t="s">
        <v>74</v>
      </c>
      <c r="BE263" t="s">
        <v>5438</v>
      </c>
      <c r="BF263" t="str">
        <f>HYPERLINK("http://dx.doi.org/10.1002/2013JC009153","http://dx.doi.org/10.1002/2013JC009153")</f>
        <v>http://dx.doi.org/10.1002/2013JC009153</v>
      </c>
      <c r="BG263" t="s">
        <v>74</v>
      </c>
      <c r="BH263" t="s">
        <v>74</v>
      </c>
      <c r="BI263">
        <v>15</v>
      </c>
      <c r="BJ263" t="s">
        <v>785</v>
      </c>
      <c r="BK263" t="s">
        <v>101</v>
      </c>
      <c r="BL263" t="s">
        <v>785</v>
      </c>
      <c r="BM263" t="s">
        <v>5407</v>
      </c>
      <c r="BN263" t="s">
        <v>74</v>
      </c>
      <c r="BO263" t="s">
        <v>200</v>
      </c>
      <c r="BP263" t="s">
        <v>74</v>
      </c>
      <c r="BQ263" t="s">
        <v>74</v>
      </c>
      <c r="BR263" t="s">
        <v>104</v>
      </c>
      <c r="BS263" t="s">
        <v>5439</v>
      </c>
      <c r="BT263" t="str">
        <f>HYPERLINK("https%3A%2F%2Fwww.webofscience.com%2Fwos%2Fwoscc%2Ffull-record%2FWOS:000336261200031","View Full Record in Web of Science")</f>
        <v>View Full Record in Web of Science</v>
      </c>
    </row>
    <row r="264" spans="1:72" x14ac:dyDescent="0.15">
      <c r="A264" t="s">
        <v>72</v>
      </c>
      <c r="B264" t="s">
        <v>5440</v>
      </c>
      <c r="C264" t="s">
        <v>74</v>
      </c>
      <c r="D264" t="s">
        <v>74</v>
      </c>
      <c r="E264" t="s">
        <v>74</v>
      </c>
      <c r="F264" t="s">
        <v>5441</v>
      </c>
      <c r="G264" t="s">
        <v>74</v>
      </c>
      <c r="H264" t="s">
        <v>74</v>
      </c>
      <c r="I264" t="s">
        <v>5442</v>
      </c>
      <c r="J264" t="s">
        <v>5443</v>
      </c>
      <c r="K264" t="s">
        <v>74</v>
      </c>
      <c r="L264" t="s">
        <v>74</v>
      </c>
      <c r="M264" t="s">
        <v>78</v>
      </c>
      <c r="N264" t="s">
        <v>79</v>
      </c>
      <c r="O264" t="s">
        <v>74</v>
      </c>
      <c r="P264" t="s">
        <v>74</v>
      </c>
      <c r="Q264" t="s">
        <v>74</v>
      </c>
      <c r="R264" t="s">
        <v>74</v>
      </c>
      <c r="S264" t="s">
        <v>74</v>
      </c>
      <c r="T264" t="s">
        <v>5444</v>
      </c>
      <c r="U264" t="s">
        <v>5445</v>
      </c>
      <c r="V264" t="s">
        <v>5446</v>
      </c>
      <c r="W264" t="s">
        <v>5447</v>
      </c>
      <c r="X264" t="s">
        <v>5448</v>
      </c>
      <c r="Y264" t="s">
        <v>5449</v>
      </c>
      <c r="Z264" t="s">
        <v>5450</v>
      </c>
      <c r="AA264" t="s">
        <v>5451</v>
      </c>
      <c r="AB264" t="s">
        <v>5452</v>
      </c>
      <c r="AC264" t="s">
        <v>5453</v>
      </c>
      <c r="AD264" t="s">
        <v>5454</v>
      </c>
      <c r="AE264" t="s">
        <v>5455</v>
      </c>
      <c r="AF264" t="s">
        <v>74</v>
      </c>
      <c r="AG264">
        <v>23</v>
      </c>
      <c r="AH264">
        <v>4</v>
      </c>
      <c r="AI264">
        <v>4</v>
      </c>
      <c r="AJ264">
        <v>0</v>
      </c>
      <c r="AK264">
        <v>11</v>
      </c>
      <c r="AL264" t="s">
        <v>4431</v>
      </c>
      <c r="AM264" t="s">
        <v>4432</v>
      </c>
      <c r="AN264" t="s">
        <v>4433</v>
      </c>
      <c r="AO264" t="s">
        <v>5456</v>
      </c>
      <c r="AP264" t="s">
        <v>74</v>
      </c>
      <c r="AQ264" t="s">
        <v>74</v>
      </c>
      <c r="AR264" t="s">
        <v>5457</v>
      </c>
      <c r="AS264" t="s">
        <v>5458</v>
      </c>
      <c r="AT264" t="s">
        <v>5362</v>
      </c>
      <c r="AU264">
        <v>2014</v>
      </c>
      <c r="AV264">
        <v>15</v>
      </c>
      <c r="AW264">
        <v>2</v>
      </c>
      <c r="AX264" t="s">
        <v>74</v>
      </c>
      <c r="AY264" t="s">
        <v>74</v>
      </c>
      <c r="AZ264" t="s">
        <v>74</v>
      </c>
      <c r="BA264" t="s">
        <v>74</v>
      </c>
      <c r="BB264">
        <v>2359</v>
      </c>
      <c r="BC264">
        <v>2367</v>
      </c>
      <c r="BD264" t="s">
        <v>74</v>
      </c>
      <c r="BE264" t="s">
        <v>5459</v>
      </c>
      <c r="BF264" t="str">
        <f>HYPERLINK("http://dx.doi.org/10.3390/ijms15022359","http://dx.doi.org/10.3390/ijms15022359")</f>
        <v>http://dx.doi.org/10.3390/ijms15022359</v>
      </c>
      <c r="BG264" t="s">
        <v>74</v>
      </c>
      <c r="BH264" t="s">
        <v>74</v>
      </c>
      <c r="BI264">
        <v>9</v>
      </c>
      <c r="BJ264" t="s">
        <v>5460</v>
      </c>
      <c r="BK264" t="s">
        <v>101</v>
      </c>
      <c r="BL264" t="s">
        <v>2255</v>
      </c>
      <c r="BM264" t="s">
        <v>5461</v>
      </c>
      <c r="BN264">
        <v>24514564</v>
      </c>
      <c r="BO264" t="s">
        <v>1890</v>
      </c>
      <c r="BP264" t="s">
        <v>74</v>
      </c>
      <c r="BQ264" t="s">
        <v>74</v>
      </c>
      <c r="BR264" t="s">
        <v>104</v>
      </c>
      <c r="BS264" t="s">
        <v>5462</v>
      </c>
      <c r="BT264" t="str">
        <f>HYPERLINK("https%3A%2F%2Fwww.webofscience.com%2Fwos%2Fwoscc%2Ffull-record%2FWOS:000335776400040","View Full Record in Web of Science")</f>
        <v>View Full Record in Web of Science</v>
      </c>
    </row>
    <row r="265" spans="1:72" x14ac:dyDescent="0.15">
      <c r="A265" t="s">
        <v>72</v>
      </c>
      <c r="B265" t="s">
        <v>5463</v>
      </c>
      <c r="C265" t="s">
        <v>74</v>
      </c>
      <c r="D265" t="s">
        <v>74</v>
      </c>
      <c r="E265" t="s">
        <v>74</v>
      </c>
      <c r="F265" t="s">
        <v>5464</v>
      </c>
      <c r="G265" t="s">
        <v>74</v>
      </c>
      <c r="H265" t="s">
        <v>74</v>
      </c>
      <c r="I265" t="s">
        <v>5465</v>
      </c>
      <c r="J265" t="s">
        <v>5466</v>
      </c>
      <c r="K265" t="s">
        <v>74</v>
      </c>
      <c r="L265" t="s">
        <v>74</v>
      </c>
      <c r="M265" t="s">
        <v>78</v>
      </c>
      <c r="N265" t="s">
        <v>79</v>
      </c>
      <c r="O265" t="s">
        <v>74</v>
      </c>
      <c r="P265" t="s">
        <v>74</v>
      </c>
      <c r="Q265" t="s">
        <v>74</v>
      </c>
      <c r="R265" t="s">
        <v>74</v>
      </c>
      <c r="S265" t="s">
        <v>74</v>
      </c>
      <c r="T265" t="s">
        <v>74</v>
      </c>
      <c r="U265" t="s">
        <v>5467</v>
      </c>
      <c r="V265" t="s">
        <v>5468</v>
      </c>
      <c r="W265" t="s">
        <v>5469</v>
      </c>
      <c r="X265" t="s">
        <v>5470</v>
      </c>
      <c r="Y265" t="s">
        <v>5471</v>
      </c>
      <c r="Z265" t="s">
        <v>5472</v>
      </c>
      <c r="AA265" t="s">
        <v>5473</v>
      </c>
      <c r="AB265" t="s">
        <v>5474</v>
      </c>
      <c r="AC265" t="s">
        <v>5475</v>
      </c>
      <c r="AD265" t="s">
        <v>5476</v>
      </c>
      <c r="AE265" t="s">
        <v>5477</v>
      </c>
      <c r="AF265" t="s">
        <v>74</v>
      </c>
      <c r="AG265">
        <v>19</v>
      </c>
      <c r="AH265">
        <v>19</v>
      </c>
      <c r="AI265">
        <v>24</v>
      </c>
      <c r="AJ265">
        <v>0</v>
      </c>
      <c r="AK265">
        <v>11</v>
      </c>
      <c r="AL265" t="s">
        <v>876</v>
      </c>
      <c r="AM265" t="s">
        <v>877</v>
      </c>
      <c r="AN265" t="s">
        <v>878</v>
      </c>
      <c r="AO265" t="s">
        <v>5478</v>
      </c>
      <c r="AP265" t="s">
        <v>5479</v>
      </c>
      <c r="AQ265" t="s">
        <v>74</v>
      </c>
      <c r="AR265" t="s">
        <v>5480</v>
      </c>
      <c r="AS265" t="s">
        <v>5481</v>
      </c>
      <c r="AT265" t="s">
        <v>5362</v>
      </c>
      <c r="AU265">
        <v>2014</v>
      </c>
      <c r="AV265">
        <v>53</v>
      </c>
      <c r="AW265">
        <v>2</v>
      </c>
      <c r="AX265" t="s">
        <v>74</v>
      </c>
      <c r="AY265" t="s">
        <v>74</v>
      </c>
      <c r="AZ265" t="s">
        <v>74</v>
      </c>
      <c r="BA265" t="s">
        <v>74</v>
      </c>
      <c r="BB265">
        <v>534</v>
      </c>
      <c r="BC265">
        <v>547</v>
      </c>
      <c r="BD265" t="s">
        <v>74</v>
      </c>
      <c r="BE265" t="s">
        <v>5482</v>
      </c>
      <c r="BF265" t="str">
        <f>HYPERLINK("http://dx.doi.org/10.1175/JAMC-D-13-0160.1","http://dx.doi.org/10.1175/JAMC-D-13-0160.1")</f>
        <v>http://dx.doi.org/10.1175/JAMC-D-13-0160.1</v>
      </c>
      <c r="BG265" t="s">
        <v>74</v>
      </c>
      <c r="BH265" t="s">
        <v>74</v>
      </c>
      <c r="BI265">
        <v>14</v>
      </c>
      <c r="BJ265" t="s">
        <v>1391</v>
      </c>
      <c r="BK265" t="s">
        <v>101</v>
      </c>
      <c r="BL265" t="s">
        <v>1391</v>
      </c>
      <c r="BM265" t="s">
        <v>5483</v>
      </c>
      <c r="BN265" t="s">
        <v>74</v>
      </c>
      <c r="BO265" t="s">
        <v>74</v>
      </c>
      <c r="BP265" t="s">
        <v>74</v>
      </c>
      <c r="BQ265" t="s">
        <v>74</v>
      </c>
      <c r="BR265" t="s">
        <v>104</v>
      </c>
      <c r="BS265" t="s">
        <v>5484</v>
      </c>
      <c r="BT265" t="str">
        <f>HYPERLINK("https%3A%2F%2Fwww.webofscience.com%2Fwos%2Fwoscc%2Ffull-record%2FWOS:000336448000022","View Full Record in Web of Science")</f>
        <v>View Full Record in Web of Science</v>
      </c>
    </row>
    <row r="266" spans="1:72" x14ac:dyDescent="0.15">
      <c r="A266" t="s">
        <v>72</v>
      </c>
      <c r="B266" t="s">
        <v>5485</v>
      </c>
      <c r="C266" t="s">
        <v>74</v>
      </c>
      <c r="D266" t="s">
        <v>74</v>
      </c>
      <c r="E266" t="s">
        <v>74</v>
      </c>
      <c r="F266" t="s">
        <v>5486</v>
      </c>
      <c r="G266" t="s">
        <v>74</v>
      </c>
      <c r="H266" t="s">
        <v>74</v>
      </c>
      <c r="I266" t="s">
        <v>5487</v>
      </c>
      <c r="J266" t="s">
        <v>5488</v>
      </c>
      <c r="K266" t="s">
        <v>74</v>
      </c>
      <c r="L266" t="s">
        <v>74</v>
      </c>
      <c r="M266" t="s">
        <v>78</v>
      </c>
      <c r="N266" t="s">
        <v>79</v>
      </c>
      <c r="O266" t="s">
        <v>74</v>
      </c>
      <c r="P266" t="s">
        <v>74</v>
      </c>
      <c r="Q266" t="s">
        <v>74</v>
      </c>
      <c r="R266" t="s">
        <v>74</v>
      </c>
      <c r="S266" t="s">
        <v>74</v>
      </c>
      <c r="T266" t="s">
        <v>5489</v>
      </c>
      <c r="U266" t="s">
        <v>5490</v>
      </c>
      <c r="V266" t="s">
        <v>5491</v>
      </c>
      <c r="W266" t="s">
        <v>5492</v>
      </c>
      <c r="X266" t="s">
        <v>5493</v>
      </c>
      <c r="Y266" t="s">
        <v>5494</v>
      </c>
      <c r="Z266" t="s">
        <v>5495</v>
      </c>
      <c r="AA266" t="s">
        <v>5496</v>
      </c>
      <c r="AB266" t="s">
        <v>5497</v>
      </c>
      <c r="AC266" t="s">
        <v>5498</v>
      </c>
      <c r="AD266" t="s">
        <v>5499</v>
      </c>
      <c r="AE266" t="s">
        <v>5500</v>
      </c>
      <c r="AF266" t="s">
        <v>74</v>
      </c>
      <c r="AG266">
        <v>21</v>
      </c>
      <c r="AH266">
        <v>17</v>
      </c>
      <c r="AI266">
        <v>17</v>
      </c>
      <c r="AJ266">
        <v>0</v>
      </c>
      <c r="AK266">
        <v>19</v>
      </c>
      <c r="AL266" t="s">
        <v>876</v>
      </c>
      <c r="AM266" t="s">
        <v>877</v>
      </c>
      <c r="AN266" t="s">
        <v>878</v>
      </c>
      <c r="AO266" t="s">
        <v>5501</v>
      </c>
      <c r="AP266" t="s">
        <v>5502</v>
      </c>
      <c r="AQ266" t="s">
        <v>74</v>
      </c>
      <c r="AR266" t="s">
        <v>5503</v>
      </c>
      <c r="AS266" t="s">
        <v>5504</v>
      </c>
      <c r="AT266" t="s">
        <v>5362</v>
      </c>
      <c r="AU266">
        <v>2014</v>
      </c>
      <c r="AV266">
        <v>71</v>
      </c>
      <c r="AW266">
        <v>2</v>
      </c>
      <c r="AX266" t="s">
        <v>74</v>
      </c>
      <c r="AY266" t="s">
        <v>74</v>
      </c>
      <c r="AZ266" t="s">
        <v>74</v>
      </c>
      <c r="BA266" t="s">
        <v>74</v>
      </c>
      <c r="BB266">
        <v>566</v>
      </c>
      <c r="BC266">
        <v>573</v>
      </c>
      <c r="BD266" t="s">
        <v>74</v>
      </c>
      <c r="BE266" t="s">
        <v>5505</v>
      </c>
      <c r="BF266" t="str">
        <f>HYPERLINK("http://dx.doi.org/10.1175/JAS-D-12-0343.1","http://dx.doi.org/10.1175/JAS-D-12-0343.1")</f>
        <v>http://dx.doi.org/10.1175/JAS-D-12-0343.1</v>
      </c>
      <c r="BG266" t="s">
        <v>74</v>
      </c>
      <c r="BH266" t="s">
        <v>74</v>
      </c>
      <c r="BI266">
        <v>8</v>
      </c>
      <c r="BJ266" t="s">
        <v>1391</v>
      </c>
      <c r="BK266" t="s">
        <v>101</v>
      </c>
      <c r="BL266" t="s">
        <v>1391</v>
      </c>
      <c r="BM266" t="s">
        <v>5506</v>
      </c>
      <c r="BN266" t="s">
        <v>74</v>
      </c>
      <c r="BO266" t="s">
        <v>5507</v>
      </c>
      <c r="BP266" t="s">
        <v>74</v>
      </c>
      <c r="BQ266" t="s">
        <v>74</v>
      </c>
      <c r="BR266" t="s">
        <v>104</v>
      </c>
      <c r="BS266" t="s">
        <v>5508</v>
      </c>
      <c r="BT266" t="str">
        <f>HYPERLINK("https%3A%2F%2Fwww.webofscience.com%2Fwos%2Fwoscc%2Ffull-record%2FWOS:000335491400007","View Full Record in Web of Science")</f>
        <v>View Full Record in Web of Science</v>
      </c>
    </row>
    <row r="267" spans="1:72" x14ac:dyDescent="0.15">
      <c r="A267" t="s">
        <v>72</v>
      </c>
      <c r="B267" t="s">
        <v>5509</v>
      </c>
      <c r="C267" t="s">
        <v>74</v>
      </c>
      <c r="D267" t="s">
        <v>74</v>
      </c>
      <c r="E267" t="s">
        <v>74</v>
      </c>
      <c r="F267" t="s">
        <v>5510</v>
      </c>
      <c r="G267" t="s">
        <v>74</v>
      </c>
      <c r="H267" t="s">
        <v>74</v>
      </c>
      <c r="I267" t="s">
        <v>5511</v>
      </c>
      <c r="J267" t="s">
        <v>5512</v>
      </c>
      <c r="K267" t="s">
        <v>74</v>
      </c>
      <c r="L267" t="s">
        <v>74</v>
      </c>
      <c r="M267" t="s">
        <v>78</v>
      </c>
      <c r="N267" t="s">
        <v>79</v>
      </c>
      <c r="O267" t="s">
        <v>74</v>
      </c>
      <c r="P267" t="s">
        <v>74</v>
      </c>
      <c r="Q267" t="s">
        <v>74</v>
      </c>
      <c r="R267" t="s">
        <v>74</v>
      </c>
      <c r="S267" t="s">
        <v>74</v>
      </c>
      <c r="T267" t="s">
        <v>5513</v>
      </c>
      <c r="U267" t="s">
        <v>5514</v>
      </c>
      <c r="V267" t="s">
        <v>5515</v>
      </c>
      <c r="W267" t="s">
        <v>5516</v>
      </c>
      <c r="X267" t="s">
        <v>5517</v>
      </c>
      <c r="Y267" t="s">
        <v>5518</v>
      </c>
      <c r="Z267" t="s">
        <v>5519</v>
      </c>
      <c r="AA267" t="s">
        <v>5520</v>
      </c>
      <c r="AB267" t="s">
        <v>5521</v>
      </c>
      <c r="AC267" t="s">
        <v>5522</v>
      </c>
      <c r="AD267" t="s">
        <v>5523</v>
      </c>
      <c r="AE267" t="s">
        <v>5524</v>
      </c>
      <c r="AF267" t="s">
        <v>74</v>
      </c>
      <c r="AG267">
        <v>101</v>
      </c>
      <c r="AH267">
        <v>35</v>
      </c>
      <c r="AI267">
        <v>46</v>
      </c>
      <c r="AJ267">
        <v>0</v>
      </c>
      <c r="AK267">
        <v>15</v>
      </c>
      <c r="AL267" t="s">
        <v>5525</v>
      </c>
      <c r="AM267" t="s">
        <v>2370</v>
      </c>
      <c r="AN267" t="s">
        <v>5526</v>
      </c>
      <c r="AO267" t="s">
        <v>5527</v>
      </c>
      <c r="AP267" t="s">
        <v>5528</v>
      </c>
      <c r="AQ267" t="s">
        <v>74</v>
      </c>
      <c r="AR267" t="s">
        <v>5529</v>
      </c>
      <c r="AS267" t="s">
        <v>5530</v>
      </c>
      <c r="AT267" t="s">
        <v>5362</v>
      </c>
      <c r="AU267">
        <v>2014</v>
      </c>
      <c r="AV267">
        <v>314</v>
      </c>
      <c r="AW267">
        <v>2</v>
      </c>
      <c r="AX267">
        <v>2</v>
      </c>
      <c r="AY267" t="s">
        <v>74</v>
      </c>
      <c r="AZ267" t="s">
        <v>660</v>
      </c>
      <c r="BA267" t="s">
        <v>74</v>
      </c>
      <c r="BB267">
        <v>508</v>
      </c>
      <c r="BC267">
        <v>547</v>
      </c>
      <c r="BD267" t="s">
        <v>74</v>
      </c>
      <c r="BE267" t="s">
        <v>5531</v>
      </c>
      <c r="BF267" t="str">
        <f>HYPERLINK("http://dx.doi.org/10.2475/02.2014.03","http://dx.doi.org/10.2475/02.2014.03")</f>
        <v>http://dx.doi.org/10.2475/02.2014.03</v>
      </c>
      <c r="BG267" t="s">
        <v>74</v>
      </c>
      <c r="BH267" t="s">
        <v>74</v>
      </c>
      <c r="BI267">
        <v>40</v>
      </c>
      <c r="BJ267" t="s">
        <v>952</v>
      </c>
      <c r="BK267" t="s">
        <v>101</v>
      </c>
      <c r="BL267" t="s">
        <v>597</v>
      </c>
      <c r="BM267" t="s">
        <v>5532</v>
      </c>
      <c r="BN267" t="s">
        <v>74</v>
      </c>
      <c r="BO267" t="s">
        <v>200</v>
      </c>
      <c r="BP267" t="s">
        <v>74</v>
      </c>
      <c r="BQ267" t="s">
        <v>74</v>
      </c>
      <c r="BR267" t="s">
        <v>104</v>
      </c>
      <c r="BS267" t="s">
        <v>5533</v>
      </c>
      <c r="BT267" t="str">
        <f>HYPERLINK("https%3A%2F%2Fwww.webofscience.com%2Fwos%2Fwoscc%2Ffull-record%2FWOS:000334969200004","View Full Record in Web of Science")</f>
        <v>View Full Record in Web of Science</v>
      </c>
    </row>
    <row r="268" spans="1:72" x14ac:dyDescent="0.15">
      <c r="A268" t="s">
        <v>72</v>
      </c>
      <c r="B268" t="s">
        <v>5534</v>
      </c>
      <c r="C268" t="s">
        <v>74</v>
      </c>
      <c r="D268" t="s">
        <v>74</v>
      </c>
      <c r="E268" t="s">
        <v>74</v>
      </c>
      <c r="F268" t="s">
        <v>5535</v>
      </c>
      <c r="G268" t="s">
        <v>74</v>
      </c>
      <c r="H268" t="s">
        <v>74</v>
      </c>
      <c r="I268" t="s">
        <v>5536</v>
      </c>
      <c r="J268" t="s">
        <v>5537</v>
      </c>
      <c r="K268" t="s">
        <v>74</v>
      </c>
      <c r="L268" t="s">
        <v>74</v>
      </c>
      <c r="M268" t="s">
        <v>78</v>
      </c>
      <c r="N268" t="s">
        <v>79</v>
      </c>
      <c r="O268" t="s">
        <v>74</v>
      </c>
      <c r="P268" t="s">
        <v>74</v>
      </c>
      <c r="Q268" t="s">
        <v>74</v>
      </c>
      <c r="R268" t="s">
        <v>74</v>
      </c>
      <c r="S268" t="s">
        <v>74</v>
      </c>
      <c r="T268" t="s">
        <v>5538</v>
      </c>
      <c r="U268" t="s">
        <v>5539</v>
      </c>
      <c r="V268" t="s">
        <v>5540</v>
      </c>
      <c r="W268" t="s">
        <v>5541</v>
      </c>
      <c r="X268" t="s">
        <v>5542</v>
      </c>
      <c r="Y268" t="s">
        <v>5543</v>
      </c>
      <c r="Z268" t="s">
        <v>5544</v>
      </c>
      <c r="AA268" t="s">
        <v>5545</v>
      </c>
      <c r="AB268" t="s">
        <v>5546</v>
      </c>
      <c r="AC268" t="s">
        <v>5547</v>
      </c>
      <c r="AD268" t="s">
        <v>5548</v>
      </c>
      <c r="AE268" t="s">
        <v>5549</v>
      </c>
      <c r="AF268" t="s">
        <v>74</v>
      </c>
      <c r="AG268">
        <v>36</v>
      </c>
      <c r="AH268">
        <v>32</v>
      </c>
      <c r="AI268">
        <v>40</v>
      </c>
      <c r="AJ268">
        <v>8</v>
      </c>
      <c r="AK268">
        <v>90</v>
      </c>
      <c r="AL268" t="s">
        <v>1020</v>
      </c>
      <c r="AM268" t="s">
        <v>1021</v>
      </c>
      <c r="AN268" t="s">
        <v>1022</v>
      </c>
      <c r="AO268" t="s">
        <v>5550</v>
      </c>
      <c r="AP268" t="s">
        <v>5551</v>
      </c>
      <c r="AQ268" t="s">
        <v>74</v>
      </c>
      <c r="AR268" t="s">
        <v>5552</v>
      </c>
      <c r="AS268" t="s">
        <v>5553</v>
      </c>
      <c r="AT268" t="s">
        <v>5362</v>
      </c>
      <c r="AU268">
        <v>2014</v>
      </c>
      <c r="AV268">
        <v>28</v>
      </c>
      <c r="AW268">
        <v>1</v>
      </c>
      <c r="AX268" t="s">
        <v>74</v>
      </c>
      <c r="AY268" t="s">
        <v>74</v>
      </c>
      <c r="AZ268" t="s">
        <v>74</v>
      </c>
      <c r="BA268" t="s">
        <v>74</v>
      </c>
      <c r="BB268">
        <v>139</v>
      </c>
      <c r="BC268">
        <v>149</v>
      </c>
      <c r="BD268" t="s">
        <v>74</v>
      </c>
      <c r="BE268" t="s">
        <v>5554</v>
      </c>
      <c r="BF268" t="str">
        <f>HYPERLINK("http://dx.doi.org/10.1007/s13351-014-3027-5","http://dx.doi.org/10.1007/s13351-014-3027-5")</f>
        <v>http://dx.doi.org/10.1007/s13351-014-3027-5</v>
      </c>
      <c r="BG268" t="s">
        <v>74</v>
      </c>
      <c r="BH268" t="s">
        <v>74</v>
      </c>
      <c r="BI268">
        <v>11</v>
      </c>
      <c r="BJ268" t="s">
        <v>1391</v>
      </c>
      <c r="BK268" t="s">
        <v>101</v>
      </c>
      <c r="BL268" t="s">
        <v>1391</v>
      </c>
      <c r="BM268" t="s">
        <v>5555</v>
      </c>
      <c r="BN268" t="s">
        <v>74</v>
      </c>
      <c r="BO268" t="s">
        <v>74</v>
      </c>
      <c r="BP268" t="s">
        <v>74</v>
      </c>
      <c r="BQ268" t="s">
        <v>74</v>
      </c>
      <c r="BR268" t="s">
        <v>104</v>
      </c>
      <c r="BS268" t="s">
        <v>5556</v>
      </c>
      <c r="BT268" t="str">
        <f>HYPERLINK("https%3A%2F%2Fwww.webofscience.com%2Fwos%2Fwoscc%2Ffull-record%2FWOS:000334428700008","View Full Record in Web of Science")</f>
        <v>View Full Record in Web of Science</v>
      </c>
    </row>
    <row r="269" spans="1:72" x14ac:dyDescent="0.15">
      <c r="A269" t="s">
        <v>72</v>
      </c>
      <c r="B269" t="s">
        <v>5557</v>
      </c>
      <c r="C269" t="s">
        <v>74</v>
      </c>
      <c r="D269" t="s">
        <v>74</v>
      </c>
      <c r="E269" t="s">
        <v>74</v>
      </c>
      <c r="F269" t="s">
        <v>5558</v>
      </c>
      <c r="G269" t="s">
        <v>74</v>
      </c>
      <c r="H269" t="s">
        <v>74</v>
      </c>
      <c r="I269" t="s">
        <v>5559</v>
      </c>
      <c r="J269" t="s">
        <v>5537</v>
      </c>
      <c r="K269" t="s">
        <v>74</v>
      </c>
      <c r="L269" t="s">
        <v>74</v>
      </c>
      <c r="M269" t="s">
        <v>78</v>
      </c>
      <c r="N269" t="s">
        <v>79</v>
      </c>
      <c r="O269" t="s">
        <v>74</v>
      </c>
      <c r="P269" t="s">
        <v>74</v>
      </c>
      <c r="Q269" t="s">
        <v>74</v>
      </c>
      <c r="R269" t="s">
        <v>74</v>
      </c>
      <c r="S269" t="s">
        <v>74</v>
      </c>
      <c r="T269" t="s">
        <v>5560</v>
      </c>
      <c r="U269" t="s">
        <v>5561</v>
      </c>
      <c r="V269" t="s">
        <v>5562</v>
      </c>
      <c r="W269" t="s">
        <v>5563</v>
      </c>
      <c r="X269" t="s">
        <v>5542</v>
      </c>
      <c r="Y269" t="s">
        <v>5564</v>
      </c>
      <c r="Z269" t="s">
        <v>5565</v>
      </c>
      <c r="AA269" t="s">
        <v>5566</v>
      </c>
      <c r="AB269" t="s">
        <v>5567</v>
      </c>
      <c r="AC269" t="s">
        <v>5568</v>
      </c>
      <c r="AD269" t="s">
        <v>5569</v>
      </c>
      <c r="AE269" t="s">
        <v>5570</v>
      </c>
      <c r="AF269" t="s">
        <v>74</v>
      </c>
      <c r="AG269">
        <v>31</v>
      </c>
      <c r="AH269">
        <v>1</v>
      </c>
      <c r="AI269">
        <v>2</v>
      </c>
      <c r="AJ269">
        <v>1</v>
      </c>
      <c r="AK269">
        <v>22</v>
      </c>
      <c r="AL269" t="s">
        <v>1020</v>
      </c>
      <c r="AM269" t="s">
        <v>1021</v>
      </c>
      <c r="AN269" t="s">
        <v>1022</v>
      </c>
      <c r="AO269" t="s">
        <v>5550</v>
      </c>
      <c r="AP269" t="s">
        <v>5551</v>
      </c>
      <c r="AQ269" t="s">
        <v>74</v>
      </c>
      <c r="AR269" t="s">
        <v>5552</v>
      </c>
      <c r="AS269" t="s">
        <v>5553</v>
      </c>
      <c r="AT269" t="s">
        <v>5362</v>
      </c>
      <c r="AU269">
        <v>2014</v>
      </c>
      <c r="AV269">
        <v>28</v>
      </c>
      <c r="AW269">
        <v>1</v>
      </c>
      <c r="AX269" t="s">
        <v>74</v>
      </c>
      <c r="AY269" t="s">
        <v>74</v>
      </c>
      <c r="AZ269" t="s">
        <v>74</v>
      </c>
      <c r="BA269" t="s">
        <v>74</v>
      </c>
      <c r="BB269">
        <v>162</v>
      </c>
      <c r="BC269">
        <v>171</v>
      </c>
      <c r="BD269" t="s">
        <v>74</v>
      </c>
      <c r="BE269" t="s">
        <v>5571</v>
      </c>
      <c r="BF269" t="str">
        <f>HYPERLINK("http://dx.doi.org/10.1007/s13351-014-0102-x","http://dx.doi.org/10.1007/s13351-014-0102-x")</f>
        <v>http://dx.doi.org/10.1007/s13351-014-0102-x</v>
      </c>
      <c r="BG269" t="s">
        <v>74</v>
      </c>
      <c r="BH269" t="s">
        <v>74</v>
      </c>
      <c r="BI269">
        <v>10</v>
      </c>
      <c r="BJ269" t="s">
        <v>1391</v>
      </c>
      <c r="BK269" t="s">
        <v>101</v>
      </c>
      <c r="BL269" t="s">
        <v>1391</v>
      </c>
      <c r="BM269" t="s">
        <v>5555</v>
      </c>
      <c r="BN269" t="s">
        <v>74</v>
      </c>
      <c r="BO269" t="s">
        <v>74</v>
      </c>
      <c r="BP269" t="s">
        <v>74</v>
      </c>
      <c r="BQ269" t="s">
        <v>74</v>
      </c>
      <c r="BR269" t="s">
        <v>104</v>
      </c>
      <c r="BS269" t="s">
        <v>5572</v>
      </c>
      <c r="BT269" t="str">
        <f>HYPERLINK("https%3A%2F%2Fwww.webofscience.com%2Fwos%2Fwoscc%2Ffull-record%2FWOS:000334428700010","View Full Record in Web of Science")</f>
        <v>View Full Record in Web of Science</v>
      </c>
    </row>
    <row r="270" spans="1:72" x14ac:dyDescent="0.15">
      <c r="A270" t="s">
        <v>72</v>
      </c>
      <c r="B270" t="s">
        <v>5573</v>
      </c>
      <c r="C270" t="s">
        <v>74</v>
      </c>
      <c r="D270" t="s">
        <v>74</v>
      </c>
      <c r="E270" t="s">
        <v>74</v>
      </c>
      <c r="F270" t="s">
        <v>5574</v>
      </c>
      <c r="G270" t="s">
        <v>74</v>
      </c>
      <c r="H270" t="s">
        <v>74</v>
      </c>
      <c r="I270" t="s">
        <v>5575</v>
      </c>
      <c r="J270" t="s">
        <v>188</v>
      </c>
      <c r="K270" t="s">
        <v>74</v>
      </c>
      <c r="L270" t="s">
        <v>74</v>
      </c>
      <c r="M270" t="s">
        <v>78</v>
      </c>
      <c r="N270" t="s">
        <v>79</v>
      </c>
      <c r="O270" t="s">
        <v>74</v>
      </c>
      <c r="P270" t="s">
        <v>74</v>
      </c>
      <c r="Q270" t="s">
        <v>74</v>
      </c>
      <c r="R270" t="s">
        <v>74</v>
      </c>
      <c r="S270" t="s">
        <v>74</v>
      </c>
      <c r="T270" t="s">
        <v>5576</v>
      </c>
      <c r="U270" t="s">
        <v>5577</v>
      </c>
      <c r="V270" t="s">
        <v>5578</v>
      </c>
      <c r="W270" t="s">
        <v>5579</v>
      </c>
      <c r="X270" t="s">
        <v>5580</v>
      </c>
      <c r="Y270" t="s">
        <v>5581</v>
      </c>
      <c r="Z270" t="s">
        <v>5582</v>
      </c>
      <c r="AA270" t="s">
        <v>5583</v>
      </c>
      <c r="AB270" t="s">
        <v>5584</v>
      </c>
      <c r="AC270" t="s">
        <v>5585</v>
      </c>
      <c r="AD270" t="s">
        <v>5585</v>
      </c>
      <c r="AE270" t="s">
        <v>5586</v>
      </c>
      <c r="AF270" t="s">
        <v>74</v>
      </c>
      <c r="AG270">
        <v>39</v>
      </c>
      <c r="AH270">
        <v>12</v>
      </c>
      <c r="AI270">
        <v>12</v>
      </c>
      <c r="AJ270">
        <v>0</v>
      </c>
      <c r="AK270">
        <v>15</v>
      </c>
      <c r="AL270" t="s">
        <v>91</v>
      </c>
      <c r="AM270" t="s">
        <v>92</v>
      </c>
      <c r="AN270" t="s">
        <v>93</v>
      </c>
      <c r="AO270" t="s">
        <v>192</v>
      </c>
      <c r="AP270" t="s">
        <v>193</v>
      </c>
      <c r="AQ270" t="s">
        <v>74</v>
      </c>
      <c r="AR270" t="s">
        <v>194</v>
      </c>
      <c r="AS270" t="s">
        <v>195</v>
      </c>
      <c r="AT270" t="s">
        <v>5362</v>
      </c>
      <c r="AU270">
        <v>2014</v>
      </c>
      <c r="AV270">
        <v>26</v>
      </c>
      <c r="AW270">
        <v>1</v>
      </c>
      <c r="AX270" t="s">
        <v>74</v>
      </c>
      <c r="AY270" t="s">
        <v>74</v>
      </c>
      <c r="AZ270" t="s">
        <v>74</v>
      </c>
      <c r="BA270" t="s">
        <v>74</v>
      </c>
      <c r="BB270">
        <v>15</v>
      </c>
      <c r="BC270">
        <v>22</v>
      </c>
      <c r="BD270" t="s">
        <v>74</v>
      </c>
      <c r="BE270" t="s">
        <v>5587</v>
      </c>
      <c r="BF270" t="str">
        <f>HYPERLINK("http://dx.doi.org/10.1017/S0954102013000230","http://dx.doi.org/10.1017/S0954102013000230")</f>
        <v>http://dx.doi.org/10.1017/S0954102013000230</v>
      </c>
      <c r="BG270" t="s">
        <v>74</v>
      </c>
      <c r="BH270" t="s">
        <v>74</v>
      </c>
      <c r="BI270">
        <v>8</v>
      </c>
      <c r="BJ270" t="s">
        <v>197</v>
      </c>
      <c r="BK270" t="s">
        <v>101</v>
      </c>
      <c r="BL270" t="s">
        <v>198</v>
      </c>
      <c r="BM270" t="s">
        <v>5588</v>
      </c>
      <c r="BN270" t="s">
        <v>74</v>
      </c>
      <c r="BO270" t="s">
        <v>74</v>
      </c>
      <c r="BP270" t="s">
        <v>74</v>
      </c>
      <c r="BQ270" t="s">
        <v>74</v>
      </c>
      <c r="BR270" t="s">
        <v>104</v>
      </c>
      <c r="BS270" t="s">
        <v>5589</v>
      </c>
      <c r="BT270" t="str">
        <f>HYPERLINK("https%3A%2F%2Fwww.webofscience.com%2Fwos%2Fwoscc%2Ffull-record%2FWOS:000332374600003","View Full Record in Web of Science")</f>
        <v>View Full Record in Web of Science</v>
      </c>
    </row>
    <row r="271" spans="1:72" x14ac:dyDescent="0.15">
      <c r="A271" t="s">
        <v>72</v>
      </c>
      <c r="B271" t="s">
        <v>5590</v>
      </c>
      <c r="C271" t="s">
        <v>74</v>
      </c>
      <c r="D271" t="s">
        <v>74</v>
      </c>
      <c r="E271" t="s">
        <v>74</v>
      </c>
      <c r="F271" t="s">
        <v>5591</v>
      </c>
      <c r="G271" t="s">
        <v>74</v>
      </c>
      <c r="H271" t="s">
        <v>74</v>
      </c>
      <c r="I271" t="s">
        <v>5592</v>
      </c>
      <c r="J271" t="s">
        <v>188</v>
      </c>
      <c r="K271" t="s">
        <v>74</v>
      </c>
      <c r="L271" t="s">
        <v>74</v>
      </c>
      <c r="M271" t="s">
        <v>78</v>
      </c>
      <c r="N271" t="s">
        <v>79</v>
      </c>
      <c r="O271" t="s">
        <v>74</v>
      </c>
      <c r="P271" t="s">
        <v>74</v>
      </c>
      <c r="Q271" t="s">
        <v>74</v>
      </c>
      <c r="R271" t="s">
        <v>74</v>
      </c>
      <c r="S271" t="s">
        <v>74</v>
      </c>
      <c r="T271" t="s">
        <v>5593</v>
      </c>
      <c r="U271" t="s">
        <v>5594</v>
      </c>
      <c r="V271" t="s">
        <v>5595</v>
      </c>
      <c r="W271" t="s">
        <v>5596</v>
      </c>
      <c r="X271" t="s">
        <v>5597</v>
      </c>
      <c r="Y271" t="s">
        <v>5598</v>
      </c>
      <c r="Z271" t="s">
        <v>5599</v>
      </c>
      <c r="AA271" t="s">
        <v>74</v>
      </c>
      <c r="AB271" t="s">
        <v>5164</v>
      </c>
      <c r="AC271" t="s">
        <v>5600</v>
      </c>
      <c r="AD271" t="s">
        <v>5601</v>
      </c>
      <c r="AE271" t="s">
        <v>5602</v>
      </c>
      <c r="AF271" t="s">
        <v>74</v>
      </c>
      <c r="AG271">
        <v>40</v>
      </c>
      <c r="AH271">
        <v>19</v>
      </c>
      <c r="AI271">
        <v>20</v>
      </c>
      <c r="AJ271">
        <v>0</v>
      </c>
      <c r="AK271">
        <v>15</v>
      </c>
      <c r="AL271" t="s">
        <v>91</v>
      </c>
      <c r="AM271" t="s">
        <v>92</v>
      </c>
      <c r="AN271" t="s">
        <v>93</v>
      </c>
      <c r="AO271" t="s">
        <v>192</v>
      </c>
      <c r="AP271" t="s">
        <v>193</v>
      </c>
      <c r="AQ271" t="s">
        <v>74</v>
      </c>
      <c r="AR271" t="s">
        <v>194</v>
      </c>
      <c r="AS271" t="s">
        <v>195</v>
      </c>
      <c r="AT271" t="s">
        <v>5362</v>
      </c>
      <c r="AU271">
        <v>2014</v>
      </c>
      <c r="AV271">
        <v>26</v>
      </c>
      <c r="AW271">
        <v>1</v>
      </c>
      <c r="AX271" t="s">
        <v>74</v>
      </c>
      <c r="AY271" t="s">
        <v>74</v>
      </c>
      <c r="AZ271" t="s">
        <v>74</v>
      </c>
      <c r="BA271" t="s">
        <v>74</v>
      </c>
      <c r="BB271">
        <v>23</v>
      </c>
      <c r="BC271">
        <v>32</v>
      </c>
      <c r="BD271" t="s">
        <v>74</v>
      </c>
      <c r="BE271" t="s">
        <v>5603</v>
      </c>
      <c r="BF271" t="str">
        <f>HYPERLINK("http://dx.doi.org/10.1017/S0954102013000266","http://dx.doi.org/10.1017/S0954102013000266")</f>
        <v>http://dx.doi.org/10.1017/S0954102013000266</v>
      </c>
      <c r="BG271" t="s">
        <v>74</v>
      </c>
      <c r="BH271" t="s">
        <v>74</v>
      </c>
      <c r="BI271">
        <v>10</v>
      </c>
      <c r="BJ271" t="s">
        <v>197</v>
      </c>
      <c r="BK271" t="s">
        <v>101</v>
      </c>
      <c r="BL271" t="s">
        <v>198</v>
      </c>
      <c r="BM271" t="s">
        <v>5588</v>
      </c>
      <c r="BN271" t="s">
        <v>74</v>
      </c>
      <c r="BO271" t="s">
        <v>74</v>
      </c>
      <c r="BP271" t="s">
        <v>74</v>
      </c>
      <c r="BQ271" t="s">
        <v>74</v>
      </c>
      <c r="BR271" t="s">
        <v>104</v>
      </c>
      <c r="BS271" t="s">
        <v>5604</v>
      </c>
      <c r="BT271" t="str">
        <f>HYPERLINK("https%3A%2F%2Fwww.webofscience.com%2Fwos%2Fwoscc%2Ffull-record%2FWOS:000332374600004","View Full Record in Web of Science")</f>
        <v>View Full Record in Web of Science</v>
      </c>
    </row>
    <row r="272" spans="1:72" x14ac:dyDescent="0.15">
      <c r="A272" t="s">
        <v>72</v>
      </c>
      <c r="B272" t="s">
        <v>5605</v>
      </c>
      <c r="C272" t="s">
        <v>74</v>
      </c>
      <c r="D272" t="s">
        <v>74</v>
      </c>
      <c r="E272" t="s">
        <v>74</v>
      </c>
      <c r="F272" t="s">
        <v>5606</v>
      </c>
      <c r="G272" t="s">
        <v>74</v>
      </c>
      <c r="H272" t="s">
        <v>74</v>
      </c>
      <c r="I272" t="s">
        <v>5607</v>
      </c>
      <c r="J272" t="s">
        <v>188</v>
      </c>
      <c r="K272" t="s">
        <v>74</v>
      </c>
      <c r="L272" t="s">
        <v>74</v>
      </c>
      <c r="M272" t="s">
        <v>78</v>
      </c>
      <c r="N272" t="s">
        <v>79</v>
      </c>
      <c r="O272" t="s">
        <v>74</v>
      </c>
      <c r="P272" t="s">
        <v>74</v>
      </c>
      <c r="Q272" t="s">
        <v>74</v>
      </c>
      <c r="R272" t="s">
        <v>74</v>
      </c>
      <c r="S272" t="s">
        <v>74</v>
      </c>
      <c r="T272" t="s">
        <v>5608</v>
      </c>
      <c r="U272" t="s">
        <v>5609</v>
      </c>
      <c r="V272" t="s">
        <v>5610</v>
      </c>
      <c r="W272" t="s">
        <v>5611</v>
      </c>
      <c r="X272" t="s">
        <v>2362</v>
      </c>
      <c r="Y272" t="s">
        <v>5612</v>
      </c>
      <c r="Z272" t="s">
        <v>5613</v>
      </c>
      <c r="AA272" t="s">
        <v>74</v>
      </c>
      <c r="AB272" t="s">
        <v>5614</v>
      </c>
      <c r="AC272" t="s">
        <v>5615</v>
      </c>
      <c r="AD272" t="s">
        <v>5616</v>
      </c>
      <c r="AE272" t="s">
        <v>5617</v>
      </c>
      <c r="AF272" t="s">
        <v>74</v>
      </c>
      <c r="AG272">
        <v>10</v>
      </c>
      <c r="AH272">
        <v>5</v>
      </c>
      <c r="AI272">
        <v>7</v>
      </c>
      <c r="AJ272">
        <v>1</v>
      </c>
      <c r="AK272">
        <v>65</v>
      </c>
      <c r="AL272" t="s">
        <v>91</v>
      </c>
      <c r="AM272" t="s">
        <v>92</v>
      </c>
      <c r="AN272" t="s">
        <v>93</v>
      </c>
      <c r="AO272" t="s">
        <v>192</v>
      </c>
      <c r="AP272" t="s">
        <v>193</v>
      </c>
      <c r="AQ272" t="s">
        <v>74</v>
      </c>
      <c r="AR272" t="s">
        <v>194</v>
      </c>
      <c r="AS272" t="s">
        <v>195</v>
      </c>
      <c r="AT272" t="s">
        <v>5362</v>
      </c>
      <c r="AU272">
        <v>2014</v>
      </c>
      <c r="AV272">
        <v>26</v>
      </c>
      <c r="AW272">
        <v>1</v>
      </c>
      <c r="AX272" t="s">
        <v>74</v>
      </c>
      <c r="AY272" t="s">
        <v>74</v>
      </c>
      <c r="AZ272" t="s">
        <v>74</v>
      </c>
      <c r="BA272" t="s">
        <v>74</v>
      </c>
      <c r="BB272">
        <v>33</v>
      </c>
      <c r="BC272">
        <v>37</v>
      </c>
      <c r="BD272" t="s">
        <v>74</v>
      </c>
      <c r="BE272" t="s">
        <v>5618</v>
      </c>
      <c r="BF272" t="str">
        <f>HYPERLINK("http://dx.doi.org/10.1017/S0954102013000515","http://dx.doi.org/10.1017/S0954102013000515")</f>
        <v>http://dx.doi.org/10.1017/S0954102013000515</v>
      </c>
      <c r="BG272" t="s">
        <v>74</v>
      </c>
      <c r="BH272" t="s">
        <v>74</v>
      </c>
      <c r="BI272">
        <v>5</v>
      </c>
      <c r="BJ272" t="s">
        <v>197</v>
      </c>
      <c r="BK272" t="s">
        <v>101</v>
      </c>
      <c r="BL272" t="s">
        <v>198</v>
      </c>
      <c r="BM272" t="s">
        <v>5588</v>
      </c>
      <c r="BN272" t="s">
        <v>74</v>
      </c>
      <c r="BO272" t="s">
        <v>74</v>
      </c>
      <c r="BP272" t="s">
        <v>74</v>
      </c>
      <c r="BQ272" t="s">
        <v>74</v>
      </c>
      <c r="BR272" t="s">
        <v>104</v>
      </c>
      <c r="BS272" t="s">
        <v>5619</v>
      </c>
      <c r="BT272" t="str">
        <f>HYPERLINK("https%3A%2F%2Fwww.webofscience.com%2Fwos%2Fwoscc%2Ffull-record%2FWOS:000332374600005","View Full Record in Web of Science")</f>
        <v>View Full Record in Web of Science</v>
      </c>
    </row>
    <row r="273" spans="1:72" x14ac:dyDescent="0.15">
      <c r="A273" t="s">
        <v>72</v>
      </c>
      <c r="B273" t="s">
        <v>5620</v>
      </c>
      <c r="C273" t="s">
        <v>74</v>
      </c>
      <c r="D273" t="s">
        <v>74</v>
      </c>
      <c r="E273" t="s">
        <v>74</v>
      </c>
      <c r="F273" t="s">
        <v>5621</v>
      </c>
      <c r="G273" t="s">
        <v>74</v>
      </c>
      <c r="H273" t="s">
        <v>74</v>
      </c>
      <c r="I273" t="s">
        <v>5622</v>
      </c>
      <c r="J273" t="s">
        <v>188</v>
      </c>
      <c r="K273" t="s">
        <v>74</v>
      </c>
      <c r="L273" t="s">
        <v>74</v>
      </c>
      <c r="M273" t="s">
        <v>78</v>
      </c>
      <c r="N273" t="s">
        <v>79</v>
      </c>
      <c r="O273" t="s">
        <v>74</v>
      </c>
      <c r="P273" t="s">
        <v>74</v>
      </c>
      <c r="Q273" t="s">
        <v>74</v>
      </c>
      <c r="R273" t="s">
        <v>74</v>
      </c>
      <c r="S273" t="s">
        <v>74</v>
      </c>
      <c r="T273" t="s">
        <v>5623</v>
      </c>
      <c r="U273" t="s">
        <v>5624</v>
      </c>
      <c r="V273" t="s">
        <v>5625</v>
      </c>
      <c r="W273" t="s">
        <v>5626</v>
      </c>
      <c r="X273" t="s">
        <v>5627</v>
      </c>
      <c r="Y273" t="s">
        <v>5628</v>
      </c>
      <c r="Z273" t="s">
        <v>5629</v>
      </c>
      <c r="AA273" t="s">
        <v>5630</v>
      </c>
      <c r="AB273" t="s">
        <v>5631</v>
      </c>
      <c r="AC273" t="s">
        <v>5632</v>
      </c>
      <c r="AD273" t="s">
        <v>5632</v>
      </c>
      <c r="AE273" t="s">
        <v>5633</v>
      </c>
      <c r="AF273" t="s">
        <v>74</v>
      </c>
      <c r="AG273">
        <v>37</v>
      </c>
      <c r="AH273">
        <v>10</v>
      </c>
      <c r="AI273">
        <v>10</v>
      </c>
      <c r="AJ273">
        <v>0</v>
      </c>
      <c r="AK273">
        <v>40</v>
      </c>
      <c r="AL273" t="s">
        <v>91</v>
      </c>
      <c r="AM273" t="s">
        <v>92</v>
      </c>
      <c r="AN273" t="s">
        <v>93</v>
      </c>
      <c r="AO273" t="s">
        <v>192</v>
      </c>
      <c r="AP273" t="s">
        <v>193</v>
      </c>
      <c r="AQ273" t="s">
        <v>74</v>
      </c>
      <c r="AR273" t="s">
        <v>194</v>
      </c>
      <c r="AS273" t="s">
        <v>195</v>
      </c>
      <c r="AT273" t="s">
        <v>5362</v>
      </c>
      <c r="AU273">
        <v>2014</v>
      </c>
      <c r="AV273">
        <v>26</v>
      </c>
      <c r="AW273">
        <v>1</v>
      </c>
      <c r="AX273" t="s">
        <v>74</v>
      </c>
      <c r="AY273" t="s">
        <v>74</v>
      </c>
      <c r="AZ273" t="s">
        <v>74</v>
      </c>
      <c r="BA273" t="s">
        <v>74</v>
      </c>
      <c r="BB273">
        <v>38</v>
      </c>
      <c r="BC273">
        <v>48</v>
      </c>
      <c r="BD273" t="s">
        <v>74</v>
      </c>
      <c r="BE273" t="s">
        <v>5634</v>
      </c>
      <c r="BF273" t="str">
        <f>HYPERLINK("http://dx.doi.org/10.1017/S0954102013000138","http://dx.doi.org/10.1017/S0954102013000138")</f>
        <v>http://dx.doi.org/10.1017/S0954102013000138</v>
      </c>
      <c r="BG273" t="s">
        <v>74</v>
      </c>
      <c r="BH273" t="s">
        <v>74</v>
      </c>
      <c r="BI273">
        <v>11</v>
      </c>
      <c r="BJ273" t="s">
        <v>197</v>
      </c>
      <c r="BK273" t="s">
        <v>101</v>
      </c>
      <c r="BL273" t="s">
        <v>198</v>
      </c>
      <c r="BM273" t="s">
        <v>5588</v>
      </c>
      <c r="BN273" t="s">
        <v>74</v>
      </c>
      <c r="BO273" t="s">
        <v>74</v>
      </c>
      <c r="BP273" t="s">
        <v>74</v>
      </c>
      <c r="BQ273" t="s">
        <v>74</v>
      </c>
      <c r="BR273" t="s">
        <v>104</v>
      </c>
      <c r="BS273" t="s">
        <v>5635</v>
      </c>
      <c r="BT273" t="str">
        <f>HYPERLINK("https%3A%2F%2Fwww.webofscience.com%2Fwos%2Fwoscc%2Ffull-record%2FWOS:000332374600006","View Full Record in Web of Science")</f>
        <v>View Full Record in Web of Science</v>
      </c>
    </row>
    <row r="274" spans="1:72" x14ac:dyDescent="0.15">
      <c r="A274" t="s">
        <v>72</v>
      </c>
      <c r="B274" t="s">
        <v>5636</v>
      </c>
      <c r="C274" t="s">
        <v>74</v>
      </c>
      <c r="D274" t="s">
        <v>74</v>
      </c>
      <c r="E274" t="s">
        <v>74</v>
      </c>
      <c r="F274" t="s">
        <v>5637</v>
      </c>
      <c r="G274" t="s">
        <v>74</v>
      </c>
      <c r="H274" t="s">
        <v>74</v>
      </c>
      <c r="I274" t="s">
        <v>5638</v>
      </c>
      <c r="J274" t="s">
        <v>188</v>
      </c>
      <c r="K274" t="s">
        <v>74</v>
      </c>
      <c r="L274" t="s">
        <v>74</v>
      </c>
      <c r="M274" t="s">
        <v>78</v>
      </c>
      <c r="N274" t="s">
        <v>79</v>
      </c>
      <c r="O274" t="s">
        <v>74</v>
      </c>
      <c r="P274" t="s">
        <v>74</v>
      </c>
      <c r="Q274" t="s">
        <v>74</v>
      </c>
      <c r="R274" t="s">
        <v>74</v>
      </c>
      <c r="S274" t="s">
        <v>74</v>
      </c>
      <c r="T274" t="s">
        <v>5639</v>
      </c>
      <c r="U274" t="s">
        <v>5640</v>
      </c>
      <c r="V274" t="s">
        <v>5641</v>
      </c>
      <c r="W274" t="s">
        <v>5642</v>
      </c>
      <c r="X274" t="s">
        <v>5643</v>
      </c>
      <c r="Y274" t="s">
        <v>5644</v>
      </c>
      <c r="Z274" t="s">
        <v>5645</v>
      </c>
      <c r="AA274" t="s">
        <v>74</v>
      </c>
      <c r="AB274" t="s">
        <v>74</v>
      </c>
      <c r="AC274" t="s">
        <v>5646</v>
      </c>
      <c r="AD274" t="s">
        <v>5647</v>
      </c>
      <c r="AE274" t="s">
        <v>5648</v>
      </c>
      <c r="AF274" t="s">
        <v>74</v>
      </c>
      <c r="AG274">
        <v>42</v>
      </c>
      <c r="AH274">
        <v>14</v>
      </c>
      <c r="AI274">
        <v>17</v>
      </c>
      <c r="AJ274">
        <v>1</v>
      </c>
      <c r="AK274">
        <v>17</v>
      </c>
      <c r="AL274" t="s">
        <v>91</v>
      </c>
      <c r="AM274" t="s">
        <v>92</v>
      </c>
      <c r="AN274" t="s">
        <v>93</v>
      </c>
      <c r="AO274" t="s">
        <v>192</v>
      </c>
      <c r="AP274" t="s">
        <v>193</v>
      </c>
      <c r="AQ274" t="s">
        <v>74</v>
      </c>
      <c r="AR274" t="s">
        <v>194</v>
      </c>
      <c r="AS274" t="s">
        <v>195</v>
      </c>
      <c r="AT274" t="s">
        <v>5362</v>
      </c>
      <c r="AU274">
        <v>2014</v>
      </c>
      <c r="AV274">
        <v>26</v>
      </c>
      <c r="AW274">
        <v>1</v>
      </c>
      <c r="AX274" t="s">
        <v>74</v>
      </c>
      <c r="AY274" t="s">
        <v>74</v>
      </c>
      <c r="AZ274" t="s">
        <v>74</v>
      </c>
      <c r="BA274" t="s">
        <v>74</v>
      </c>
      <c r="BB274">
        <v>49</v>
      </c>
      <c r="BC274">
        <v>68</v>
      </c>
      <c r="BD274" t="s">
        <v>74</v>
      </c>
      <c r="BE274" t="s">
        <v>5649</v>
      </c>
      <c r="BF274" t="str">
        <f>HYPERLINK("http://dx.doi.org/10.1017/S0954102013000254","http://dx.doi.org/10.1017/S0954102013000254")</f>
        <v>http://dx.doi.org/10.1017/S0954102013000254</v>
      </c>
      <c r="BG274" t="s">
        <v>74</v>
      </c>
      <c r="BH274" t="s">
        <v>74</v>
      </c>
      <c r="BI274">
        <v>20</v>
      </c>
      <c r="BJ274" t="s">
        <v>197</v>
      </c>
      <c r="BK274" t="s">
        <v>101</v>
      </c>
      <c r="BL274" t="s">
        <v>198</v>
      </c>
      <c r="BM274" t="s">
        <v>5588</v>
      </c>
      <c r="BN274" t="s">
        <v>74</v>
      </c>
      <c r="BO274" t="s">
        <v>74</v>
      </c>
      <c r="BP274" t="s">
        <v>74</v>
      </c>
      <c r="BQ274" t="s">
        <v>74</v>
      </c>
      <c r="BR274" t="s">
        <v>104</v>
      </c>
      <c r="BS274" t="s">
        <v>5650</v>
      </c>
      <c r="BT274" t="str">
        <f>HYPERLINK("https%3A%2F%2Fwww.webofscience.com%2Fwos%2Fwoscc%2Ffull-record%2FWOS:000332374600007","View Full Record in Web of Science")</f>
        <v>View Full Record in Web of Science</v>
      </c>
    </row>
    <row r="275" spans="1:72" x14ac:dyDescent="0.15">
      <c r="A275" t="s">
        <v>72</v>
      </c>
      <c r="B275" t="s">
        <v>5651</v>
      </c>
      <c r="C275" t="s">
        <v>74</v>
      </c>
      <c r="D275" t="s">
        <v>74</v>
      </c>
      <c r="E275" t="s">
        <v>74</v>
      </c>
      <c r="F275" t="s">
        <v>5652</v>
      </c>
      <c r="G275" t="s">
        <v>74</v>
      </c>
      <c r="H275" t="s">
        <v>74</v>
      </c>
      <c r="I275" t="s">
        <v>5653</v>
      </c>
      <c r="J275" t="s">
        <v>188</v>
      </c>
      <c r="K275" t="s">
        <v>74</v>
      </c>
      <c r="L275" t="s">
        <v>74</v>
      </c>
      <c r="M275" t="s">
        <v>78</v>
      </c>
      <c r="N275" t="s">
        <v>79</v>
      </c>
      <c r="O275" t="s">
        <v>74</v>
      </c>
      <c r="P275" t="s">
        <v>74</v>
      </c>
      <c r="Q275" t="s">
        <v>74</v>
      </c>
      <c r="R275" t="s">
        <v>74</v>
      </c>
      <c r="S275" t="s">
        <v>74</v>
      </c>
      <c r="T275" t="s">
        <v>5654</v>
      </c>
      <c r="U275" t="s">
        <v>5655</v>
      </c>
      <c r="V275" t="s">
        <v>5656</v>
      </c>
      <c r="W275" t="s">
        <v>5657</v>
      </c>
      <c r="X275" t="s">
        <v>5658</v>
      </c>
      <c r="Y275" t="s">
        <v>5659</v>
      </c>
      <c r="Z275" t="s">
        <v>5660</v>
      </c>
      <c r="AA275" t="s">
        <v>5661</v>
      </c>
      <c r="AB275" t="s">
        <v>5662</v>
      </c>
      <c r="AC275" t="s">
        <v>5663</v>
      </c>
      <c r="AD275" t="s">
        <v>5664</v>
      </c>
      <c r="AE275" t="s">
        <v>5665</v>
      </c>
      <c r="AF275" t="s">
        <v>74</v>
      </c>
      <c r="AG275">
        <v>39</v>
      </c>
      <c r="AH275">
        <v>6</v>
      </c>
      <c r="AI275">
        <v>8</v>
      </c>
      <c r="AJ275">
        <v>0</v>
      </c>
      <c r="AK275">
        <v>19</v>
      </c>
      <c r="AL275" t="s">
        <v>91</v>
      </c>
      <c r="AM275" t="s">
        <v>92</v>
      </c>
      <c r="AN275" t="s">
        <v>93</v>
      </c>
      <c r="AO275" t="s">
        <v>192</v>
      </c>
      <c r="AP275" t="s">
        <v>193</v>
      </c>
      <c r="AQ275" t="s">
        <v>74</v>
      </c>
      <c r="AR275" t="s">
        <v>194</v>
      </c>
      <c r="AS275" t="s">
        <v>195</v>
      </c>
      <c r="AT275" t="s">
        <v>5362</v>
      </c>
      <c r="AU275">
        <v>2014</v>
      </c>
      <c r="AV275">
        <v>26</v>
      </c>
      <c r="AW275">
        <v>1</v>
      </c>
      <c r="AX275" t="s">
        <v>74</v>
      </c>
      <c r="AY275" t="s">
        <v>74</v>
      </c>
      <c r="AZ275" t="s">
        <v>74</v>
      </c>
      <c r="BA275" t="s">
        <v>74</v>
      </c>
      <c r="BB275">
        <v>69</v>
      </c>
      <c r="BC275">
        <v>79</v>
      </c>
      <c r="BD275" t="s">
        <v>74</v>
      </c>
      <c r="BE275" t="s">
        <v>5666</v>
      </c>
      <c r="BF275" t="str">
        <f>HYPERLINK("http://dx.doi.org/10.1017/S0954102013000278","http://dx.doi.org/10.1017/S0954102013000278")</f>
        <v>http://dx.doi.org/10.1017/S0954102013000278</v>
      </c>
      <c r="BG275" t="s">
        <v>74</v>
      </c>
      <c r="BH275" t="s">
        <v>74</v>
      </c>
      <c r="BI275">
        <v>11</v>
      </c>
      <c r="BJ275" t="s">
        <v>197</v>
      </c>
      <c r="BK275" t="s">
        <v>101</v>
      </c>
      <c r="BL275" t="s">
        <v>198</v>
      </c>
      <c r="BM275" t="s">
        <v>5588</v>
      </c>
      <c r="BN275" t="s">
        <v>74</v>
      </c>
      <c r="BO275" t="s">
        <v>74</v>
      </c>
      <c r="BP275" t="s">
        <v>74</v>
      </c>
      <c r="BQ275" t="s">
        <v>74</v>
      </c>
      <c r="BR275" t="s">
        <v>104</v>
      </c>
      <c r="BS275" t="s">
        <v>5667</v>
      </c>
      <c r="BT275" t="str">
        <f>HYPERLINK("https%3A%2F%2Fwww.webofscience.com%2Fwos%2Fwoscc%2Ffull-record%2FWOS:000332374600008","View Full Record in Web of Science")</f>
        <v>View Full Record in Web of Science</v>
      </c>
    </row>
    <row r="276" spans="1:72" x14ac:dyDescent="0.15">
      <c r="A276" t="s">
        <v>72</v>
      </c>
      <c r="B276" t="s">
        <v>5668</v>
      </c>
      <c r="C276" t="s">
        <v>74</v>
      </c>
      <c r="D276" t="s">
        <v>74</v>
      </c>
      <c r="E276" t="s">
        <v>74</v>
      </c>
      <c r="F276" t="s">
        <v>5669</v>
      </c>
      <c r="G276" t="s">
        <v>74</v>
      </c>
      <c r="H276" t="s">
        <v>74</v>
      </c>
      <c r="I276" t="s">
        <v>5670</v>
      </c>
      <c r="J276" t="s">
        <v>188</v>
      </c>
      <c r="K276" t="s">
        <v>74</v>
      </c>
      <c r="L276" t="s">
        <v>74</v>
      </c>
      <c r="M276" t="s">
        <v>78</v>
      </c>
      <c r="N276" t="s">
        <v>79</v>
      </c>
      <c r="O276" t="s">
        <v>74</v>
      </c>
      <c r="P276" t="s">
        <v>74</v>
      </c>
      <c r="Q276" t="s">
        <v>74</v>
      </c>
      <c r="R276" t="s">
        <v>74</v>
      </c>
      <c r="S276" t="s">
        <v>74</v>
      </c>
      <c r="T276" t="s">
        <v>5671</v>
      </c>
      <c r="U276" t="s">
        <v>5672</v>
      </c>
      <c r="V276" t="s">
        <v>5673</v>
      </c>
      <c r="W276" t="s">
        <v>5674</v>
      </c>
      <c r="X276" t="s">
        <v>5675</v>
      </c>
      <c r="Y276" t="s">
        <v>5676</v>
      </c>
      <c r="Z276" t="s">
        <v>5677</v>
      </c>
      <c r="AA276" t="s">
        <v>74</v>
      </c>
      <c r="AB276" t="s">
        <v>5678</v>
      </c>
      <c r="AC276" t="s">
        <v>74</v>
      </c>
      <c r="AD276" t="s">
        <v>74</v>
      </c>
      <c r="AE276" t="s">
        <v>74</v>
      </c>
      <c r="AF276" t="s">
        <v>74</v>
      </c>
      <c r="AG276">
        <v>29</v>
      </c>
      <c r="AH276">
        <v>5</v>
      </c>
      <c r="AI276">
        <v>5</v>
      </c>
      <c r="AJ276">
        <v>0</v>
      </c>
      <c r="AK276">
        <v>25</v>
      </c>
      <c r="AL276" t="s">
        <v>91</v>
      </c>
      <c r="AM276" t="s">
        <v>92</v>
      </c>
      <c r="AN276" t="s">
        <v>93</v>
      </c>
      <c r="AO276" t="s">
        <v>192</v>
      </c>
      <c r="AP276" t="s">
        <v>193</v>
      </c>
      <c r="AQ276" t="s">
        <v>74</v>
      </c>
      <c r="AR276" t="s">
        <v>194</v>
      </c>
      <c r="AS276" t="s">
        <v>195</v>
      </c>
      <c r="AT276" t="s">
        <v>5362</v>
      </c>
      <c r="AU276">
        <v>2014</v>
      </c>
      <c r="AV276">
        <v>26</v>
      </c>
      <c r="AW276">
        <v>1</v>
      </c>
      <c r="AX276" t="s">
        <v>74</v>
      </c>
      <c r="AY276" t="s">
        <v>74</v>
      </c>
      <c r="AZ276" t="s">
        <v>74</v>
      </c>
      <c r="BA276" t="s">
        <v>74</v>
      </c>
      <c r="BB276">
        <v>80</v>
      </c>
      <c r="BC276">
        <v>92</v>
      </c>
      <c r="BD276" t="s">
        <v>74</v>
      </c>
      <c r="BE276" t="s">
        <v>5679</v>
      </c>
      <c r="BF276" t="str">
        <f>HYPERLINK("http://dx.doi.org/10.1017/S095410201300031X","http://dx.doi.org/10.1017/S095410201300031X")</f>
        <v>http://dx.doi.org/10.1017/S095410201300031X</v>
      </c>
      <c r="BG276" t="s">
        <v>74</v>
      </c>
      <c r="BH276" t="s">
        <v>74</v>
      </c>
      <c r="BI276">
        <v>13</v>
      </c>
      <c r="BJ276" t="s">
        <v>197</v>
      </c>
      <c r="BK276" t="s">
        <v>101</v>
      </c>
      <c r="BL276" t="s">
        <v>198</v>
      </c>
      <c r="BM276" t="s">
        <v>5588</v>
      </c>
      <c r="BN276" t="s">
        <v>74</v>
      </c>
      <c r="BO276" t="s">
        <v>74</v>
      </c>
      <c r="BP276" t="s">
        <v>74</v>
      </c>
      <c r="BQ276" t="s">
        <v>74</v>
      </c>
      <c r="BR276" t="s">
        <v>104</v>
      </c>
      <c r="BS276" t="s">
        <v>5680</v>
      </c>
      <c r="BT276" t="str">
        <f>HYPERLINK("https%3A%2F%2Fwww.webofscience.com%2Fwos%2Fwoscc%2Ffull-record%2FWOS:000332374600009","View Full Record in Web of Science")</f>
        <v>View Full Record in Web of Science</v>
      </c>
    </row>
    <row r="277" spans="1:72" x14ac:dyDescent="0.15">
      <c r="A277" t="s">
        <v>72</v>
      </c>
      <c r="B277" t="s">
        <v>5681</v>
      </c>
      <c r="C277" t="s">
        <v>74</v>
      </c>
      <c r="D277" t="s">
        <v>74</v>
      </c>
      <c r="E277" t="s">
        <v>74</v>
      </c>
      <c r="F277" t="s">
        <v>5682</v>
      </c>
      <c r="G277" t="s">
        <v>74</v>
      </c>
      <c r="H277" t="s">
        <v>74</v>
      </c>
      <c r="I277" t="s">
        <v>5683</v>
      </c>
      <c r="J277" t="s">
        <v>188</v>
      </c>
      <c r="K277" t="s">
        <v>74</v>
      </c>
      <c r="L277" t="s">
        <v>74</v>
      </c>
      <c r="M277" t="s">
        <v>78</v>
      </c>
      <c r="N277" t="s">
        <v>79</v>
      </c>
      <c r="O277" t="s">
        <v>74</v>
      </c>
      <c r="P277" t="s">
        <v>74</v>
      </c>
      <c r="Q277" t="s">
        <v>74</v>
      </c>
      <c r="R277" t="s">
        <v>74</v>
      </c>
      <c r="S277" t="s">
        <v>74</v>
      </c>
      <c r="T277" t="s">
        <v>5684</v>
      </c>
      <c r="U277" t="s">
        <v>5685</v>
      </c>
      <c r="V277" t="s">
        <v>5686</v>
      </c>
      <c r="W277" t="s">
        <v>5687</v>
      </c>
      <c r="X277" t="s">
        <v>5688</v>
      </c>
      <c r="Y277" t="s">
        <v>5689</v>
      </c>
      <c r="Z277" t="s">
        <v>5690</v>
      </c>
      <c r="AA277" t="s">
        <v>5691</v>
      </c>
      <c r="AB277" t="s">
        <v>5692</v>
      </c>
      <c r="AC277" t="s">
        <v>5693</v>
      </c>
      <c r="AD277" t="s">
        <v>5694</v>
      </c>
      <c r="AE277" t="s">
        <v>5695</v>
      </c>
      <c r="AF277" t="s">
        <v>74</v>
      </c>
      <c r="AG277">
        <v>30</v>
      </c>
      <c r="AH277">
        <v>5</v>
      </c>
      <c r="AI277">
        <v>5</v>
      </c>
      <c r="AJ277">
        <v>0</v>
      </c>
      <c r="AK277">
        <v>19</v>
      </c>
      <c r="AL277" t="s">
        <v>91</v>
      </c>
      <c r="AM277" t="s">
        <v>92</v>
      </c>
      <c r="AN277" t="s">
        <v>93</v>
      </c>
      <c r="AO277" t="s">
        <v>192</v>
      </c>
      <c r="AP277" t="s">
        <v>193</v>
      </c>
      <c r="AQ277" t="s">
        <v>74</v>
      </c>
      <c r="AR277" t="s">
        <v>194</v>
      </c>
      <c r="AS277" t="s">
        <v>195</v>
      </c>
      <c r="AT277" t="s">
        <v>5362</v>
      </c>
      <c r="AU277">
        <v>2014</v>
      </c>
      <c r="AV277">
        <v>26</v>
      </c>
      <c r="AW277">
        <v>1</v>
      </c>
      <c r="AX277" t="s">
        <v>74</v>
      </c>
      <c r="AY277" t="s">
        <v>74</v>
      </c>
      <c r="AZ277" t="s">
        <v>74</v>
      </c>
      <c r="BA277" t="s">
        <v>74</v>
      </c>
      <c r="BB277">
        <v>93</v>
      </c>
      <c r="BC277">
        <v>103</v>
      </c>
      <c r="BD277" t="s">
        <v>74</v>
      </c>
      <c r="BE277" t="s">
        <v>5696</v>
      </c>
      <c r="BF277" t="str">
        <f>HYPERLINK("http://dx.doi.org/10.1017/S095410201300028X","http://dx.doi.org/10.1017/S095410201300028X")</f>
        <v>http://dx.doi.org/10.1017/S095410201300028X</v>
      </c>
      <c r="BG277" t="s">
        <v>74</v>
      </c>
      <c r="BH277" t="s">
        <v>74</v>
      </c>
      <c r="BI277">
        <v>11</v>
      </c>
      <c r="BJ277" t="s">
        <v>197</v>
      </c>
      <c r="BK277" t="s">
        <v>101</v>
      </c>
      <c r="BL277" t="s">
        <v>198</v>
      </c>
      <c r="BM277" t="s">
        <v>5588</v>
      </c>
      <c r="BN277" t="s">
        <v>74</v>
      </c>
      <c r="BO277" t="s">
        <v>74</v>
      </c>
      <c r="BP277" t="s">
        <v>74</v>
      </c>
      <c r="BQ277" t="s">
        <v>74</v>
      </c>
      <c r="BR277" t="s">
        <v>104</v>
      </c>
      <c r="BS277" t="s">
        <v>5697</v>
      </c>
      <c r="BT277" t="str">
        <f>HYPERLINK("https%3A%2F%2Fwww.webofscience.com%2Fwos%2Fwoscc%2Ffull-record%2FWOS:000332374600010","View Full Record in Web of Science")</f>
        <v>View Full Record in Web of Science</v>
      </c>
    </row>
    <row r="278" spans="1:72" x14ac:dyDescent="0.15">
      <c r="A278" t="s">
        <v>72</v>
      </c>
      <c r="B278" t="s">
        <v>5698</v>
      </c>
      <c r="C278" t="s">
        <v>74</v>
      </c>
      <c r="D278" t="s">
        <v>74</v>
      </c>
      <c r="E278" t="s">
        <v>74</v>
      </c>
      <c r="F278" t="s">
        <v>5699</v>
      </c>
      <c r="G278" t="s">
        <v>74</v>
      </c>
      <c r="H278" t="s">
        <v>74</v>
      </c>
      <c r="I278" t="s">
        <v>5700</v>
      </c>
      <c r="J278" t="s">
        <v>188</v>
      </c>
      <c r="K278" t="s">
        <v>74</v>
      </c>
      <c r="L278" t="s">
        <v>74</v>
      </c>
      <c r="M278" t="s">
        <v>78</v>
      </c>
      <c r="N278" t="s">
        <v>79</v>
      </c>
      <c r="O278" t="s">
        <v>74</v>
      </c>
      <c r="P278" t="s">
        <v>74</v>
      </c>
      <c r="Q278" t="s">
        <v>74</v>
      </c>
      <c r="R278" t="s">
        <v>74</v>
      </c>
      <c r="S278" t="s">
        <v>74</v>
      </c>
      <c r="T278" t="s">
        <v>5701</v>
      </c>
      <c r="U278" t="s">
        <v>5702</v>
      </c>
      <c r="V278" t="s">
        <v>5703</v>
      </c>
      <c r="W278" t="s">
        <v>5704</v>
      </c>
      <c r="X278" t="s">
        <v>5014</v>
      </c>
      <c r="Y278" t="s">
        <v>5705</v>
      </c>
      <c r="Z278" t="s">
        <v>5706</v>
      </c>
      <c r="AA278" t="s">
        <v>5707</v>
      </c>
      <c r="AB278" t="s">
        <v>5708</v>
      </c>
      <c r="AC278" t="s">
        <v>5709</v>
      </c>
      <c r="AD278" t="s">
        <v>5709</v>
      </c>
      <c r="AE278" t="s">
        <v>5710</v>
      </c>
      <c r="AF278" t="s">
        <v>74</v>
      </c>
      <c r="AG278">
        <v>40</v>
      </c>
      <c r="AH278">
        <v>15</v>
      </c>
      <c r="AI278">
        <v>15</v>
      </c>
      <c r="AJ278">
        <v>0</v>
      </c>
      <c r="AK278">
        <v>7</v>
      </c>
      <c r="AL278" t="s">
        <v>91</v>
      </c>
      <c r="AM278" t="s">
        <v>92</v>
      </c>
      <c r="AN278" t="s">
        <v>93</v>
      </c>
      <c r="AO278" t="s">
        <v>192</v>
      </c>
      <c r="AP278" t="s">
        <v>193</v>
      </c>
      <c r="AQ278" t="s">
        <v>74</v>
      </c>
      <c r="AR278" t="s">
        <v>194</v>
      </c>
      <c r="AS278" t="s">
        <v>195</v>
      </c>
      <c r="AT278" t="s">
        <v>5362</v>
      </c>
      <c r="AU278">
        <v>2014</v>
      </c>
      <c r="AV278">
        <v>26</v>
      </c>
      <c r="AW278">
        <v>1</v>
      </c>
      <c r="AX278" t="s">
        <v>74</v>
      </c>
      <c r="AY278" t="s">
        <v>74</v>
      </c>
      <c r="AZ278" t="s">
        <v>74</v>
      </c>
      <c r="BA278" t="s">
        <v>74</v>
      </c>
      <c r="BB278">
        <v>104</v>
      </c>
      <c r="BC278">
        <v>112</v>
      </c>
      <c r="BD278" t="s">
        <v>74</v>
      </c>
      <c r="BE278" t="s">
        <v>5711</v>
      </c>
      <c r="BF278" t="str">
        <f>HYPERLINK("http://dx.doi.org/10.1017/S0954102013000382","http://dx.doi.org/10.1017/S0954102013000382")</f>
        <v>http://dx.doi.org/10.1017/S0954102013000382</v>
      </c>
      <c r="BG278" t="s">
        <v>74</v>
      </c>
      <c r="BH278" t="s">
        <v>74</v>
      </c>
      <c r="BI278">
        <v>9</v>
      </c>
      <c r="BJ278" t="s">
        <v>197</v>
      </c>
      <c r="BK278" t="s">
        <v>101</v>
      </c>
      <c r="BL278" t="s">
        <v>198</v>
      </c>
      <c r="BM278" t="s">
        <v>5588</v>
      </c>
      <c r="BN278" t="s">
        <v>74</v>
      </c>
      <c r="BO278" t="s">
        <v>1244</v>
      </c>
      <c r="BP278" t="s">
        <v>74</v>
      </c>
      <c r="BQ278" t="s">
        <v>74</v>
      </c>
      <c r="BR278" t="s">
        <v>104</v>
      </c>
      <c r="BS278" t="s">
        <v>5712</v>
      </c>
      <c r="BT278" t="str">
        <f>HYPERLINK("https%3A%2F%2Fwww.webofscience.com%2Fwos%2Fwoscc%2Ffull-record%2FWOS:000332374600011","View Full Record in Web of Science")</f>
        <v>View Full Record in Web of Science</v>
      </c>
    </row>
    <row r="279" spans="1:72" x14ac:dyDescent="0.15">
      <c r="A279" t="s">
        <v>72</v>
      </c>
      <c r="B279" t="s">
        <v>5713</v>
      </c>
      <c r="C279" t="s">
        <v>74</v>
      </c>
      <c r="D279" t="s">
        <v>74</v>
      </c>
      <c r="E279" t="s">
        <v>74</v>
      </c>
      <c r="F279" t="s">
        <v>5714</v>
      </c>
      <c r="G279" t="s">
        <v>74</v>
      </c>
      <c r="H279" t="s">
        <v>74</v>
      </c>
      <c r="I279" t="s">
        <v>5715</v>
      </c>
      <c r="J279" t="s">
        <v>5716</v>
      </c>
      <c r="K279" t="s">
        <v>74</v>
      </c>
      <c r="L279" t="s">
        <v>74</v>
      </c>
      <c r="M279" t="s">
        <v>78</v>
      </c>
      <c r="N279" t="s">
        <v>5717</v>
      </c>
      <c r="O279" t="s">
        <v>74</v>
      </c>
      <c r="P279" t="s">
        <v>74</v>
      </c>
      <c r="Q279" t="s">
        <v>74</v>
      </c>
      <c r="R279" t="s">
        <v>74</v>
      </c>
      <c r="S279" t="s">
        <v>74</v>
      </c>
      <c r="T279" t="s">
        <v>74</v>
      </c>
      <c r="U279" t="s">
        <v>74</v>
      </c>
      <c r="V279" t="s">
        <v>74</v>
      </c>
      <c r="W279" t="s">
        <v>5718</v>
      </c>
      <c r="X279" t="s">
        <v>5719</v>
      </c>
      <c r="Y279" t="s">
        <v>5720</v>
      </c>
      <c r="Z279" t="s">
        <v>74</v>
      </c>
      <c r="AA279" t="s">
        <v>74</v>
      </c>
      <c r="AB279" t="s">
        <v>74</v>
      </c>
      <c r="AC279" t="s">
        <v>74</v>
      </c>
      <c r="AD279" t="s">
        <v>74</v>
      </c>
      <c r="AE279" t="s">
        <v>74</v>
      </c>
      <c r="AF279" t="s">
        <v>74</v>
      </c>
      <c r="AG279">
        <v>1</v>
      </c>
      <c r="AH279">
        <v>0</v>
      </c>
      <c r="AI279">
        <v>0</v>
      </c>
      <c r="AJ279">
        <v>0</v>
      </c>
      <c r="AK279">
        <v>0</v>
      </c>
      <c r="AL279" t="s">
        <v>5721</v>
      </c>
      <c r="AM279" t="s">
        <v>593</v>
      </c>
      <c r="AN279" t="s">
        <v>5722</v>
      </c>
      <c r="AO279" t="s">
        <v>5723</v>
      </c>
      <c r="AP279" t="s">
        <v>5724</v>
      </c>
      <c r="AQ279" t="s">
        <v>74</v>
      </c>
      <c r="AR279" t="s">
        <v>5725</v>
      </c>
      <c r="AS279" t="s">
        <v>5726</v>
      </c>
      <c r="AT279" t="s">
        <v>5362</v>
      </c>
      <c r="AU279">
        <v>2014</v>
      </c>
      <c r="AV279">
        <v>46</v>
      </c>
      <c r="AW279">
        <v>1</v>
      </c>
      <c r="AX279" t="s">
        <v>74</v>
      </c>
      <c r="AY279" t="s">
        <v>74</v>
      </c>
      <c r="AZ279" t="s">
        <v>660</v>
      </c>
      <c r="BA279" t="s">
        <v>74</v>
      </c>
      <c r="BB279">
        <v>1</v>
      </c>
      <c r="BC279">
        <v>1</v>
      </c>
      <c r="BD279" t="s">
        <v>74</v>
      </c>
      <c r="BE279" t="s">
        <v>5727</v>
      </c>
      <c r="BF279" t="str">
        <f>HYPERLINK("http://dx.doi.org/10.1657/1938-4246-46.1.1","http://dx.doi.org/10.1657/1938-4246-46.1.1")</f>
        <v>http://dx.doi.org/10.1657/1938-4246-46.1.1</v>
      </c>
      <c r="BG279" t="s">
        <v>74</v>
      </c>
      <c r="BH279" t="s">
        <v>74</v>
      </c>
      <c r="BI279">
        <v>1</v>
      </c>
      <c r="BJ279" t="s">
        <v>5728</v>
      </c>
      <c r="BK279" t="s">
        <v>101</v>
      </c>
      <c r="BL279" t="s">
        <v>5729</v>
      </c>
      <c r="BM279" t="s">
        <v>5730</v>
      </c>
      <c r="BN279" t="s">
        <v>74</v>
      </c>
      <c r="BO279" t="s">
        <v>810</v>
      </c>
      <c r="BP279" t="s">
        <v>74</v>
      </c>
      <c r="BQ279" t="s">
        <v>74</v>
      </c>
      <c r="BR279" t="s">
        <v>104</v>
      </c>
      <c r="BS279" t="s">
        <v>5731</v>
      </c>
      <c r="BT279" t="str">
        <f>HYPERLINK("https%3A%2F%2Fwww.webofscience.com%2Fwos%2Fwoscc%2Ffull-record%2FWOS:000333866100001","View Full Record in Web of Science")</f>
        <v>View Full Record in Web of Science</v>
      </c>
    </row>
    <row r="280" spans="1:72" x14ac:dyDescent="0.15">
      <c r="A280" t="s">
        <v>72</v>
      </c>
      <c r="B280" t="s">
        <v>5732</v>
      </c>
      <c r="C280" t="s">
        <v>74</v>
      </c>
      <c r="D280" t="s">
        <v>74</v>
      </c>
      <c r="E280" t="s">
        <v>74</v>
      </c>
      <c r="F280" t="s">
        <v>5733</v>
      </c>
      <c r="G280" t="s">
        <v>74</v>
      </c>
      <c r="H280" t="s">
        <v>74</v>
      </c>
      <c r="I280" t="s">
        <v>5734</v>
      </c>
      <c r="J280" t="s">
        <v>5716</v>
      </c>
      <c r="K280" t="s">
        <v>74</v>
      </c>
      <c r="L280" t="s">
        <v>74</v>
      </c>
      <c r="M280" t="s">
        <v>78</v>
      </c>
      <c r="N280" t="s">
        <v>79</v>
      </c>
      <c r="O280" t="s">
        <v>74</v>
      </c>
      <c r="P280" t="s">
        <v>74</v>
      </c>
      <c r="Q280" t="s">
        <v>74</v>
      </c>
      <c r="R280" t="s">
        <v>74</v>
      </c>
      <c r="S280" t="s">
        <v>74</v>
      </c>
      <c r="T280" t="s">
        <v>74</v>
      </c>
      <c r="U280" t="s">
        <v>5735</v>
      </c>
      <c r="V280" t="s">
        <v>5736</v>
      </c>
      <c r="W280" t="s">
        <v>5737</v>
      </c>
      <c r="X280" t="s">
        <v>5738</v>
      </c>
      <c r="Y280" t="s">
        <v>5739</v>
      </c>
      <c r="Z280" t="s">
        <v>5740</v>
      </c>
      <c r="AA280" t="s">
        <v>5741</v>
      </c>
      <c r="AB280" t="s">
        <v>5742</v>
      </c>
      <c r="AC280" t="s">
        <v>5743</v>
      </c>
      <c r="AD280" t="s">
        <v>5744</v>
      </c>
      <c r="AE280" t="s">
        <v>5745</v>
      </c>
      <c r="AF280" t="s">
        <v>74</v>
      </c>
      <c r="AG280">
        <v>67</v>
      </c>
      <c r="AH280">
        <v>20</v>
      </c>
      <c r="AI280">
        <v>27</v>
      </c>
      <c r="AJ280">
        <v>0</v>
      </c>
      <c r="AK280">
        <v>42</v>
      </c>
      <c r="AL280" t="s">
        <v>5746</v>
      </c>
      <c r="AM280" t="s">
        <v>5747</v>
      </c>
      <c r="AN280" t="s">
        <v>5748</v>
      </c>
      <c r="AO280" t="s">
        <v>5723</v>
      </c>
      <c r="AP280" t="s">
        <v>5724</v>
      </c>
      <c r="AQ280" t="s">
        <v>74</v>
      </c>
      <c r="AR280" t="s">
        <v>5725</v>
      </c>
      <c r="AS280" t="s">
        <v>5726</v>
      </c>
      <c r="AT280" t="s">
        <v>5362</v>
      </c>
      <c r="AU280">
        <v>2014</v>
      </c>
      <c r="AV280">
        <v>46</v>
      </c>
      <c r="AW280">
        <v>1</v>
      </c>
      <c r="AX280" t="s">
        <v>74</v>
      </c>
      <c r="AY280" t="s">
        <v>74</v>
      </c>
      <c r="AZ280" t="s">
        <v>660</v>
      </c>
      <c r="BA280" t="s">
        <v>74</v>
      </c>
      <c r="BB280">
        <v>6</v>
      </c>
      <c r="BC280">
        <v>18</v>
      </c>
      <c r="BD280" t="s">
        <v>74</v>
      </c>
      <c r="BE280" t="s">
        <v>5749</v>
      </c>
      <c r="BF280" t="str">
        <f>HYPERLINK("http://dx.doi.org/10.1657/1938-4246-46.1.6","http://dx.doi.org/10.1657/1938-4246-46.1.6")</f>
        <v>http://dx.doi.org/10.1657/1938-4246-46.1.6</v>
      </c>
      <c r="BG280" t="s">
        <v>74</v>
      </c>
      <c r="BH280" t="s">
        <v>74</v>
      </c>
      <c r="BI280">
        <v>13</v>
      </c>
      <c r="BJ280" t="s">
        <v>5728</v>
      </c>
      <c r="BK280" t="s">
        <v>101</v>
      </c>
      <c r="BL280" t="s">
        <v>5729</v>
      </c>
      <c r="BM280" t="s">
        <v>5730</v>
      </c>
      <c r="BN280" t="s">
        <v>74</v>
      </c>
      <c r="BO280" t="s">
        <v>810</v>
      </c>
      <c r="BP280" t="s">
        <v>74</v>
      </c>
      <c r="BQ280" t="s">
        <v>74</v>
      </c>
      <c r="BR280" t="s">
        <v>104</v>
      </c>
      <c r="BS280" t="s">
        <v>5750</v>
      </c>
      <c r="BT280" t="str">
        <f>HYPERLINK("https%3A%2F%2Fwww.webofscience.com%2Fwos%2Fwoscc%2Ffull-record%2FWOS:000333866100003","View Full Record in Web of Science")</f>
        <v>View Full Record in Web of Science</v>
      </c>
    </row>
    <row r="281" spans="1:72" x14ac:dyDescent="0.15">
      <c r="A281" t="s">
        <v>72</v>
      </c>
      <c r="B281" t="s">
        <v>5751</v>
      </c>
      <c r="C281" t="s">
        <v>74</v>
      </c>
      <c r="D281" t="s">
        <v>74</v>
      </c>
      <c r="E281" t="s">
        <v>74</v>
      </c>
      <c r="F281" t="s">
        <v>5752</v>
      </c>
      <c r="G281" t="s">
        <v>74</v>
      </c>
      <c r="H281" t="s">
        <v>74</v>
      </c>
      <c r="I281" t="s">
        <v>5753</v>
      </c>
      <c r="J281" t="s">
        <v>5716</v>
      </c>
      <c r="K281" t="s">
        <v>74</v>
      </c>
      <c r="L281" t="s">
        <v>74</v>
      </c>
      <c r="M281" t="s">
        <v>78</v>
      </c>
      <c r="N281" t="s">
        <v>79</v>
      </c>
      <c r="O281" t="s">
        <v>74</v>
      </c>
      <c r="P281" t="s">
        <v>74</v>
      </c>
      <c r="Q281" t="s">
        <v>74</v>
      </c>
      <c r="R281" t="s">
        <v>74</v>
      </c>
      <c r="S281" t="s">
        <v>74</v>
      </c>
      <c r="T281" t="s">
        <v>74</v>
      </c>
      <c r="U281" t="s">
        <v>5754</v>
      </c>
      <c r="V281" t="s">
        <v>5755</v>
      </c>
      <c r="W281" t="s">
        <v>5756</v>
      </c>
      <c r="X281" t="s">
        <v>5757</v>
      </c>
      <c r="Y281" t="s">
        <v>5758</v>
      </c>
      <c r="Z281" t="s">
        <v>5759</v>
      </c>
      <c r="AA281" t="s">
        <v>74</v>
      </c>
      <c r="AB281" t="s">
        <v>74</v>
      </c>
      <c r="AC281" t="s">
        <v>5760</v>
      </c>
      <c r="AD281" t="s">
        <v>5761</v>
      </c>
      <c r="AE281" t="s">
        <v>5762</v>
      </c>
      <c r="AF281" t="s">
        <v>74</v>
      </c>
      <c r="AG281">
        <v>71</v>
      </c>
      <c r="AH281">
        <v>20</v>
      </c>
      <c r="AI281">
        <v>23</v>
      </c>
      <c r="AJ281">
        <v>1</v>
      </c>
      <c r="AK281">
        <v>19</v>
      </c>
      <c r="AL281" t="s">
        <v>5721</v>
      </c>
      <c r="AM281" t="s">
        <v>593</v>
      </c>
      <c r="AN281" t="s">
        <v>5722</v>
      </c>
      <c r="AO281" t="s">
        <v>5723</v>
      </c>
      <c r="AP281" t="s">
        <v>5724</v>
      </c>
      <c r="AQ281" t="s">
        <v>74</v>
      </c>
      <c r="AR281" t="s">
        <v>5725</v>
      </c>
      <c r="AS281" t="s">
        <v>5726</v>
      </c>
      <c r="AT281" t="s">
        <v>5362</v>
      </c>
      <c r="AU281">
        <v>2014</v>
      </c>
      <c r="AV281">
        <v>46</v>
      </c>
      <c r="AW281">
        <v>1</v>
      </c>
      <c r="AX281" t="s">
        <v>74</v>
      </c>
      <c r="AY281" t="s">
        <v>74</v>
      </c>
      <c r="AZ281" t="s">
        <v>660</v>
      </c>
      <c r="BA281" t="s">
        <v>74</v>
      </c>
      <c r="BB281">
        <v>40</v>
      </c>
      <c r="BC281">
        <v>54</v>
      </c>
      <c r="BD281" t="s">
        <v>74</v>
      </c>
      <c r="BE281" t="s">
        <v>5763</v>
      </c>
      <c r="BF281" t="str">
        <f>HYPERLINK("http://dx.doi.org/10.1657/1938-4246-46.1.40","http://dx.doi.org/10.1657/1938-4246-46.1.40")</f>
        <v>http://dx.doi.org/10.1657/1938-4246-46.1.40</v>
      </c>
      <c r="BG281" t="s">
        <v>74</v>
      </c>
      <c r="BH281" t="s">
        <v>74</v>
      </c>
      <c r="BI281">
        <v>15</v>
      </c>
      <c r="BJ281" t="s">
        <v>5728</v>
      </c>
      <c r="BK281" t="s">
        <v>101</v>
      </c>
      <c r="BL281" t="s">
        <v>5729</v>
      </c>
      <c r="BM281" t="s">
        <v>5730</v>
      </c>
      <c r="BN281" t="s">
        <v>74</v>
      </c>
      <c r="BO281" t="s">
        <v>1607</v>
      </c>
      <c r="BP281" t="s">
        <v>74</v>
      </c>
      <c r="BQ281" t="s">
        <v>74</v>
      </c>
      <c r="BR281" t="s">
        <v>104</v>
      </c>
      <c r="BS281" t="s">
        <v>5764</v>
      </c>
      <c r="BT281" t="str">
        <f>HYPERLINK("https%3A%2F%2Fwww.webofscience.com%2Fwos%2Fwoscc%2Ffull-record%2FWOS:000333866100005","View Full Record in Web of Science")</f>
        <v>View Full Record in Web of Science</v>
      </c>
    </row>
    <row r="282" spans="1:72" x14ac:dyDescent="0.15">
      <c r="A282" t="s">
        <v>72</v>
      </c>
      <c r="B282" t="s">
        <v>5765</v>
      </c>
      <c r="C282" t="s">
        <v>74</v>
      </c>
      <c r="D282" t="s">
        <v>74</v>
      </c>
      <c r="E282" t="s">
        <v>74</v>
      </c>
      <c r="F282" t="s">
        <v>5766</v>
      </c>
      <c r="G282" t="s">
        <v>74</v>
      </c>
      <c r="H282" t="s">
        <v>74</v>
      </c>
      <c r="I282" t="s">
        <v>5767</v>
      </c>
      <c r="J282" t="s">
        <v>5716</v>
      </c>
      <c r="K282" t="s">
        <v>74</v>
      </c>
      <c r="L282" t="s">
        <v>74</v>
      </c>
      <c r="M282" t="s">
        <v>78</v>
      </c>
      <c r="N282" t="s">
        <v>79</v>
      </c>
      <c r="O282" t="s">
        <v>74</v>
      </c>
      <c r="P282" t="s">
        <v>74</v>
      </c>
      <c r="Q282" t="s">
        <v>74</v>
      </c>
      <c r="R282" t="s">
        <v>74</v>
      </c>
      <c r="S282" t="s">
        <v>74</v>
      </c>
      <c r="T282" t="s">
        <v>74</v>
      </c>
      <c r="U282" t="s">
        <v>5768</v>
      </c>
      <c r="V282" t="s">
        <v>5769</v>
      </c>
      <c r="W282" t="s">
        <v>5770</v>
      </c>
      <c r="X282" t="s">
        <v>5757</v>
      </c>
      <c r="Y282" t="s">
        <v>5771</v>
      </c>
      <c r="Z282" t="s">
        <v>5772</v>
      </c>
      <c r="AA282" t="s">
        <v>74</v>
      </c>
      <c r="AB282" t="s">
        <v>74</v>
      </c>
      <c r="AC282" t="s">
        <v>5773</v>
      </c>
      <c r="AD282" t="s">
        <v>5774</v>
      </c>
      <c r="AE282" t="s">
        <v>5775</v>
      </c>
      <c r="AF282" t="s">
        <v>74</v>
      </c>
      <c r="AG282">
        <v>36</v>
      </c>
      <c r="AH282">
        <v>3</v>
      </c>
      <c r="AI282">
        <v>3</v>
      </c>
      <c r="AJ282">
        <v>1</v>
      </c>
      <c r="AK282">
        <v>9</v>
      </c>
      <c r="AL282" t="s">
        <v>5746</v>
      </c>
      <c r="AM282" t="s">
        <v>5747</v>
      </c>
      <c r="AN282" t="s">
        <v>5748</v>
      </c>
      <c r="AO282" t="s">
        <v>5723</v>
      </c>
      <c r="AP282" t="s">
        <v>5724</v>
      </c>
      <c r="AQ282" t="s">
        <v>74</v>
      </c>
      <c r="AR282" t="s">
        <v>5725</v>
      </c>
      <c r="AS282" t="s">
        <v>5726</v>
      </c>
      <c r="AT282" t="s">
        <v>5362</v>
      </c>
      <c r="AU282">
        <v>2014</v>
      </c>
      <c r="AV282">
        <v>46</v>
      </c>
      <c r="AW282">
        <v>1</v>
      </c>
      <c r="AX282" t="s">
        <v>74</v>
      </c>
      <c r="AY282" t="s">
        <v>74</v>
      </c>
      <c r="AZ282" t="s">
        <v>660</v>
      </c>
      <c r="BA282" t="s">
        <v>74</v>
      </c>
      <c r="BB282">
        <v>55</v>
      </c>
      <c r="BC282">
        <v>65</v>
      </c>
      <c r="BD282" t="s">
        <v>74</v>
      </c>
      <c r="BE282" t="s">
        <v>5776</v>
      </c>
      <c r="BF282" t="str">
        <f>HYPERLINK("http://dx.doi.org/10.1657/1938-4246.46.1.55","http://dx.doi.org/10.1657/1938-4246.46.1.55")</f>
        <v>http://dx.doi.org/10.1657/1938-4246.46.1.55</v>
      </c>
      <c r="BG282" t="s">
        <v>74</v>
      </c>
      <c r="BH282" t="s">
        <v>74</v>
      </c>
      <c r="BI282">
        <v>11</v>
      </c>
      <c r="BJ282" t="s">
        <v>5728</v>
      </c>
      <c r="BK282" t="s">
        <v>101</v>
      </c>
      <c r="BL282" t="s">
        <v>5729</v>
      </c>
      <c r="BM282" t="s">
        <v>5730</v>
      </c>
      <c r="BN282" t="s">
        <v>74</v>
      </c>
      <c r="BO282" t="s">
        <v>1607</v>
      </c>
      <c r="BP282" t="s">
        <v>74</v>
      </c>
      <c r="BQ282" t="s">
        <v>74</v>
      </c>
      <c r="BR282" t="s">
        <v>104</v>
      </c>
      <c r="BS282" t="s">
        <v>5777</v>
      </c>
      <c r="BT282" t="str">
        <f>HYPERLINK("https%3A%2F%2Fwww.webofscience.com%2Fwos%2Fwoscc%2Ffull-record%2FWOS:000333866100006","View Full Record in Web of Science")</f>
        <v>View Full Record in Web of Science</v>
      </c>
    </row>
    <row r="283" spans="1:72" x14ac:dyDescent="0.15">
      <c r="A283" t="s">
        <v>72</v>
      </c>
      <c r="B283" t="s">
        <v>5778</v>
      </c>
      <c r="C283" t="s">
        <v>74</v>
      </c>
      <c r="D283" t="s">
        <v>74</v>
      </c>
      <c r="E283" t="s">
        <v>74</v>
      </c>
      <c r="F283" t="s">
        <v>5779</v>
      </c>
      <c r="G283" t="s">
        <v>74</v>
      </c>
      <c r="H283" t="s">
        <v>74</v>
      </c>
      <c r="I283" t="s">
        <v>5780</v>
      </c>
      <c r="J283" t="s">
        <v>5716</v>
      </c>
      <c r="K283" t="s">
        <v>74</v>
      </c>
      <c r="L283" t="s">
        <v>74</v>
      </c>
      <c r="M283" t="s">
        <v>78</v>
      </c>
      <c r="N283" t="s">
        <v>79</v>
      </c>
      <c r="O283" t="s">
        <v>74</v>
      </c>
      <c r="P283" t="s">
        <v>74</v>
      </c>
      <c r="Q283" t="s">
        <v>74</v>
      </c>
      <c r="R283" t="s">
        <v>74</v>
      </c>
      <c r="S283" t="s">
        <v>74</v>
      </c>
      <c r="T283" t="s">
        <v>74</v>
      </c>
      <c r="U283" t="s">
        <v>5781</v>
      </c>
      <c r="V283" t="s">
        <v>5782</v>
      </c>
      <c r="W283" t="s">
        <v>5783</v>
      </c>
      <c r="X283" t="s">
        <v>5784</v>
      </c>
      <c r="Y283" t="s">
        <v>5785</v>
      </c>
      <c r="Z283" t="s">
        <v>5786</v>
      </c>
      <c r="AA283" t="s">
        <v>74</v>
      </c>
      <c r="AB283" t="s">
        <v>74</v>
      </c>
      <c r="AC283" t="s">
        <v>5787</v>
      </c>
      <c r="AD283" t="s">
        <v>5788</v>
      </c>
      <c r="AE283" t="s">
        <v>5789</v>
      </c>
      <c r="AF283" t="s">
        <v>74</v>
      </c>
      <c r="AG283">
        <v>170</v>
      </c>
      <c r="AH283">
        <v>35</v>
      </c>
      <c r="AI283">
        <v>42</v>
      </c>
      <c r="AJ283">
        <v>1</v>
      </c>
      <c r="AK283">
        <v>82</v>
      </c>
      <c r="AL283" t="s">
        <v>5746</v>
      </c>
      <c r="AM283" t="s">
        <v>5747</v>
      </c>
      <c r="AN283" t="s">
        <v>5748</v>
      </c>
      <c r="AO283" t="s">
        <v>5723</v>
      </c>
      <c r="AP283" t="s">
        <v>5724</v>
      </c>
      <c r="AQ283" t="s">
        <v>74</v>
      </c>
      <c r="AR283" t="s">
        <v>5725</v>
      </c>
      <c r="AS283" t="s">
        <v>5726</v>
      </c>
      <c r="AT283" t="s">
        <v>5362</v>
      </c>
      <c r="AU283">
        <v>2014</v>
      </c>
      <c r="AV283">
        <v>46</v>
      </c>
      <c r="AW283">
        <v>1</v>
      </c>
      <c r="AX283" t="s">
        <v>74</v>
      </c>
      <c r="AY283" t="s">
        <v>74</v>
      </c>
      <c r="AZ283" t="s">
        <v>660</v>
      </c>
      <c r="BA283" t="s">
        <v>74</v>
      </c>
      <c r="BB283">
        <v>84</v>
      </c>
      <c r="BC283">
        <v>102</v>
      </c>
      <c r="BD283" t="s">
        <v>74</v>
      </c>
      <c r="BE283" t="s">
        <v>5790</v>
      </c>
      <c r="BF283" t="str">
        <f>HYPERLINK("http://dx.doi.org/10.1657/1938-4246-46.1.84","http://dx.doi.org/10.1657/1938-4246-46.1.84")</f>
        <v>http://dx.doi.org/10.1657/1938-4246-46.1.84</v>
      </c>
      <c r="BG283" t="s">
        <v>74</v>
      </c>
      <c r="BH283" t="s">
        <v>74</v>
      </c>
      <c r="BI283">
        <v>19</v>
      </c>
      <c r="BJ283" t="s">
        <v>5728</v>
      </c>
      <c r="BK283" t="s">
        <v>101</v>
      </c>
      <c r="BL283" t="s">
        <v>5729</v>
      </c>
      <c r="BM283" t="s">
        <v>5730</v>
      </c>
      <c r="BN283" t="s">
        <v>74</v>
      </c>
      <c r="BO283" t="s">
        <v>270</v>
      </c>
      <c r="BP283" t="s">
        <v>74</v>
      </c>
      <c r="BQ283" t="s">
        <v>74</v>
      </c>
      <c r="BR283" t="s">
        <v>104</v>
      </c>
      <c r="BS283" t="s">
        <v>5791</v>
      </c>
      <c r="BT283" t="str">
        <f>HYPERLINK("https%3A%2F%2Fwww.webofscience.com%2Fwos%2Fwoscc%2Ffull-record%2FWOS:000333866100008","View Full Record in Web of Science")</f>
        <v>View Full Record in Web of Science</v>
      </c>
    </row>
    <row r="284" spans="1:72" x14ac:dyDescent="0.15">
      <c r="A284" t="s">
        <v>72</v>
      </c>
      <c r="B284" t="s">
        <v>5792</v>
      </c>
      <c r="C284" t="s">
        <v>74</v>
      </c>
      <c r="D284" t="s">
        <v>74</v>
      </c>
      <c r="E284" t="s">
        <v>74</v>
      </c>
      <c r="F284" t="s">
        <v>5793</v>
      </c>
      <c r="G284" t="s">
        <v>74</v>
      </c>
      <c r="H284" t="s">
        <v>74</v>
      </c>
      <c r="I284" t="s">
        <v>5794</v>
      </c>
      <c r="J284" t="s">
        <v>5716</v>
      </c>
      <c r="K284" t="s">
        <v>74</v>
      </c>
      <c r="L284" t="s">
        <v>74</v>
      </c>
      <c r="M284" t="s">
        <v>78</v>
      </c>
      <c r="N284" t="s">
        <v>79</v>
      </c>
      <c r="O284" t="s">
        <v>74</v>
      </c>
      <c r="P284" t="s">
        <v>74</v>
      </c>
      <c r="Q284" t="s">
        <v>74</v>
      </c>
      <c r="R284" t="s">
        <v>74</v>
      </c>
      <c r="S284" t="s">
        <v>74</v>
      </c>
      <c r="T284" t="s">
        <v>74</v>
      </c>
      <c r="U284" t="s">
        <v>5795</v>
      </c>
      <c r="V284" t="s">
        <v>5796</v>
      </c>
      <c r="W284" t="s">
        <v>5797</v>
      </c>
      <c r="X284" t="s">
        <v>5798</v>
      </c>
      <c r="Y284" t="s">
        <v>5799</v>
      </c>
      <c r="Z284" t="s">
        <v>5800</v>
      </c>
      <c r="AA284" t="s">
        <v>5801</v>
      </c>
      <c r="AB284" t="s">
        <v>74</v>
      </c>
      <c r="AC284" t="s">
        <v>5802</v>
      </c>
      <c r="AD284" t="s">
        <v>5802</v>
      </c>
      <c r="AE284" t="s">
        <v>5803</v>
      </c>
      <c r="AF284" t="s">
        <v>74</v>
      </c>
      <c r="AG284">
        <v>30</v>
      </c>
      <c r="AH284">
        <v>5</v>
      </c>
      <c r="AI284">
        <v>6</v>
      </c>
      <c r="AJ284">
        <v>0</v>
      </c>
      <c r="AK284">
        <v>17</v>
      </c>
      <c r="AL284" t="s">
        <v>5721</v>
      </c>
      <c r="AM284" t="s">
        <v>593</v>
      </c>
      <c r="AN284" t="s">
        <v>5722</v>
      </c>
      <c r="AO284" t="s">
        <v>5723</v>
      </c>
      <c r="AP284" t="s">
        <v>5724</v>
      </c>
      <c r="AQ284" t="s">
        <v>74</v>
      </c>
      <c r="AR284" t="s">
        <v>5725</v>
      </c>
      <c r="AS284" t="s">
        <v>5726</v>
      </c>
      <c r="AT284" t="s">
        <v>5362</v>
      </c>
      <c r="AU284">
        <v>2014</v>
      </c>
      <c r="AV284">
        <v>46</v>
      </c>
      <c r="AW284">
        <v>1</v>
      </c>
      <c r="AX284" t="s">
        <v>74</v>
      </c>
      <c r="AY284" t="s">
        <v>74</v>
      </c>
      <c r="AZ284" t="s">
        <v>660</v>
      </c>
      <c r="BA284" t="s">
        <v>74</v>
      </c>
      <c r="BB284">
        <v>114</v>
      </c>
      <c r="BC284">
        <v>120</v>
      </c>
      <c r="BD284" t="s">
        <v>74</v>
      </c>
      <c r="BE284" t="s">
        <v>5804</v>
      </c>
      <c r="BF284" t="str">
        <f>HYPERLINK("http://dx.doi.org/10.1657/1938-4246-46.1.114","http://dx.doi.org/10.1657/1938-4246-46.1.114")</f>
        <v>http://dx.doi.org/10.1657/1938-4246-46.1.114</v>
      </c>
      <c r="BG284" t="s">
        <v>74</v>
      </c>
      <c r="BH284" t="s">
        <v>74</v>
      </c>
      <c r="BI284">
        <v>7</v>
      </c>
      <c r="BJ284" t="s">
        <v>5728</v>
      </c>
      <c r="BK284" t="s">
        <v>101</v>
      </c>
      <c r="BL284" t="s">
        <v>5729</v>
      </c>
      <c r="BM284" t="s">
        <v>5730</v>
      </c>
      <c r="BN284" t="s">
        <v>74</v>
      </c>
      <c r="BO284" t="s">
        <v>1607</v>
      </c>
      <c r="BP284" t="s">
        <v>74</v>
      </c>
      <c r="BQ284" t="s">
        <v>74</v>
      </c>
      <c r="BR284" t="s">
        <v>104</v>
      </c>
      <c r="BS284" t="s">
        <v>5805</v>
      </c>
      <c r="BT284" t="str">
        <f>HYPERLINK("https%3A%2F%2Fwww.webofscience.com%2Fwos%2Fwoscc%2Ffull-record%2FWOS:000333866100010","View Full Record in Web of Science")</f>
        <v>View Full Record in Web of Science</v>
      </c>
    </row>
    <row r="285" spans="1:72" x14ac:dyDescent="0.15">
      <c r="A285" t="s">
        <v>72</v>
      </c>
      <c r="B285" t="s">
        <v>5806</v>
      </c>
      <c r="C285" t="s">
        <v>74</v>
      </c>
      <c r="D285" t="s">
        <v>74</v>
      </c>
      <c r="E285" t="s">
        <v>74</v>
      </c>
      <c r="F285" t="s">
        <v>5807</v>
      </c>
      <c r="G285" t="s">
        <v>74</v>
      </c>
      <c r="H285" t="s">
        <v>74</v>
      </c>
      <c r="I285" t="s">
        <v>5808</v>
      </c>
      <c r="J285" t="s">
        <v>5716</v>
      </c>
      <c r="K285" t="s">
        <v>74</v>
      </c>
      <c r="L285" t="s">
        <v>74</v>
      </c>
      <c r="M285" t="s">
        <v>78</v>
      </c>
      <c r="N285" t="s">
        <v>79</v>
      </c>
      <c r="O285" t="s">
        <v>74</v>
      </c>
      <c r="P285" t="s">
        <v>74</v>
      </c>
      <c r="Q285" t="s">
        <v>74</v>
      </c>
      <c r="R285" t="s">
        <v>74</v>
      </c>
      <c r="S285" t="s">
        <v>74</v>
      </c>
      <c r="T285" t="s">
        <v>74</v>
      </c>
      <c r="U285" t="s">
        <v>5809</v>
      </c>
      <c r="V285" t="s">
        <v>5810</v>
      </c>
      <c r="W285" t="s">
        <v>5811</v>
      </c>
      <c r="X285" t="s">
        <v>5812</v>
      </c>
      <c r="Y285" t="s">
        <v>5813</v>
      </c>
      <c r="Z285" t="s">
        <v>5814</v>
      </c>
      <c r="AA285" t="s">
        <v>5815</v>
      </c>
      <c r="AB285" t="s">
        <v>5816</v>
      </c>
      <c r="AC285" t="s">
        <v>5817</v>
      </c>
      <c r="AD285" t="s">
        <v>5818</v>
      </c>
      <c r="AE285" t="s">
        <v>5819</v>
      </c>
      <c r="AF285" t="s">
        <v>74</v>
      </c>
      <c r="AG285">
        <v>60</v>
      </c>
      <c r="AH285">
        <v>15</v>
      </c>
      <c r="AI285">
        <v>16</v>
      </c>
      <c r="AJ285">
        <v>0</v>
      </c>
      <c r="AK285">
        <v>38</v>
      </c>
      <c r="AL285" t="s">
        <v>5746</v>
      </c>
      <c r="AM285" t="s">
        <v>5747</v>
      </c>
      <c r="AN285" t="s">
        <v>5748</v>
      </c>
      <c r="AO285" t="s">
        <v>5723</v>
      </c>
      <c r="AP285" t="s">
        <v>5724</v>
      </c>
      <c r="AQ285" t="s">
        <v>74</v>
      </c>
      <c r="AR285" t="s">
        <v>5725</v>
      </c>
      <c r="AS285" t="s">
        <v>5726</v>
      </c>
      <c r="AT285" t="s">
        <v>5362</v>
      </c>
      <c r="AU285">
        <v>2014</v>
      </c>
      <c r="AV285">
        <v>46</v>
      </c>
      <c r="AW285">
        <v>1</v>
      </c>
      <c r="AX285" t="s">
        <v>74</v>
      </c>
      <c r="AY285" t="s">
        <v>74</v>
      </c>
      <c r="AZ285" t="s">
        <v>660</v>
      </c>
      <c r="BA285" t="s">
        <v>74</v>
      </c>
      <c r="BB285">
        <v>159</v>
      </c>
      <c r="BC285">
        <v>190</v>
      </c>
      <c r="BD285" t="s">
        <v>74</v>
      </c>
      <c r="BE285" t="s">
        <v>5820</v>
      </c>
      <c r="BF285" t="str">
        <f>HYPERLINK("http://dx.doi.org/10.1657/1938-4246-46.1.159","http://dx.doi.org/10.1657/1938-4246-46.1.159")</f>
        <v>http://dx.doi.org/10.1657/1938-4246-46.1.159</v>
      </c>
      <c r="BG285" t="s">
        <v>74</v>
      </c>
      <c r="BH285" t="s">
        <v>74</v>
      </c>
      <c r="BI285">
        <v>32</v>
      </c>
      <c r="BJ285" t="s">
        <v>5728</v>
      </c>
      <c r="BK285" t="s">
        <v>101</v>
      </c>
      <c r="BL285" t="s">
        <v>5729</v>
      </c>
      <c r="BM285" t="s">
        <v>5730</v>
      </c>
      <c r="BN285" t="s">
        <v>74</v>
      </c>
      <c r="BO285" t="s">
        <v>810</v>
      </c>
      <c r="BP285" t="s">
        <v>74</v>
      </c>
      <c r="BQ285" t="s">
        <v>74</v>
      </c>
      <c r="BR285" t="s">
        <v>104</v>
      </c>
      <c r="BS285" t="s">
        <v>5821</v>
      </c>
      <c r="BT285" t="str">
        <f>HYPERLINK("https%3A%2F%2Fwww.webofscience.com%2Fwos%2Fwoscc%2Ffull-record%2FWOS:000333866100013","View Full Record in Web of Science")</f>
        <v>View Full Record in Web of Science</v>
      </c>
    </row>
    <row r="286" spans="1:72" x14ac:dyDescent="0.15">
      <c r="A286" t="s">
        <v>72</v>
      </c>
      <c r="B286" t="s">
        <v>5822</v>
      </c>
      <c r="C286" t="s">
        <v>74</v>
      </c>
      <c r="D286" t="s">
        <v>74</v>
      </c>
      <c r="E286" t="s">
        <v>74</v>
      </c>
      <c r="F286" t="s">
        <v>5823</v>
      </c>
      <c r="G286" t="s">
        <v>74</v>
      </c>
      <c r="H286" t="s">
        <v>74</v>
      </c>
      <c r="I286" t="s">
        <v>5824</v>
      </c>
      <c r="J286" t="s">
        <v>5716</v>
      </c>
      <c r="K286" t="s">
        <v>74</v>
      </c>
      <c r="L286" t="s">
        <v>74</v>
      </c>
      <c r="M286" t="s">
        <v>78</v>
      </c>
      <c r="N286" t="s">
        <v>79</v>
      </c>
      <c r="O286" t="s">
        <v>74</v>
      </c>
      <c r="P286" t="s">
        <v>74</v>
      </c>
      <c r="Q286" t="s">
        <v>74</v>
      </c>
      <c r="R286" t="s">
        <v>74</v>
      </c>
      <c r="S286" t="s">
        <v>74</v>
      </c>
      <c r="T286" t="s">
        <v>74</v>
      </c>
      <c r="U286" t="s">
        <v>5825</v>
      </c>
      <c r="V286" t="s">
        <v>5826</v>
      </c>
      <c r="W286" t="s">
        <v>5827</v>
      </c>
      <c r="X286" t="s">
        <v>5828</v>
      </c>
      <c r="Y286" t="s">
        <v>5829</v>
      </c>
      <c r="Z286" t="s">
        <v>5830</v>
      </c>
      <c r="AA286" t="s">
        <v>5831</v>
      </c>
      <c r="AB286" t="s">
        <v>5832</v>
      </c>
      <c r="AC286" t="s">
        <v>5833</v>
      </c>
      <c r="AD286" t="s">
        <v>5833</v>
      </c>
      <c r="AE286" t="s">
        <v>5834</v>
      </c>
      <c r="AF286" t="s">
        <v>74</v>
      </c>
      <c r="AG286">
        <v>72</v>
      </c>
      <c r="AH286">
        <v>16</v>
      </c>
      <c r="AI286">
        <v>17</v>
      </c>
      <c r="AJ286">
        <v>1</v>
      </c>
      <c r="AK286">
        <v>38</v>
      </c>
      <c r="AL286" t="s">
        <v>5721</v>
      </c>
      <c r="AM286" t="s">
        <v>593</v>
      </c>
      <c r="AN286" t="s">
        <v>5722</v>
      </c>
      <c r="AO286" t="s">
        <v>5723</v>
      </c>
      <c r="AP286" t="s">
        <v>5724</v>
      </c>
      <c r="AQ286" t="s">
        <v>74</v>
      </c>
      <c r="AR286" t="s">
        <v>5725</v>
      </c>
      <c r="AS286" t="s">
        <v>5726</v>
      </c>
      <c r="AT286" t="s">
        <v>5362</v>
      </c>
      <c r="AU286">
        <v>2014</v>
      </c>
      <c r="AV286">
        <v>46</v>
      </c>
      <c r="AW286">
        <v>1</v>
      </c>
      <c r="AX286" t="s">
        <v>74</v>
      </c>
      <c r="AY286" t="s">
        <v>74</v>
      </c>
      <c r="AZ286" t="s">
        <v>660</v>
      </c>
      <c r="BA286" t="s">
        <v>74</v>
      </c>
      <c r="BB286">
        <v>191</v>
      </c>
      <c r="BC286">
        <v>205</v>
      </c>
      <c r="BD286" t="s">
        <v>74</v>
      </c>
      <c r="BE286" t="s">
        <v>5835</v>
      </c>
      <c r="BF286" t="str">
        <f>HYPERLINK("http://dx.doi.org/10.1657/1938-4246-46.1.191","http://dx.doi.org/10.1657/1938-4246-46.1.191")</f>
        <v>http://dx.doi.org/10.1657/1938-4246-46.1.191</v>
      </c>
      <c r="BG286" t="s">
        <v>74</v>
      </c>
      <c r="BH286" t="s">
        <v>74</v>
      </c>
      <c r="BI286">
        <v>15</v>
      </c>
      <c r="BJ286" t="s">
        <v>5728</v>
      </c>
      <c r="BK286" t="s">
        <v>101</v>
      </c>
      <c r="BL286" t="s">
        <v>5729</v>
      </c>
      <c r="BM286" t="s">
        <v>5730</v>
      </c>
      <c r="BN286" t="s">
        <v>74</v>
      </c>
      <c r="BO286" t="s">
        <v>810</v>
      </c>
      <c r="BP286" t="s">
        <v>74</v>
      </c>
      <c r="BQ286" t="s">
        <v>74</v>
      </c>
      <c r="BR286" t="s">
        <v>104</v>
      </c>
      <c r="BS286" t="s">
        <v>5836</v>
      </c>
      <c r="BT286" t="str">
        <f>HYPERLINK("https%3A%2F%2Fwww.webofscience.com%2Fwos%2Fwoscc%2Ffull-record%2FWOS:000333866100014","View Full Record in Web of Science")</f>
        <v>View Full Record in Web of Science</v>
      </c>
    </row>
    <row r="287" spans="1:72" x14ac:dyDescent="0.15">
      <c r="A287" t="s">
        <v>72</v>
      </c>
      <c r="B287" t="s">
        <v>5837</v>
      </c>
      <c r="C287" t="s">
        <v>74</v>
      </c>
      <c r="D287" t="s">
        <v>74</v>
      </c>
      <c r="E287" t="s">
        <v>74</v>
      </c>
      <c r="F287" t="s">
        <v>5838</v>
      </c>
      <c r="G287" t="s">
        <v>74</v>
      </c>
      <c r="H287" t="s">
        <v>74</v>
      </c>
      <c r="I287" t="s">
        <v>5839</v>
      </c>
      <c r="J287" t="s">
        <v>5716</v>
      </c>
      <c r="K287" t="s">
        <v>74</v>
      </c>
      <c r="L287" t="s">
        <v>74</v>
      </c>
      <c r="M287" t="s">
        <v>78</v>
      </c>
      <c r="N287" t="s">
        <v>79</v>
      </c>
      <c r="O287" t="s">
        <v>74</v>
      </c>
      <c r="P287" t="s">
        <v>74</v>
      </c>
      <c r="Q287" t="s">
        <v>74</v>
      </c>
      <c r="R287" t="s">
        <v>74</v>
      </c>
      <c r="S287" t="s">
        <v>74</v>
      </c>
      <c r="T287" t="s">
        <v>74</v>
      </c>
      <c r="U287" t="s">
        <v>5840</v>
      </c>
      <c r="V287" t="s">
        <v>5841</v>
      </c>
      <c r="W287" t="s">
        <v>5842</v>
      </c>
      <c r="X287" t="s">
        <v>5843</v>
      </c>
      <c r="Y287" t="s">
        <v>5844</v>
      </c>
      <c r="Z287" t="s">
        <v>5845</v>
      </c>
      <c r="AA287" t="s">
        <v>5846</v>
      </c>
      <c r="AB287" t="s">
        <v>5847</v>
      </c>
      <c r="AC287" t="s">
        <v>5848</v>
      </c>
      <c r="AD287" t="s">
        <v>5849</v>
      </c>
      <c r="AE287" t="s">
        <v>5850</v>
      </c>
      <c r="AF287" t="s">
        <v>74</v>
      </c>
      <c r="AG287">
        <v>63</v>
      </c>
      <c r="AH287">
        <v>9</v>
      </c>
      <c r="AI287">
        <v>12</v>
      </c>
      <c r="AJ287">
        <v>2</v>
      </c>
      <c r="AK287">
        <v>42</v>
      </c>
      <c r="AL287" t="s">
        <v>5721</v>
      </c>
      <c r="AM287" t="s">
        <v>593</v>
      </c>
      <c r="AN287" t="s">
        <v>5722</v>
      </c>
      <c r="AO287" t="s">
        <v>5723</v>
      </c>
      <c r="AP287" t="s">
        <v>5724</v>
      </c>
      <c r="AQ287" t="s">
        <v>74</v>
      </c>
      <c r="AR287" t="s">
        <v>5725</v>
      </c>
      <c r="AS287" t="s">
        <v>5726</v>
      </c>
      <c r="AT287" t="s">
        <v>5362</v>
      </c>
      <c r="AU287">
        <v>2014</v>
      </c>
      <c r="AV287">
        <v>46</v>
      </c>
      <c r="AW287">
        <v>1</v>
      </c>
      <c r="AX287" t="s">
        <v>74</v>
      </c>
      <c r="AY287" t="s">
        <v>74</v>
      </c>
      <c r="AZ287" t="s">
        <v>660</v>
      </c>
      <c r="BA287" t="s">
        <v>74</v>
      </c>
      <c r="BB287">
        <v>206</v>
      </c>
      <c r="BC287">
        <v>217</v>
      </c>
      <c r="BD287" t="s">
        <v>74</v>
      </c>
      <c r="BE287" t="s">
        <v>5851</v>
      </c>
      <c r="BF287" t="str">
        <f>HYPERLINK("http://dx.doi.org/10.1657/1938-4246-46.1.206","http://dx.doi.org/10.1657/1938-4246-46.1.206")</f>
        <v>http://dx.doi.org/10.1657/1938-4246-46.1.206</v>
      </c>
      <c r="BG287" t="s">
        <v>74</v>
      </c>
      <c r="BH287" t="s">
        <v>74</v>
      </c>
      <c r="BI287">
        <v>14</v>
      </c>
      <c r="BJ287" t="s">
        <v>5728</v>
      </c>
      <c r="BK287" t="s">
        <v>101</v>
      </c>
      <c r="BL287" t="s">
        <v>5729</v>
      </c>
      <c r="BM287" t="s">
        <v>5730</v>
      </c>
      <c r="BN287" t="s">
        <v>74</v>
      </c>
      <c r="BO287" t="s">
        <v>810</v>
      </c>
      <c r="BP287" t="s">
        <v>74</v>
      </c>
      <c r="BQ287" t="s">
        <v>74</v>
      </c>
      <c r="BR287" t="s">
        <v>104</v>
      </c>
      <c r="BS287" t="s">
        <v>5852</v>
      </c>
      <c r="BT287" t="str">
        <f>HYPERLINK("https%3A%2F%2Fwww.webofscience.com%2Fwos%2Fwoscc%2Ffull-record%2FWOS:000333866100015","View Full Record in Web of Science")</f>
        <v>View Full Record in Web of Science</v>
      </c>
    </row>
    <row r="288" spans="1:72" x14ac:dyDescent="0.15">
      <c r="A288" t="s">
        <v>72</v>
      </c>
      <c r="B288" t="s">
        <v>5853</v>
      </c>
      <c r="C288" t="s">
        <v>74</v>
      </c>
      <c r="D288" t="s">
        <v>74</v>
      </c>
      <c r="E288" t="s">
        <v>74</v>
      </c>
      <c r="F288" t="s">
        <v>5854</v>
      </c>
      <c r="G288" t="s">
        <v>74</v>
      </c>
      <c r="H288" t="s">
        <v>74</v>
      </c>
      <c r="I288" t="s">
        <v>5855</v>
      </c>
      <c r="J288" t="s">
        <v>5716</v>
      </c>
      <c r="K288" t="s">
        <v>74</v>
      </c>
      <c r="L288" t="s">
        <v>74</v>
      </c>
      <c r="M288" t="s">
        <v>78</v>
      </c>
      <c r="N288" t="s">
        <v>79</v>
      </c>
      <c r="O288" t="s">
        <v>74</v>
      </c>
      <c r="P288" t="s">
        <v>74</v>
      </c>
      <c r="Q288" t="s">
        <v>74</v>
      </c>
      <c r="R288" t="s">
        <v>74</v>
      </c>
      <c r="S288" t="s">
        <v>74</v>
      </c>
      <c r="T288" t="s">
        <v>74</v>
      </c>
      <c r="U288" t="s">
        <v>5856</v>
      </c>
      <c r="V288" t="s">
        <v>5857</v>
      </c>
      <c r="W288" t="s">
        <v>5858</v>
      </c>
      <c r="X288" t="s">
        <v>5859</v>
      </c>
      <c r="Y288" t="s">
        <v>5860</v>
      </c>
      <c r="Z288" t="s">
        <v>5861</v>
      </c>
      <c r="AA288" t="s">
        <v>74</v>
      </c>
      <c r="AB288" t="s">
        <v>74</v>
      </c>
      <c r="AC288" t="s">
        <v>5862</v>
      </c>
      <c r="AD288" t="s">
        <v>5863</v>
      </c>
      <c r="AE288" t="s">
        <v>5864</v>
      </c>
      <c r="AF288" t="s">
        <v>74</v>
      </c>
      <c r="AG288">
        <v>50</v>
      </c>
      <c r="AH288">
        <v>22</v>
      </c>
      <c r="AI288">
        <v>28</v>
      </c>
      <c r="AJ288">
        <v>1</v>
      </c>
      <c r="AK288">
        <v>48</v>
      </c>
      <c r="AL288" t="s">
        <v>5721</v>
      </c>
      <c r="AM288" t="s">
        <v>593</v>
      </c>
      <c r="AN288" t="s">
        <v>5722</v>
      </c>
      <c r="AO288" t="s">
        <v>5723</v>
      </c>
      <c r="AP288" t="s">
        <v>5724</v>
      </c>
      <c r="AQ288" t="s">
        <v>74</v>
      </c>
      <c r="AR288" t="s">
        <v>5725</v>
      </c>
      <c r="AS288" t="s">
        <v>5726</v>
      </c>
      <c r="AT288" t="s">
        <v>5362</v>
      </c>
      <c r="AU288">
        <v>2014</v>
      </c>
      <c r="AV288">
        <v>46</v>
      </c>
      <c r="AW288">
        <v>1</v>
      </c>
      <c r="AX288" t="s">
        <v>74</v>
      </c>
      <c r="AY288" t="s">
        <v>74</v>
      </c>
      <c r="AZ288" t="s">
        <v>660</v>
      </c>
      <c r="BA288" t="s">
        <v>74</v>
      </c>
      <c r="BB288">
        <v>236</v>
      </c>
      <c r="BC288">
        <v>250</v>
      </c>
      <c r="BD288" t="s">
        <v>74</v>
      </c>
      <c r="BE288" t="s">
        <v>5865</v>
      </c>
      <c r="BF288" t="str">
        <f>HYPERLINK("http://dx.doi.org/10.1657/1938-4246-46.1.236","http://dx.doi.org/10.1657/1938-4246-46.1.236")</f>
        <v>http://dx.doi.org/10.1657/1938-4246-46.1.236</v>
      </c>
      <c r="BG288" t="s">
        <v>74</v>
      </c>
      <c r="BH288" t="s">
        <v>74</v>
      </c>
      <c r="BI288">
        <v>15</v>
      </c>
      <c r="BJ288" t="s">
        <v>5728</v>
      </c>
      <c r="BK288" t="s">
        <v>101</v>
      </c>
      <c r="BL288" t="s">
        <v>5729</v>
      </c>
      <c r="BM288" t="s">
        <v>5730</v>
      </c>
      <c r="BN288" t="s">
        <v>74</v>
      </c>
      <c r="BO288" t="s">
        <v>234</v>
      </c>
      <c r="BP288" t="s">
        <v>74</v>
      </c>
      <c r="BQ288" t="s">
        <v>74</v>
      </c>
      <c r="BR288" t="s">
        <v>104</v>
      </c>
      <c r="BS288" t="s">
        <v>5866</v>
      </c>
      <c r="BT288" t="str">
        <f>HYPERLINK("https%3A%2F%2Fwww.webofscience.com%2Fwos%2Fwoscc%2Ffull-record%2FWOS:000333866100017","View Full Record in Web of Science")</f>
        <v>View Full Record in Web of Science</v>
      </c>
    </row>
    <row r="289" spans="1:72" x14ac:dyDescent="0.15">
      <c r="A289" t="s">
        <v>72</v>
      </c>
      <c r="B289" t="s">
        <v>5867</v>
      </c>
      <c r="C289" t="s">
        <v>74</v>
      </c>
      <c r="D289" t="s">
        <v>74</v>
      </c>
      <c r="E289" t="s">
        <v>74</v>
      </c>
      <c r="F289" t="s">
        <v>5868</v>
      </c>
      <c r="G289" t="s">
        <v>74</v>
      </c>
      <c r="H289" t="s">
        <v>74</v>
      </c>
      <c r="I289" t="s">
        <v>5869</v>
      </c>
      <c r="J289" t="s">
        <v>5716</v>
      </c>
      <c r="K289" t="s">
        <v>74</v>
      </c>
      <c r="L289" t="s">
        <v>74</v>
      </c>
      <c r="M289" t="s">
        <v>78</v>
      </c>
      <c r="N289" t="s">
        <v>2208</v>
      </c>
      <c r="O289" t="s">
        <v>74</v>
      </c>
      <c r="P289" t="s">
        <v>74</v>
      </c>
      <c r="Q289" t="s">
        <v>74</v>
      </c>
      <c r="R289" t="s">
        <v>74</v>
      </c>
      <c r="S289" t="s">
        <v>74</v>
      </c>
      <c r="T289" t="s">
        <v>74</v>
      </c>
      <c r="U289" t="s">
        <v>74</v>
      </c>
      <c r="V289" t="s">
        <v>74</v>
      </c>
      <c r="W289" t="s">
        <v>5870</v>
      </c>
      <c r="X289" t="s">
        <v>5871</v>
      </c>
      <c r="Y289" t="s">
        <v>5872</v>
      </c>
      <c r="Z289" t="s">
        <v>74</v>
      </c>
      <c r="AA289" t="s">
        <v>74</v>
      </c>
      <c r="AB289" t="s">
        <v>74</v>
      </c>
      <c r="AC289" t="s">
        <v>74</v>
      </c>
      <c r="AD289" t="s">
        <v>74</v>
      </c>
      <c r="AE289" t="s">
        <v>74</v>
      </c>
      <c r="AF289" t="s">
        <v>74</v>
      </c>
      <c r="AG289">
        <v>1</v>
      </c>
      <c r="AH289">
        <v>3</v>
      </c>
      <c r="AI289">
        <v>3</v>
      </c>
      <c r="AJ289">
        <v>6</v>
      </c>
      <c r="AK289">
        <v>52</v>
      </c>
      <c r="AL289" t="s">
        <v>5721</v>
      </c>
      <c r="AM289" t="s">
        <v>593</v>
      </c>
      <c r="AN289" t="s">
        <v>5722</v>
      </c>
      <c r="AO289" t="s">
        <v>5723</v>
      </c>
      <c r="AP289" t="s">
        <v>5724</v>
      </c>
      <c r="AQ289" t="s">
        <v>74</v>
      </c>
      <c r="AR289" t="s">
        <v>5725</v>
      </c>
      <c r="AS289" t="s">
        <v>5726</v>
      </c>
      <c r="AT289" t="s">
        <v>5362</v>
      </c>
      <c r="AU289">
        <v>2014</v>
      </c>
      <c r="AV289">
        <v>46</v>
      </c>
      <c r="AW289">
        <v>1</v>
      </c>
      <c r="AX289" t="s">
        <v>74</v>
      </c>
      <c r="AY289" t="s">
        <v>74</v>
      </c>
      <c r="AZ289" t="s">
        <v>660</v>
      </c>
      <c r="BA289" t="s">
        <v>74</v>
      </c>
      <c r="BB289">
        <v>292</v>
      </c>
      <c r="BC289">
        <v>292</v>
      </c>
      <c r="BD289" t="s">
        <v>74</v>
      </c>
      <c r="BE289" t="s">
        <v>5873</v>
      </c>
      <c r="BF289" t="str">
        <f>HYPERLINK("http://dx.doi.org/10.1657/1938-4246-46.1.292","http://dx.doi.org/10.1657/1938-4246-46.1.292")</f>
        <v>http://dx.doi.org/10.1657/1938-4246-46.1.292</v>
      </c>
      <c r="BG289" t="s">
        <v>74</v>
      </c>
      <c r="BH289" t="s">
        <v>74</v>
      </c>
      <c r="BI289">
        <v>1</v>
      </c>
      <c r="BJ289" t="s">
        <v>5728</v>
      </c>
      <c r="BK289" t="s">
        <v>101</v>
      </c>
      <c r="BL289" t="s">
        <v>5729</v>
      </c>
      <c r="BM289" t="s">
        <v>5730</v>
      </c>
      <c r="BN289" t="s">
        <v>74</v>
      </c>
      <c r="BO289" t="s">
        <v>74</v>
      </c>
      <c r="BP289" t="s">
        <v>74</v>
      </c>
      <c r="BQ289" t="s">
        <v>74</v>
      </c>
      <c r="BR289" t="s">
        <v>104</v>
      </c>
      <c r="BS289" t="s">
        <v>5874</v>
      </c>
      <c r="BT289" t="str">
        <f>HYPERLINK("https%3A%2F%2Fwww.webofscience.com%2Fwos%2Fwoscc%2Ffull-record%2FWOS:000333866100020","View Full Record in Web of Science")</f>
        <v>View Full Record in Web of Science</v>
      </c>
    </row>
    <row r="290" spans="1:72" x14ac:dyDescent="0.15">
      <c r="A290" t="s">
        <v>72</v>
      </c>
      <c r="B290" t="s">
        <v>5875</v>
      </c>
      <c r="C290" t="s">
        <v>74</v>
      </c>
      <c r="D290" t="s">
        <v>74</v>
      </c>
      <c r="E290" t="s">
        <v>74</v>
      </c>
      <c r="F290" t="s">
        <v>5876</v>
      </c>
      <c r="G290" t="s">
        <v>74</v>
      </c>
      <c r="H290" t="s">
        <v>74</v>
      </c>
      <c r="I290" t="s">
        <v>5877</v>
      </c>
      <c r="J290" t="s">
        <v>5878</v>
      </c>
      <c r="K290" t="s">
        <v>74</v>
      </c>
      <c r="L290" t="s">
        <v>74</v>
      </c>
      <c r="M290" t="s">
        <v>78</v>
      </c>
      <c r="N290" t="s">
        <v>79</v>
      </c>
      <c r="O290" t="s">
        <v>74</v>
      </c>
      <c r="P290" t="s">
        <v>74</v>
      </c>
      <c r="Q290" t="s">
        <v>74</v>
      </c>
      <c r="R290" t="s">
        <v>74</v>
      </c>
      <c r="S290" t="s">
        <v>74</v>
      </c>
      <c r="T290" t="s">
        <v>5879</v>
      </c>
      <c r="U290" t="s">
        <v>5880</v>
      </c>
      <c r="V290" t="s">
        <v>5881</v>
      </c>
      <c r="W290" t="s">
        <v>5882</v>
      </c>
      <c r="X290" t="s">
        <v>5883</v>
      </c>
      <c r="Y290" t="s">
        <v>5884</v>
      </c>
      <c r="Z290" t="s">
        <v>5885</v>
      </c>
      <c r="AA290" t="s">
        <v>74</v>
      </c>
      <c r="AB290" t="s">
        <v>5886</v>
      </c>
      <c r="AC290" t="s">
        <v>5887</v>
      </c>
      <c r="AD290" t="s">
        <v>5888</v>
      </c>
      <c r="AE290" t="s">
        <v>5889</v>
      </c>
      <c r="AF290" t="s">
        <v>74</v>
      </c>
      <c r="AG290">
        <v>74</v>
      </c>
      <c r="AH290">
        <v>23</v>
      </c>
      <c r="AI290">
        <v>23</v>
      </c>
      <c r="AJ290">
        <v>0</v>
      </c>
      <c r="AK290">
        <v>34</v>
      </c>
      <c r="AL290" t="s">
        <v>946</v>
      </c>
      <c r="AM290" t="s">
        <v>522</v>
      </c>
      <c r="AN290" t="s">
        <v>947</v>
      </c>
      <c r="AO290" t="s">
        <v>5890</v>
      </c>
      <c r="AP290" t="s">
        <v>5891</v>
      </c>
      <c r="AQ290" t="s">
        <v>74</v>
      </c>
      <c r="AR290" t="s">
        <v>5892</v>
      </c>
      <c r="AS290" t="s">
        <v>5893</v>
      </c>
      <c r="AT290" t="s">
        <v>5362</v>
      </c>
      <c r="AU290">
        <v>2014</v>
      </c>
      <c r="AV290">
        <v>100</v>
      </c>
      <c r="AW290" t="s">
        <v>74</v>
      </c>
      <c r="AX290" t="s">
        <v>74</v>
      </c>
      <c r="AY290" t="s">
        <v>74</v>
      </c>
      <c r="AZ290" t="s">
        <v>660</v>
      </c>
      <c r="BA290" t="s">
        <v>74</v>
      </c>
      <c r="BB290">
        <v>200</v>
      </c>
      <c r="BC290">
        <v>211</v>
      </c>
      <c r="BD290" t="s">
        <v>74</v>
      </c>
      <c r="BE290" t="s">
        <v>5894</v>
      </c>
      <c r="BF290" t="str">
        <f>HYPERLINK("http://dx.doi.org/10.1016/j.dsr2.2013.10.027","http://dx.doi.org/10.1016/j.dsr2.2013.10.027")</f>
        <v>http://dx.doi.org/10.1016/j.dsr2.2013.10.027</v>
      </c>
      <c r="BG290" t="s">
        <v>74</v>
      </c>
      <c r="BH290" t="s">
        <v>74</v>
      </c>
      <c r="BI290">
        <v>12</v>
      </c>
      <c r="BJ290" t="s">
        <v>785</v>
      </c>
      <c r="BK290" t="s">
        <v>101</v>
      </c>
      <c r="BL290" t="s">
        <v>785</v>
      </c>
      <c r="BM290" t="s">
        <v>5895</v>
      </c>
      <c r="BN290" t="s">
        <v>74</v>
      </c>
      <c r="BO290" t="s">
        <v>74</v>
      </c>
      <c r="BP290" t="s">
        <v>74</v>
      </c>
      <c r="BQ290" t="s">
        <v>74</v>
      </c>
      <c r="BR290" t="s">
        <v>104</v>
      </c>
      <c r="BS290" t="s">
        <v>5896</v>
      </c>
      <c r="BT290" t="str">
        <f>HYPERLINK("https%3A%2F%2Fwww.webofscience.com%2Fwos%2Fwoscc%2Ffull-record%2FWOS:000333721400016","View Full Record in Web of Science")</f>
        <v>View Full Record in Web of Science</v>
      </c>
    </row>
    <row r="291" spans="1:72" x14ac:dyDescent="0.15">
      <c r="A291" t="s">
        <v>72</v>
      </c>
      <c r="B291" t="s">
        <v>5897</v>
      </c>
      <c r="C291" t="s">
        <v>74</v>
      </c>
      <c r="D291" t="s">
        <v>74</v>
      </c>
      <c r="E291" t="s">
        <v>74</v>
      </c>
      <c r="F291" t="s">
        <v>5898</v>
      </c>
      <c r="G291" t="s">
        <v>74</v>
      </c>
      <c r="H291" t="s">
        <v>74</v>
      </c>
      <c r="I291" t="s">
        <v>5899</v>
      </c>
      <c r="J291" t="s">
        <v>5900</v>
      </c>
      <c r="K291" t="s">
        <v>74</v>
      </c>
      <c r="L291" t="s">
        <v>74</v>
      </c>
      <c r="M291" t="s">
        <v>78</v>
      </c>
      <c r="N291" t="s">
        <v>79</v>
      </c>
      <c r="O291" t="s">
        <v>74</v>
      </c>
      <c r="P291" t="s">
        <v>74</v>
      </c>
      <c r="Q291" t="s">
        <v>74</v>
      </c>
      <c r="R291" t="s">
        <v>74</v>
      </c>
      <c r="S291" t="s">
        <v>74</v>
      </c>
      <c r="T291" t="s">
        <v>5901</v>
      </c>
      <c r="U291" t="s">
        <v>5902</v>
      </c>
      <c r="V291" t="s">
        <v>5903</v>
      </c>
      <c r="W291" t="s">
        <v>5904</v>
      </c>
      <c r="X291" t="s">
        <v>5905</v>
      </c>
      <c r="Y291" t="s">
        <v>5906</v>
      </c>
      <c r="Z291" t="s">
        <v>5907</v>
      </c>
      <c r="AA291" t="s">
        <v>5908</v>
      </c>
      <c r="AB291" t="s">
        <v>5909</v>
      </c>
      <c r="AC291" t="s">
        <v>5910</v>
      </c>
      <c r="AD291" t="s">
        <v>5911</v>
      </c>
      <c r="AE291" t="s">
        <v>5912</v>
      </c>
      <c r="AF291" t="s">
        <v>74</v>
      </c>
      <c r="AG291">
        <v>9</v>
      </c>
      <c r="AH291">
        <v>16</v>
      </c>
      <c r="AI291">
        <v>18</v>
      </c>
      <c r="AJ291">
        <v>0</v>
      </c>
      <c r="AK291">
        <v>11</v>
      </c>
      <c r="AL291" t="s">
        <v>902</v>
      </c>
      <c r="AM291" t="s">
        <v>653</v>
      </c>
      <c r="AN291" t="s">
        <v>903</v>
      </c>
      <c r="AO291" t="s">
        <v>5913</v>
      </c>
      <c r="AP291" t="s">
        <v>5914</v>
      </c>
      <c r="AQ291" t="s">
        <v>74</v>
      </c>
      <c r="AR291" t="s">
        <v>5915</v>
      </c>
      <c r="AS291" t="s">
        <v>5916</v>
      </c>
      <c r="AT291" t="s">
        <v>5362</v>
      </c>
      <c r="AU291">
        <v>2014</v>
      </c>
      <c r="AV291">
        <v>13</v>
      </c>
      <c r="AW291" t="s">
        <v>74</v>
      </c>
      <c r="AX291" t="s">
        <v>74</v>
      </c>
      <c r="AY291" t="s">
        <v>74</v>
      </c>
      <c r="AZ291" t="s">
        <v>74</v>
      </c>
      <c r="BA291" t="s">
        <v>74</v>
      </c>
      <c r="BB291">
        <v>37</v>
      </c>
      <c r="BC291">
        <v>38</v>
      </c>
      <c r="BD291" t="s">
        <v>74</v>
      </c>
      <c r="BE291" t="s">
        <v>5917</v>
      </c>
      <c r="BF291" t="str">
        <f>HYPERLINK("http://dx.doi.org/10.1016/j.margen.2013.12.009","http://dx.doi.org/10.1016/j.margen.2013.12.009")</f>
        <v>http://dx.doi.org/10.1016/j.margen.2013.12.009</v>
      </c>
      <c r="BG291" t="s">
        <v>74</v>
      </c>
      <c r="BH291" t="s">
        <v>74</v>
      </c>
      <c r="BI291">
        <v>2</v>
      </c>
      <c r="BJ291" t="s">
        <v>5918</v>
      </c>
      <c r="BK291" t="s">
        <v>101</v>
      </c>
      <c r="BL291" t="s">
        <v>5918</v>
      </c>
      <c r="BM291" t="s">
        <v>5919</v>
      </c>
      <c r="BN291">
        <v>24401162</v>
      </c>
      <c r="BO291" t="s">
        <v>74</v>
      </c>
      <c r="BP291" t="s">
        <v>74</v>
      </c>
      <c r="BQ291" t="s">
        <v>74</v>
      </c>
      <c r="BR291" t="s">
        <v>104</v>
      </c>
      <c r="BS291" t="s">
        <v>5920</v>
      </c>
      <c r="BT291" t="str">
        <f>HYPERLINK("https%3A%2F%2Fwww.webofscience.com%2Fwos%2Fwoscc%2Ffull-record%2FWOS:000333512300010","View Full Record in Web of Science")</f>
        <v>View Full Record in Web of Science</v>
      </c>
    </row>
    <row r="292" spans="1:72" x14ac:dyDescent="0.15">
      <c r="A292" t="s">
        <v>72</v>
      </c>
      <c r="B292" t="s">
        <v>5921</v>
      </c>
      <c r="C292" t="s">
        <v>74</v>
      </c>
      <c r="D292" t="s">
        <v>74</v>
      </c>
      <c r="E292" t="s">
        <v>74</v>
      </c>
      <c r="F292" t="s">
        <v>5922</v>
      </c>
      <c r="G292" t="s">
        <v>74</v>
      </c>
      <c r="H292" t="s">
        <v>74</v>
      </c>
      <c r="I292" t="s">
        <v>5923</v>
      </c>
      <c r="J292" t="s">
        <v>1185</v>
      </c>
      <c r="K292" t="s">
        <v>74</v>
      </c>
      <c r="L292" t="s">
        <v>74</v>
      </c>
      <c r="M292" t="s">
        <v>78</v>
      </c>
      <c r="N292" t="s">
        <v>79</v>
      </c>
      <c r="O292" t="s">
        <v>74</v>
      </c>
      <c r="P292" t="s">
        <v>74</v>
      </c>
      <c r="Q292" t="s">
        <v>74</v>
      </c>
      <c r="R292" t="s">
        <v>74</v>
      </c>
      <c r="S292" t="s">
        <v>74</v>
      </c>
      <c r="T292" t="s">
        <v>5924</v>
      </c>
      <c r="U292" t="s">
        <v>5925</v>
      </c>
      <c r="V292" t="s">
        <v>5926</v>
      </c>
      <c r="W292" t="s">
        <v>5927</v>
      </c>
      <c r="X292" t="s">
        <v>5928</v>
      </c>
      <c r="Y292" t="s">
        <v>5929</v>
      </c>
      <c r="Z292" t="s">
        <v>5930</v>
      </c>
      <c r="AA292" t="s">
        <v>5931</v>
      </c>
      <c r="AB292" t="s">
        <v>5932</v>
      </c>
      <c r="AC292" t="s">
        <v>5933</v>
      </c>
      <c r="AD292" t="s">
        <v>5934</v>
      </c>
      <c r="AE292" t="s">
        <v>5935</v>
      </c>
      <c r="AF292" t="s">
        <v>74</v>
      </c>
      <c r="AG292">
        <v>73</v>
      </c>
      <c r="AH292">
        <v>16</v>
      </c>
      <c r="AI292">
        <v>16</v>
      </c>
      <c r="AJ292">
        <v>3</v>
      </c>
      <c r="AK292">
        <v>45</v>
      </c>
      <c r="AL292" t="s">
        <v>902</v>
      </c>
      <c r="AM292" t="s">
        <v>653</v>
      </c>
      <c r="AN292" t="s">
        <v>903</v>
      </c>
      <c r="AO292" t="s">
        <v>1197</v>
      </c>
      <c r="AP292" t="s">
        <v>1198</v>
      </c>
      <c r="AQ292" t="s">
        <v>74</v>
      </c>
      <c r="AR292" t="s">
        <v>1199</v>
      </c>
      <c r="AS292" t="s">
        <v>1200</v>
      </c>
      <c r="AT292" t="s">
        <v>5936</v>
      </c>
      <c r="AU292">
        <v>2014</v>
      </c>
      <c r="AV292">
        <v>395</v>
      </c>
      <c r="AW292" t="s">
        <v>74</v>
      </c>
      <c r="AX292" t="s">
        <v>74</v>
      </c>
      <c r="AY292" t="s">
        <v>74</v>
      </c>
      <c r="AZ292" t="s">
        <v>74</v>
      </c>
      <c r="BA292" t="s">
        <v>74</v>
      </c>
      <c r="BB292">
        <v>21</v>
      </c>
      <c r="BC292">
        <v>28</v>
      </c>
      <c r="BD292" t="s">
        <v>74</v>
      </c>
      <c r="BE292" t="s">
        <v>5937</v>
      </c>
      <c r="BF292" t="str">
        <f>HYPERLINK("http://dx.doi.org/10.1016/j.palaeo.2013.12.014","http://dx.doi.org/10.1016/j.palaeo.2013.12.014")</f>
        <v>http://dx.doi.org/10.1016/j.palaeo.2013.12.014</v>
      </c>
      <c r="BG292" t="s">
        <v>74</v>
      </c>
      <c r="BH292" t="s">
        <v>74</v>
      </c>
      <c r="BI292">
        <v>8</v>
      </c>
      <c r="BJ292" t="s">
        <v>1202</v>
      </c>
      <c r="BK292" t="s">
        <v>101</v>
      </c>
      <c r="BL292" t="s">
        <v>1203</v>
      </c>
      <c r="BM292" t="s">
        <v>5938</v>
      </c>
      <c r="BN292" t="s">
        <v>74</v>
      </c>
      <c r="BO292" t="s">
        <v>74</v>
      </c>
      <c r="BP292" t="s">
        <v>74</v>
      </c>
      <c r="BQ292" t="s">
        <v>74</v>
      </c>
      <c r="BR292" t="s">
        <v>104</v>
      </c>
      <c r="BS292" t="s">
        <v>5939</v>
      </c>
      <c r="BT292" t="str">
        <f>HYPERLINK("https%3A%2F%2Fwww.webofscience.com%2Fwos%2Fwoscc%2Ffull-record%2FWOS:000333494600003","View Full Record in Web of Science")</f>
        <v>View Full Record in Web of Science</v>
      </c>
    </row>
    <row r="293" spans="1:72" x14ac:dyDescent="0.15">
      <c r="A293" t="s">
        <v>72</v>
      </c>
      <c r="B293" t="s">
        <v>5940</v>
      </c>
      <c r="C293" t="s">
        <v>74</v>
      </c>
      <c r="D293" t="s">
        <v>74</v>
      </c>
      <c r="E293" t="s">
        <v>74</v>
      </c>
      <c r="F293" t="s">
        <v>5941</v>
      </c>
      <c r="G293" t="s">
        <v>74</v>
      </c>
      <c r="H293" t="s">
        <v>74</v>
      </c>
      <c r="I293" t="s">
        <v>5942</v>
      </c>
      <c r="J293" t="s">
        <v>5943</v>
      </c>
      <c r="K293" t="s">
        <v>74</v>
      </c>
      <c r="L293" t="s">
        <v>74</v>
      </c>
      <c r="M293" t="s">
        <v>78</v>
      </c>
      <c r="N293" t="s">
        <v>79</v>
      </c>
      <c r="O293" t="s">
        <v>74</v>
      </c>
      <c r="P293" t="s">
        <v>74</v>
      </c>
      <c r="Q293" t="s">
        <v>74</v>
      </c>
      <c r="R293" t="s">
        <v>74</v>
      </c>
      <c r="S293" t="s">
        <v>74</v>
      </c>
      <c r="T293" t="s">
        <v>74</v>
      </c>
      <c r="U293" t="s">
        <v>74</v>
      </c>
      <c r="V293" t="s">
        <v>5944</v>
      </c>
      <c r="W293" t="s">
        <v>5945</v>
      </c>
      <c r="X293" t="s">
        <v>3274</v>
      </c>
      <c r="Y293" t="s">
        <v>5946</v>
      </c>
      <c r="Z293" t="s">
        <v>5947</v>
      </c>
      <c r="AA293" t="s">
        <v>74</v>
      </c>
      <c r="AB293" t="s">
        <v>74</v>
      </c>
      <c r="AC293" t="s">
        <v>74</v>
      </c>
      <c r="AD293" t="s">
        <v>74</v>
      </c>
      <c r="AE293" t="s">
        <v>74</v>
      </c>
      <c r="AF293" t="s">
        <v>74</v>
      </c>
      <c r="AG293">
        <v>18</v>
      </c>
      <c r="AH293">
        <v>0</v>
      </c>
      <c r="AI293">
        <v>0</v>
      </c>
      <c r="AJ293">
        <v>0</v>
      </c>
      <c r="AK293">
        <v>3</v>
      </c>
      <c r="AL293" t="s">
        <v>5948</v>
      </c>
      <c r="AM293" t="s">
        <v>92</v>
      </c>
      <c r="AN293" t="s">
        <v>5949</v>
      </c>
      <c r="AO293" t="s">
        <v>5950</v>
      </c>
      <c r="AP293" t="s">
        <v>5951</v>
      </c>
      <c r="AQ293" t="s">
        <v>74</v>
      </c>
      <c r="AR293" t="s">
        <v>5952</v>
      </c>
      <c r="AS293" t="s">
        <v>5953</v>
      </c>
      <c r="AT293" t="s">
        <v>5362</v>
      </c>
      <c r="AU293">
        <v>2014</v>
      </c>
      <c r="AV293">
        <v>39</v>
      </c>
      <c r="AW293">
        <v>2</v>
      </c>
      <c r="AX293" t="s">
        <v>74</v>
      </c>
      <c r="AY293" t="s">
        <v>74</v>
      </c>
      <c r="AZ293" t="s">
        <v>74</v>
      </c>
      <c r="BA293" t="s">
        <v>74</v>
      </c>
      <c r="BB293">
        <v>93</v>
      </c>
      <c r="BC293">
        <v>99</v>
      </c>
      <c r="BD293" t="s">
        <v>74</v>
      </c>
      <c r="BE293" t="s">
        <v>5954</v>
      </c>
      <c r="BF293" t="str">
        <f>HYPERLINK("http://dx.doi.org/10.3103/S1068373914020046","http://dx.doi.org/10.3103/S1068373914020046")</f>
        <v>http://dx.doi.org/10.3103/S1068373914020046</v>
      </c>
      <c r="BG293" t="s">
        <v>74</v>
      </c>
      <c r="BH293" t="s">
        <v>74</v>
      </c>
      <c r="BI293">
        <v>7</v>
      </c>
      <c r="BJ293" t="s">
        <v>1391</v>
      </c>
      <c r="BK293" t="s">
        <v>101</v>
      </c>
      <c r="BL293" t="s">
        <v>1391</v>
      </c>
      <c r="BM293" t="s">
        <v>5955</v>
      </c>
      <c r="BN293" t="s">
        <v>74</v>
      </c>
      <c r="BO293" t="s">
        <v>74</v>
      </c>
      <c r="BP293" t="s">
        <v>74</v>
      </c>
      <c r="BQ293" t="s">
        <v>74</v>
      </c>
      <c r="BR293" t="s">
        <v>104</v>
      </c>
      <c r="BS293" t="s">
        <v>5956</v>
      </c>
      <c r="BT293" t="str">
        <f>HYPERLINK("https%3A%2F%2Fwww.webofscience.com%2Fwos%2Fwoscc%2Ffull-record%2FWOS:000333534500004","View Full Record in Web of Science")</f>
        <v>View Full Record in Web of Science</v>
      </c>
    </row>
    <row r="294" spans="1:72" x14ac:dyDescent="0.15">
      <c r="A294" t="s">
        <v>72</v>
      </c>
      <c r="B294" t="s">
        <v>5957</v>
      </c>
      <c r="C294" t="s">
        <v>74</v>
      </c>
      <c r="D294" t="s">
        <v>74</v>
      </c>
      <c r="E294" t="s">
        <v>74</v>
      </c>
      <c r="F294" t="s">
        <v>5958</v>
      </c>
      <c r="G294" t="s">
        <v>74</v>
      </c>
      <c r="H294" t="s">
        <v>74</v>
      </c>
      <c r="I294" t="s">
        <v>5959</v>
      </c>
      <c r="J294" t="s">
        <v>4041</v>
      </c>
      <c r="K294" t="s">
        <v>74</v>
      </c>
      <c r="L294" t="s">
        <v>74</v>
      </c>
      <c r="M294" t="s">
        <v>78</v>
      </c>
      <c r="N294" t="s">
        <v>79</v>
      </c>
      <c r="O294" t="s">
        <v>74</v>
      </c>
      <c r="P294" t="s">
        <v>74</v>
      </c>
      <c r="Q294" t="s">
        <v>74</v>
      </c>
      <c r="R294" t="s">
        <v>74</v>
      </c>
      <c r="S294" t="s">
        <v>74</v>
      </c>
      <c r="T294" t="s">
        <v>5960</v>
      </c>
      <c r="U294" t="s">
        <v>5961</v>
      </c>
      <c r="V294" t="s">
        <v>5962</v>
      </c>
      <c r="W294" t="s">
        <v>5963</v>
      </c>
      <c r="X294" t="s">
        <v>5964</v>
      </c>
      <c r="Y294" t="s">
        <v>5965</v>
      </c>
      <c r="Z294" t="s">
        <v>5966</v>
      </c>
      <c r="AA294" t="s">
        <v>5967</v>
      </c>
      <c r="AB294" t="s">
        <v>5968</v>
      </c>
      <c r="AC294" t="s">
        <v>5969</v>
      </c>
      <c r="AD294" t="s">
        <v>5970</v>
      </c>
      <c r="AE294" t="s">
        <v>5971</v>
      </c>
      <c r="AF294" t="s">
        <v>74</v>
      </c>
      <c r="AG294">
        <v>64</v>
      </c>
      <c r="AH294">
        <v>48</v>
      </c>
      <c r="AI294">
        <v>52</v>
      </c>
      <c r="AJ294">
        <v>1</v>
      </c>
      <c r="AK294">
        <v>65</v>
      </c>
      <c r="AL294" t="s">
        <v>568</v>
      </c>
      <c r="AM294" t="s">
        <v>447</v>
      </c>
      <c r="AN294" t="s">
        <v>569</v>
      </c>
      <c r="AO294" t="s">
        <v>4054</v>
      </c>
      <c r="AP294" t="s">
        <v>4055</v>
      </c>
      <c r="AQ294" t="s">
        <v>74</v>
      </c>
      <c r="AR294" t="s">
        <v>4056</v>
      </c>
      <c r="AS294" t="s">
        <v>4057</v>
      </c>
      <c r="AT294" t="s">
        <v>5362</v>
      </c>
      <c r="AU294">
        <v>2014</v>
      </c>
      <c r="AV294">
        <v>28</v>
      </c>
      <c r="AW294">
        <v>2</v>
      </c>
      <c r="AX294" t="s">
        <v>74</v>
      </c>
      <c r="AY294" t="s">
        <v>74</v>
      </c>
      <c r="AZ294" t="s">
        <v>74</v>
      </c>
      <c r="BA294" t="s">
        <v>74</v>
      </c>
      <c r="BB294">
        <v>115</v>
      </c>
      <c r="BC294">
        <v>130</v>
      </c>
      <c r="BD294" t="s">
        <v>74</v>
      </c>
      <c r="BE294" t="s">
        <v>5972</v>
      </c>
      <c r="BF294" t="str">
        <f>HYPERLINK("http://dx.doi.org/10.1002/2013GB004729","http://dx.doi.org/10.1002/2013GB004729")</f>
        <v>http://dx.doi.org/10.1002/2013GB004729</v>
      </c>
      <c r="BG294" t="s">
        <v>74</v>
      </c>
      <c r="BH294" t="s">
        <v>74</v>
      </c>
      <c r="BI294">
        <v>16</v>
      </c>
      <c r="BJ294" t="s">
        <v>4059</v>
      </c>
      <c r="BK294" t="s">
        <v>101</v>
      </c>
      <c r="BL294" t="s">
        <v>4060</v>
      </c>
      <c r="BM294" t="s">
        <v>5973</v>
      </c>
      <c r="BN294" t="s">
        <v>74</v>
      </c>
      <c r="BO294" t="s">
        <v>200</v>
      </c>
      <c r="BP294" t="s">
        <v>74</v>
      </c>
      <c r="BQ294" t="s">
        <v>74</v>
      </c>
      <c r="BR294" t="s">
        <v>104</v>
      </c>
      <c r="BS294" t="s">
        <v>5974</v>
      </c>
      <c r="BT294" t="str">
        <f>HYPERLINK("https%3A%2F%2Fwww.webofscience.com%2Fwos%2Fwoscc%2Ffull-record%2FWOS:000333014200004","View Full Record in Web of Science")</f>
        <v>View Full Record in Web of Science</v>
      </c>
    </row>
    <row r="295" spans="1:72" x14ac:dyDescent="0.15">
      <c r="A295" t="s">
        <v>72</v>
      </c>
      <c r="B295" t="s">
        <v>5975</v>
      </c>
      <c r="C295" t="s">
        <v>74</v>
      </c>
      <c r="D295" t="s">
        <v>74</v>
      </c>
      <c r="E295" t="s">
        <v>74</v>
      </c>
      <c r="F295" t="s">
        <v>5976</v>
      </c>
      <c r="G295" t="s">
        <v>74</v>
      </c>
      <c r="H295" t="s">
        <v>74</v>
      </c>
      <c r="I295" t="s">
        <v>5977</v>
      </c>
      <c r="J295" t="s">
        <v>581</v>
      </c>
      <c r="K295" t="s">
        <v>74</v>
      </c>
      <c r="L295" t="s">
        <v>74</v>
      </c>
      <c r="M295" t="s">
        <v>78</v>
      </c>
      <c r="N295" t="s">
        <v>2208</v>
      </c>
      <c r="O295" t="s">
        <v>74</v>
      </c>
      <c r="P295" t="s">
        <v>74</v>
      </c>
      <c r="Q295" t="s">
        <v>74</v>
      </c>
      <c r="R295" t="s">
        <v>74</v>
      </c>
      <c r="S295" t="s">
        <v>74</v>
      </c>
      <c r="T295" t="s">
        <v>74</v>
      </c>
      <c r="U295" t="s">
        <v>74</v>
      </c>
      <c r="V295" t="s">
        <v>74</v>
      </c>
      <c r="W295" t="s">
        <v>74</v>
      </c>
      <c r="X295" t="s">
        <v>74</v>
      </c>
      <c r="Y295" t="s">
        <v>74</v>
      </c>
      <c r="Z295" t="s">
        <v>74</v>
      </c>
      <c r="AA295" t="s">
        <v>5978</v>
      </c>
      <c r="AB295" t="s">
        <v>5979</v>
      </c>
      <c r="AC295" t="s">
        <v>74</v>
      </c>
      <c r="AD295" t="s">
        <v>74</v>
      </c>
      <c r="AE295" t="s">
        <v>74</v>
      </c>
      <c r="AF295" t="s">
        <v>74</v>
      </c>
      <c r="AG295">
        <v>1</v>
      </c>
      <c r="AH295">
        <v>0</v>
      </c>
      <c r="AI295">
        <v>0</v>
      </c>
      <c r="AJ295">
        <v>0</v>
      </c>
      <c r="AK295">
        <v>9</v>
      </c>
      <c r="AL295" t="s">
        <v>592</v>
      </c>
      <c r="AM295" t="s">
        <v>593</v>
      </c>
      <c r="AN295" t="s">
        <v>594</v>
      </c>
      <c r="AO295" t="s">
        <v>595</v>
      </c>
      <c r="AP295" t="s">
        <v>596</v>
      </c>
      <c r="AQ295" t="s">
        <v>74</v>
      </c>
      <c r="AR295" t="s">
        <v>581</v>
      </c>
      <c r="AS295" t="s">
        <v>597</v>
      </c>
      <c r="AT295" t="s">
        <v>5362</v>
      </c>
      <c r="AU295">
        <v>2014</v>
      </c>
      <c r="AV295">
        <v>42</v>
      </c>
      <c r="AW295">
        <v>2</v>
      </c>
      <c r="AX295" t="s">
        <v>74</v>
      </c>
      <c r="AY295" t="s">
        <v>74</v>
      </c>
      <c r="AZ295" t="s">
        <v>74</v>
      </c>
      <c r="BA295" t="s">
        <v>74</v>
      </c>
      <c r="BB295" t="s">
        <v>74</v>
      </c>
      <c r="BC295" t="s">
        <v>74</v>
      </c>
      <c r="BD295" t="s">
        <v>74</v>
      </c>
      <c r="BE295" t="s">
        <v>74</v>
      </c>
      <c r="BF295" t="s">
        <v>74</v>
      </c>
      <c r="BG295" t="s">
        <v>74</v>
      </c>
      <c r="BH295" t="s">
        <v>74</v>
      </c>
      <c r="BI295">
        <v>1</v>
      </c>
      <c r="BJ295" t="s">
        <v>597</v>
      </c>
      <c r="BK295" t="s">
        <v>101</v>
      </c>
      <c r="BL295" t="s">
        <v>597</v>
      </c>
      <c r="BM295" t="s">
        <v>5980</v>
      </c>
      <c r="BN295" t="s">
        <v>74</v>
      </c>
      <c r="BO295" t="s">
        <v>74</v>
      </c>
      <c r="BP295" t="s">
        <v>74</v>
      </c>
      <c r="BQ295" t="s">
        <v>74</v>
      </c>
      <c r="BR295" t="s">
        <v>104</v>
      </c>
      <c r="BS295" t="s">
        <v>5981</v>
      </c>
      <c r="BT295" t="str">
        <f>HYPERLINK("https%3A%2F%2Fwww.webofscience.com%2Fwos%2Fwoscc%2Ffull-record%2FWOS:000333243700018","View Full Record in Web of Science")</f>
        <v>View Full Record in Web of Science</v>
      </c>
    </row>
    <row r="296" spans="1:72" x14ac:dyDescent="0.15">
      <c r="A296" t="s">
        <v>72</v>
      </c>
      <c r="B296" t="s">
        <v>5982</v>
      </c>
      <c r="C296" t="s">
        <v>74</v>
      </c>
      <c r="D296" t="s">
        <v>74</v>
      </c>
      <c r="E296" t="s">
        <v>74</v>
      </c>
      <c r="F296" t="s">
        <v>5983</v>
      </c>
      <c r="G296" t="s">
        <v>74</v>
      </c>
      <c r="H296" t="s">
        <v>74</v>
      </c>
      <c r="I296" t="s">
        <v>5984</v>
      </c>
      <c r="J296" t="s">
        <v>5985</v>
      </c>
      <c r="K296" t="s">
        <v>74</v>
      </c>
      <c r="L296" t="s">
        <v>74</v>
      </c>
      <c r="M296" t="s">
        <v>78</v>
      </c>
      <c r="N296" t="s">
        <v>79</v>
      </c>
      <c r="O296" t="s">
        <v>74</v>
      </c>
      <c r="P296" t="s">
        <v>74</v>
      </c>
      <c r="Q296" t="s">
        <v>74</v>
      </c>
      <c r="R296" t="s">
        <v>74</v>
      </c>
      <c r="S296" t="s">
        <v>74</v>
      </c>
      <c r="T296" t="s">
        <v>5986</v>
      </c>
      <c r="U296" t="s">
        <v>5987</v>
      </c>
      <c r="V296" t="s">
        <v>5988</v>
      </c>
      <c r="W296" t="s">
        <v>5989</v>
      </c>
      <c r="X296" t="s">
        <v>5990</v>
      </c>
      <c r="Y296" t="s">
        <v>5991</v>
      </c>
      <c r="Z296" t="s">
        <v>5992</v>
      </c>
      <c r="AA296" t="s">
        <v>74</v>
      </c>
      <c r="AB296" t="s">
        <v>5993</v>
      </c>
      <c r="AC296" t="s">
        <v>5994</v>
      </c>
      <c r="AD296" t="s">
        <v>5995</v>
      </c>
      <c r="AE296" t="s">
        <v>5996</v>
      </c>
      <c r="AF296" t="s">
        <v>74</v>
      </c>
      <c r="AG296">
        <v>17</v>
      </c>
      <c r="AH296">
        <v>4</v>
      </c>
      <c r="AI296">
        <v>6</v>
      </c>
      <c r="AJ296">
        <v>0</v>
      </c>
      <c r="AK296">
        <v>9</v>
      </c>
      <c r="AL296" t="s">
        <v>5997</v>
      </c>
      <c r="AM296" t="s">
        <v>5998</v>
      </c>
      <c r="AN296" t="s">
        <v>5999</v>
      </c>
      <c r="AO296" t="s">
        <v>6000</v>
      </c>
      <c r="AP296" t="s">
        <v>74</v>
      </c>
      <c r="AQ296" t="s">
        <v>74</v>
      </c>
      <c r="AR296" t="s">
        <v>6001</v>
      </c>
      <c r="AS296" t="s">
        <v>6002</v>
      </c>
      <c r="AT296" t="s">
        <v>5362</v>
      </c>
      <c r="AU296">
        <v>2014</v>
      </c>
      <c r="AV296">
        <v>60</v>
      </c>
      <c r="AW296">
        <v>1</v>
      </c>
      <c r="AX296" t="s">
        <v>74</v>
      </c>
      <c r="AY296" t="s">
        <v>74</v>
      </c>
      <c r="AZ296" t="s">
        <v>74</v>
      </c>
      <c r="BA296" t="s">
        <v>74</v>
      </c>
      <c r="BB296">
        <v>62</v>
      </c>
      <c r="BC296">
        <v>67</v>
      </c>
      <c r="BD296" t="s">
        <v>74</v>
      </c>
      <c r="BE296" t="s">
        <v>6003</v>
      </c>
      <c r="BF296" t="str">
        <f>HYPERLINK("http://dx.doi.org/10.1262/jrd.2013-063","http://dx.doi.org/10.1262/jrd.2013-063")</f>
        <v>http://dx.doi.org/10.1262/jrd.2013-063</v>
      </c>
      <c r="BG296" t="s">
        <v>74</v>
      </c>
      <c r="BH296" t="s">
        <v>74</v>
      </c>
      <c r="BI296">
        <v>6</v>
      </c>
      <c r="BJ296" t="s">
        <v>6004</v>
      </c>
      <c r="BK296" t="s">
        <v>101</v>
      </c>
      <c r="BL296" t="s">
        <v>6005</v>
      </c>
      <c r="BM296" t="s">
        <v>6006</v>
      </c>
      <c r="BN296">
        <v>24351524</v>
      </c>
      <c r="BO296" t="s">
        <v>2213</v>
      </c>
      <c r="BP296" t="s">
        <v>74</v>
      </c>
      <c r="BQ296" t="s">
        <v>74</v>
      </c>
      <c r="BR296" t="s">
        <v>104</v>
      </c>
      <c r="BS296" t="s">
        <v>6007</v>
      </c>
      <c r="BT296" t="str">
        <f>HYPERLINK("https%3A%2F%2Fwww.webofscience.com%2Fwos%2Fwoscc%2Ffull-record%2FWOS:000332437100010","View Full Record in Web of Science")</f>
        <v>View Full Record in Web of Science</v>
      </c>
    </row>
    <row r="297" spans="1:72" x14ac:dyDescent="0.15">
      <c r="A297" t="s">
        <v>72</v>
      </c>
      <c r="B297" t="s">
        <v>6008</v>
      </c>
      <c r="C297" t="s">
        <v>74</v>
      </c>
      <c r="D297" t="s">
        <v>74</v>
      </c>
      <c r="E297" t="s">
        <v>74</v>
      </c>
      <c r="F297" t="s">
        <v>6009</v>
      </c>
      <c r="G297" t="s">
        <v>74</v>
      </c>
      <c r="H297" t="s">
        <v>74</v>
      </c>
      <c r="I297" t="s">
        <v>6010</v>
      </c>
      <c r="J297" t="s">
        <v>6011</v>
      </c>
      <c r="K297" t="s">
        <v>74</v>
      </c>
      <c r="L297" t="s">
        <v>74</v>
      </c>
      <c r="M297" t="s">
        <v>78</v>
      </c>
      <c r="N297" t="s">
        <v>79</v>
      </c>
      <c r="O297" t="s">
        <v>74</v>
      </c>
      <c r="P297" t="s">
        <v>74</v>
      </c>
      <c r="Q297" t="s">
        <v>74</v>
      </c>
      <c r="R297" t="s">
        <v>74</v>
      </c>
      <c r="S297" t="s">
        <v>74</v>
      </c>
      <c r="T297" t="s">
        <v>6012</v>
      </c>
      <c r="U297" t="s">
        <v>6013</v>
      </c>
      <c r="V297" t="s">
        <v>6014</v>
      </c>
      <c r="W297" t="s">
        <v>6015</v>
      </c>
      <c r="X297" t="s">
        <v>6016</v>
      </c>
      <c r="Y297" t="s">
        <v>6017</v>
      </c>
      <c r="Z297" t="s">
        <v>6018</v>
      </c>
      <c r="AA297" t="s">
        <v>6019</v>
      </c>
      <c r="AB297" t="s">
        <v>6020</v>
      </c>
      <c r="AC297" t="s">
        <v>6021</v>
      </c>
      <c r="AD297" t="s">
        <v>6022</v>
      </c>
      <c r="AE297" t="s">
        <v>6023</v>
      </c>
      <c r="AF297" t="s">
        <v>74</v>
      </c>
      <c r="AG297">
        <v>15</v>
      </c>
      <c r="AH297">
        <v>15</v>
      </c>
      <c r="AI297">
        <v>17</v>
      </c>
      <c r="AJ297">
        <v>0</v>
      </c>
      <c r="AK297">
        <v>23</v>
      </c>
      <c r="AL297" t="s">
        <v>6024</v>
      </c>
      <c r="AM297" t="s">
        <v>6025</v>
      </c>
      <c r="AN297" t="s">
        <v>6026</v>
      </c>
      <c r="AO297" t="s">
        <v>6027</v>
      </c>
      <c r="AP297" t="s">
        <v>6028</v>
      </c>
      <c r="AQ297" t="s">
        <v>74</v>
      </c>
      <c r="AR297" t="s">
        <v>6011</v>
      </c>
      <c r="AS297" t="s">
        <v>6029</v>
      </c>
      <c r="AT297" t="s">
        <v>5362</v>
      </c>
      <c r="AU297">
        <v>2014</v>
      </c>
      <c r="AV297">
        <v>68</v>
      </c>
      <c r="AW297">
        <v>1</v>
      </c>
      <c r="AX297" t="s">
        <v>74</v>
      </c>
      <c r="AY297" t="s">
        <v>74</v>
      </c>
      <c r="AZ297" t="s">
        <v>74</v>
      </c>
      <c r="BA297" t="s">
        <v>74</v>
      </c>
      <c r="BB297">
        <v>159</v>
      </c>
      <c r="BC297">
        <v>161</v>
      </c>
      <c r="BD297" t="s">
        <v>74</v>
      </c>
      <c r="BE297" t="s">
        <v>6030</v>
      </c>
      <c r="BF297" t="str">
        <f>HYPERLINK("http://dx.doi.org/10.1016/j.cryobiol.2013.10.008","http://dx.doi.org/10.1016/j.cryobiol.2013.10.008")</f>
        <v>http://dx.doi.org/10.1016/j.cryobiol.2013.10.008</v>
      </c>
      <c r="BG297" t="s">
        <v>74</v>
      </c>
      <c r="BH297" t="s">
        <v>74</v>
      </c>
      <c r="BI297">
        <v>3</v>
      </c>
      <c r="BJ297" t="s">
        <v>6031</v>
      </c>
      <c r="BK297" t="s">
        <v>101</v>
      </c>
      <c r="BL297" t="s">
        <v>6032</v>
      </c>
      <c r="BM297" t="s">
        <v>6033</v>
      </c>
      <c r="BN297">
        <v>24201106</v>
      </c>
      <c r="BO297" t="s">
        <v>74</v>
      </c>
      <c r="BP297" t="s">
        <v>74</v>
      </c>
      <c r="BQ297" t="s">
        <v>74</v>
      </c>
      <c r="BR297" t="s">
        <v>104</v>
      </c>
      <c r="BS297" t="s">
        <v>6034</v>
      </c>
      <c r="BT297" t="str">
        <f>HYPERLINK("https%3A%2F%2Fwww.webofscience.com%2Fwos%2Fwoscc%2Ffull-record%2FWOS:000332190100024","View Full Record in Web of Science")</f>
        <v>View Full Record in Web of Science</v>
      </c>
    </row>
    <row r="298" spans="1:72" x14ac:dyDescent="0.15">
      <c r="A298" t="s">
        <v>72</v>
      </c>
      <c r="B298" t="s">
        <v>6035</v>
      </c>
      <c r="C298" t="s">
        <v>74</v>
      </c>
      <c r="D298" t="s">
        <v>74</v>
      </c>
      <c r="E298" t="s">
        <v>74</v>
      </c>
      <c r="F298" t="s">
        <v>6036</v>
      </c>
      <c r="G298" t="s">
        <v>74</v>
      </c>
      <c r="H298" t="s">
        <v>74</v>
      </c>
      <c r="I298" t="s">
        <v>6037</v>
      </c>
      <c r="J298" t="s">
        <v>3223</v>
      </c>
      <c r="K298" t="s">
        <v>74</v>
      </c>
      <c r="L298" t="s">
        <v>74</v>
      </c>
      <c r="M298" t="s">
        <v>78</v>
      </c>
      <c r="N298" t="s">
        <v>79</v>
      </c>
      <c r="O298" t="s">
        <v>74</v>
      </c>
      <c r="P298" t="s">
        <v>74</v>
      </c>
      <c r="Q298" t="s">
        <v>74</v>
      </c>
      <c r="R298" t="s">
        <v>74</v>
      </c>
      <c r="S298" t="s">
        <v>74</v>
      </c>
      <c r="T298" t="s">
        <v>6038</v>
      </c>
      <c r="U298" t="s">
        <v>6039</v>
      </c>
      <c r="V298" t="s">
        <v>6040</v>
      </c>
      <c r="W298" t="s">
        <v>6041</v>
      </c>
      <c r="X298" t="s">
        <v>6042</v>
      </c>
      <c r="Y298" t="s">
        <v>6043</v>
      </c>
      <c r="Z298" t="s">
        <v>6044</v>
      </c>
      <c r="AA298" t="s">
        <v>6045</v>
      </c>
      <c r="AB298" t="s">
        <v>6046</v>
      </c>
      <c r="AC298" t="s">
        <v>6047</v>
      </c>
      <c r="AD298" t="s">
        <v>6048</v>
      </c>
      <c r="AE298" t="s">
        <v>6049</v>
      </c>
      <c r="AF298" t="s">
        <v>74</v>
      </c>
      <c r="AG298">
        <v>26</v>
      </c>
      <c r="AH298">
        <v>10</v>
      </c>
      <c r="AI298">
        <v>11</v>
      </c>
      <c r="AJ298">
        <v>0</v>
      </c>
      <c r="AK298">
        <v>18</v>
      </c>
      <c r="AL298" t="s">
        <v>946</v>
      </c>
      <c r="AM298" t="s">
        <v>522</v>
      </c>
      <c r="AN298" t="s">
        <v>947</v>
      </c>
      <c r="AO298" t="s">
        <v>3236</v>
      </c>
      <c r="AP298" t="s">
        <v>3237</v>
      </c>
      <c r="AQ298" t="s">
        <v>74</v>
      </c>
      <c r="AR298" t="s">
        <v>3238</v>
      </c>
      <c r="AS298" t="s">
        <v>3239</v>
      </c>
      <c r="AT298" t="s">
        <v>5362</v>
      </c>
      <c r="AU298">
        <v>2014</v>
      </c>
      <c r="AV298">
        <v>108</v>
      </c>
      <c r="AW298" t="s">
        <v>74</v>
      </c>
      <c r="AX298" t="s">
        <v>74</v>
      </c>
      <c r="AY298" t="s">
        <v>74</v>
      </c>
      <c r="AZ298" t="s">
        <v>74</v>
      </c>
      <c r="BA298" t="s">
        <v>74</v>
      </c>
      <c r="BB298">
        <v>50</v>
      </c>
      <c r="BC298">
        <v>60</v>
      </c>
      <c r="BD298" t="s">
        <v>74</v>
      </c>
      <c r="BE298" t="s">
        <v>6050</v>
      </c>
      <c r="BF298" t="str">
        <f>HYPERLINK("http://dx.doi.org/10.1016/j.jastp.2013.12.004","http://dx.doi.org/10.1016/j.jastp.2013.12.004")</f>
        <v>http://dx.doi.org/10.1016/j.jastp.2013.12.004</v>
      </c>
      <c r="BG298" t="s">
        <v>74</v>
      </c>
      <c r="BH298" t="s">
        <v>74</v>
      </c>
      <c r="BI298">
        <v>11</v>
      </c>
      <c r="BJ298" t="s">
        <v>3241</v>
      </c>
      <c r="BK298" t="s">
        <v>101</v>
      </c>
      <c r="BL298" t="s">
        <v>3241</v>
      </c>
      <c r="BM298" t="s">
        <v>6051</v>
      </c>
      <c r="BN298" t="s">
        <v>74</v>
      </c>
      <c r="BO298" t="s">
        <v>74</v>
      </c>
      <c r="BP298" t="s">
        <v>74</v>
      </c>
      <c r="BQ298" t="s">
        <v>74</v>
      </c>
      <c r="BR298" t="s">
        <v>104</v>
      </c>
      <c r="BS298" t="s">
        <v>6052</v>
      </c>
      <c r="BT298" t="str">
        <f>HYPERLINK("https%3A%2F%2Fwww.webofscience.com%2Fwos%2Fwoscc%2Ffull-record%2FWOS:000331684900006","View Full Record in Web of Science")</f>
        <v>View Full Record in Web of Science</v>
      </c>
    </row>
    <row r="299" spans="1:72" x14ac:dyDescent="0.15">
      <c r="A299" t="s">
        <v>72</v>
      </c>
      <c r="B299" t="s">
        <v>6053</v>
      </c>
      <c r="C299" t="s">
        <v>74</v>
      </c>
      <c r="D299" t="s">
        <v>74</v>
      </c>
      <c r="E299" t="s">
        <v>74</v>
      </c>
      <c r="F299" t="s">
        <v>6054</v>
      </c>
      <c r="G299" t="s">
        <v>74</v>
      </c>
      <c r="H299" t="s">
        <v>74</v>
      </c>
      <c r="I299" t="s">
        <v>6055</v>
      </c>
      <c r="J299" t="s">
        <v>840</v>
      </c>
      <c r="K299" t="s">
        <v>74</v>
      </c>
      <c r="L299" t="s">
        <v>74</v>
      </c>
      <c r="M299" t="s">
        <v>78</v>
      </c>
      <c r="N299" t="s">
        <v>933</v>
      </c>
      <c r="O299" t="s">
        <v>74</v>
      </c>
      <c r="P299" t="s">
        <v>74</v>
      </c>
      <c r="Q299" t="s">
        <v>74</v>
      </c>
      <c r="R299" t="s">
        <v>74</v>
      </c>
      <c r="S299" t="s">
        <v>74</v>
      </c>
      <c r="T299" t="s">
        <v>6056</v>
      </c>
      <c r="U299" t="s">
        <v>6057</v>
      </c>
      <c r="V299" t="s">
        <v>6058</v>
      </c>
      <c r="W299" t="s">
        <v>6059</v>
      </c>
      <c r="X299" t="s">
        <v>6060</v>
      </c>
      <c r="Y299" t="s">
        <v>6061</v>
      </c>
      <c r="Z299" t="s">
        <v>6062</v>
      </c>
      <c r="AA299" t="s">
        <v>6063</v>
      </c>
      <c r="AB299" t="s">
        <v>6064</v>
      </c>
      <c r="AC299" t="s">
        <v>6065</v>
      </c>
      <c r="AD299" t="s">
        <v>6066</v>
      </c>
      <c r="AE299" t="s">
        <v>6067</v>
      </c>
      <c r="AF299" t="s">
        <v>74</v>
      </c>
      <c r="AG299">
        <v>99</v>
      </c>
      <c r="AH299">
        <v>50</v>
      </c>
      <c r="AI299">
        <v>57</v>
      </c>
      <c r="AJ299">
        <v>1</v>
      </c>
      <c r="AK299">
        <v>25</v>
      </c>
      <c r="AL299" t="s">
        <v>403</v>
      </c>
      <c r="AM299" t="s">
        <v>404</v>
      </c>
      <c r="AN299" t="s">
        <v>405</v>
      </c>
      <c r="AO299" t="s">
        <v>852</v>
      </c>
      <c r="AP299" t="s">
        <v>853</v>
      </c>
      <c r="AQ299" t="s">
        <v>74</v>
      </c>
      <c r="AR299" t="s">
        <v>854</v>
      </c>
      <c r="AS299" t="s">
        <v>855</v>
      </c>
      <c r="AT299" t="s">
        <v>5362</v>
      </c>
      <c r="AU299">
        <v>2014</v>
      </c>
      <c r="AV299">
        <v>50</v>
      </c>
      <c r="AW299">
        <v>1</v>
      </c>
      <c r="AX299" t="s">
        <v>74</v>
      </c>
      <c r="AY299" t="s">
        <v>74</v>
      </c>
      <c r="AZ299" t="s">
        <v>74</v>
      </c>
      <c r="BA299" t="s">
        <v>74</v>
      </c>
      <c r="BB299">
        <v>1</v>
      </c>
      <c r="BC299">
        <v>10</v>
      </c>
      <c r="BD299" t="s">
        <v>74</v>
      </c>
      <c r="BE299" t="s">
        <v>6068</v>
      </c>
      <c r="BF299" t="str">
        <f>HYPERLINK("http://dx.doi.org/10.1111/jpy.12137","http://dx.doi.org/10.1111/jpy.12137")</f>
        <v>http://dx.doi.org/10.1111/jpy.12137</v>
      </c>
      <c r="BG299" t="s">
        <v>74</v>
      </c>
      <c r="BH299" t="s">
        <v>74</v>
      </c>
      <c r="BI299">
        <v>10</v>
      </c>
      <c r="BJ299" t="s">
        <v>857</v>
      </c>
      <c r="BK299" t="s">
        <v>101</v>
      </c>
      <c r="BL299" t="s">
        <v>857</v>
      </c>
      <c r="BM299" t="s">
        <v>6069</v>
      </c>
      <c r="BN299">
        <v>26988003</v>
      </c>
      <c r="BO299" t="s">
        <v>74</v>
      </c>
      <c r="BP299" t="s">
        <v>74</v>
      </c>
      <c r="BQ299" t="s">
        <v>74</v>
      </c>
      <c r="BR299" t="s">
        <v>104</v>
      </c>
      <c r="BS299" t="s">
        <v>6070</v>
      </c>
      <c r="BT299" t="str">
        <f>HYPERLINK("https%3A%2F%2Fwww.webofscience.com%2Fwos%2Fwoscc%2Ffull-record%2FWOS:000332001200001","View Full Record in Web of Science")</f>
        <v>View Full Record in Web of Science</v>
      </c>
    </row>
    <row r="300" spans="1:72" x14ac:dyDescent="0.15">
      <c r="A300" t="s">
        <v>72</v>
      </c>
      <c r="B300" t="s">
        <v>6071</v>
      </c>
      <c r="C300" t="s">
        <v>74</v>
      </c>
      <c r="D300" t="s">
        <v>74</v>
      </c>
      <c r="E300" t="s">
        <v>74</v>
      </c>
      <c r="F300" t="s">
        <v>6072</v>
      </c>
      <c r="G300" t="s">
        <v>74</v>
      </c>
      <c r="H300" t="s">
        <v>74</v>
      </c>
      <c r="I300" t="s">
        <v>6073</v>
      </c>
      <c r="J300" t="s">
        <v>840</v>
      </c>
      <c r="K300" t="s">
        <v>74</v>
      </c>
      <c r="L300" t="s">
        <v>74</v>
      </c>
      <c r="M300" t="s">
        <v>78</v>
      </c>
      <c r="N300" t="s">
        <v>79</v>
      </c>
      <c r="O300" t="s">
        <v>74</v>
      </c>
      <c r="P300" t="s">
        <v>74</v>
      </c>
      <c r="Q300" t="s">
        <v>74</v>
      </c>
      <c r="R300" t="s">
        <v>74</v>
      </c>
      <c r="S300" t="s">
        <v>74</v>
      </c>
      <c r="T300" t="s">
        <v>6074</v>
      </c>
      <c r="U300" t="s">
        <v>6075</v>
      </c>
      <c r="V300" t="s">
        <v>6076</v>
      </c>
      <c r="W300" t="s">
        <v>6077</v>
      </c>
      <c r="X300" t="s">
        <v>6078</v>
      </c>
      <c r="Y300" t="s">
        <v>6079</v>
      </c>
      <c r="Z300" t="s">
        <v>6080</v>
      </c>
      <c r="AA300" t="s">
        <v>6081</v>
      </c>
      <c r="AB300" t="s">
        <v>6064</v>
      </c>
      <c r="AC300" t="s">
        <v>6082</v>
      </c>
      <c r="AD300" t="s">
        <v>6083</v>
      </c>
      <c r="AE300" t="s">
        <v>6084</v>
      </c>
      <c r="AF300" t="s">
        <v>74</v>
      </c>
      <c r="AG300">
        <v>71</v>
      </c>
      <c r="AH300">
        <v>32</v>
      </c>
      <c r="AI300">
        <v>34</v>
      </c>
      <c r="AJ300">
        <v>0</v>
      </c>
      <c r="AK300">
        <v>28</v>
      </c>
      <c r="AL300" t="s">
        <v>403</v>
      </c>
      <c r="AM300" t="s">
        <v>404</v>
      </c>
      <c r="AN300" t="s">
        <v>405</v>
      </c>
      <c r="AO300" t="s">
        <v>852</v>
      </c>
      <c r="AP300" t="s">
        <v>853</v>
      </c>
      <c r="AQ300" t="s">
        <v>74</v>
      </c>
      <c r="AR300" t="s">
        <v>854</v>
      </c>
      <c r="AS300" t="s">
        <v>855</v>
      </c>
      <c r="AT300" t="s">
        <v>5362</v>
      </c>
      <c r="AU300">
        <v>2014</v>
      </c>
      <c r="AV300">
        <v>50</v>
      </c>
      <c r="AW300">
        <v>1</v>
      </c>
      <c r="AX300" t="s">
        <v>74</v>
      </c>
      <c r="AY300" t="s">
        <v>74</v>
      </c>
      <c r="AZ300" t="s">
        <v>74</v>
      </c>
      <c r="BA300" t="s">
        <v>74</v>
      </c>
      <c r="BB300">
        <v>71</v>
      </c>
      <c r="BC300">
        <v>80</v>
      </c>
      <c r="BD300" t="s">
        <v>74</v>
      </c>
      <c r="BE300" t="s">
        <v>6085</v>
      </c>
      <c r="BF300" t="str">
        <f>HYPERLINK("http://dx.doi.org/10.1111/jpy.12127","http://dx.doi.org/10.1111/jpy.12127")</f>
        <v>http://dx.doi.org/10.1111/jpy.12127</v>
      </c>
      <c r="BG300" t="s">
        <v>74</v>
      </c>
      <c r="BH300" t="s">
        <v>74</v>
      </c>
      <c r="BI300">
        <v>10</v>
      </c>
      <c r="BJ300" t="s">
        <v>857</v>
      </c>
      <c r="BK300" t="s">
        <v>101</v>
      </c>
      <c r="BL300" t="s">
        <v>857</v>
      </c>
      <c r="BM300" t="s">
        <v>6069</v>
      </c>
      <c r="BN300">
        <v>26988009</v>
      </c>
      <c r="BO300" t="s">
        <v>74</v>
      </c>
      <c r="BP300" t="s">
        <v>74</v>
      </c>
      <c r="BQ300" t="s">
        <v>74</v>
      </c>
      <c r="BR300" t="s">
        <v>104</v>
      </c>
      <c r="BS300" t="s">
        <v>6086</v>
      </c>
      <c r="BT300" t="str">
        <f>HYPERLINK("https%3A%2F%2Fwww.webofscience.com%2Fwos%2Fwoscc%2Ffull-record%2FWOS:000332001200007","View Full Record in Web of Science")</f>
        <v>View Full Record in Web of Science</v>
      </c>
    </row>
    <row r="301" spans="1:72" x14ac:dyDescent="0.15">
      <c r="A301" t="s">
        <v>72</v>
      </c>
      <c r="B301" t="s">
        <v>6087</v>
      </c>
      <c r="C301" t="s">
        <v>74</v>
      </c>
      <c r="D301" t="s">
        <v>74</v>
      </c>
      <c r="E301" t="s">
        <v>74</v>
      </c>
      <c r="F301" t="s">
        <v>6088</v>
      </c>
      <c r="G301" t="s">
        <v>74</v>
      </c>
      <c r="H301" t="s">
        <v>74</v>
      </c>
      <c r="I301" t="s">
        <v>6089</v>
      </c>
      <c r="J301" t="s">
        <v>2763</v>
      </c>
      <c r="K301" t="s">
        <v>74</v>
      </c>
      <c r="L301" t="s">
        <v>74</v>
      </c>
      <c r="M301" t="s">
        <v>78</v>
      </c>
      <c r="N301" t="s">
        <v>79</v>
      </c>
      <c r="O301" t="s">
        <v>74</v>
      </c>
      <c r="P301" t="s">
        <v>74</v>
      </c>
      <c r="Q301" t="s">
        <v>74</v>
      </c>
      <c r="R301" t="s">
        <v>74</v>
      </c>
      <c r="S301" t="s">
        <v>74</v>
      </c>
      <c r="T301" t="s">
        <v>6090</v>
      </c>
      <c r="U301" t="s">
        <v>6091</v>
      </c>
      <c r="V301" t="s">
        <v>6092</v>
      </c>
      <c r="W301" t="s">
        <v>6093</v>
      </c>
      <c r="X301" t="s">
        <v>6094</v>
      </c>
      <c r="Y301" t="s">
        <v>6095</v>
      </c>
      <c r="Z301" t="s">
        <v>6096</v>
      </c>
      <c r="AA301" t="s">
        <v>6097</v>
      </c>
      <c r="AB301" t="s">
        <v>6098</v>
      </c>
      <c r="AC301" t="s">
        <v>6099</v>
      </c>
      <c r="AD301" t="s">
        <v>6099</v>
      </c>
      <c r="AE301" t="s">
        <v>6100</v>
      </c>
      <c r="AF301" t="s">
        <v>74</v>
      </c>
      <c r="AG301">
        <v>89</v>
      </c>
      <c r="AH301">
        <v>12</v>
      </c>
      <c r="AI301">
        <v>12</v>
      </c>
      <c r="AJ301">
        <v>1</v>
      </c>
      <c r="AK301">
        <v>29</v>
      </c>
      <c r="AL301" t="s">
        <v>652</v>
      </c>
      <c r="AM301" t="s">
        <v>653</v>
      </c>
      <c r="AN301" t="s">
        <v>654</v>
      </c>
      <c r="AO301" t="s">
        <v>2774</v>
      </c>
      <c r="AP301" t="s">
        <v>2775</v>
      </c>
      <c r="AQ301" t="s">
        <v>74</v>
      </c>
      <c r="AR301" t="s">
        <v>2763</v>
      </c>
      <c r="AS301" t="s">
        <v>2776</v>
      </c>
      <c r="AT301" t="s">
        <v>5936</v>
      </c>
      <c r="AU301">
        <v>2014</v>
      </c>
      <c r="AV301">
        <v>188</v>
      </c>
      <c r="AW301" t="s">
        <v>74</v>
      </c>
      <c r="AX301" t="s">
        <v>74</v>
      </c>
      <c r="AY301" t="s">
        <v>74</v>
      </c>
      <c r="AZ301" t="s">
        <v>74</v>
      </c>
      <c r="BA301" t="s">
        <v>74</v>
      </c>
      <c r="BB301">
        <v>72</v>
      </c>
      <c r="BC301">
        <v>83</v>
      </c>
      <c r="BD301" t="s">
        <v>74</v>
      </c>
      <c r="BE301" t="s">
        <v>6101</v>
      </c>
      <c r="BF301" t="str">
        <f>HYPERLINK("http://dx.doi.org/10.1016/j.lithos.2013.10.032","http://dx.doi.org/10.1016/j.lithos.2013.10.032")</f>
        <v>http://dx.doi.org/10.1016/j.lithos.2013.10.032</v>
      </c>
      <c r="BG301" t="s">
        <v>74</v>
      </c>
      <c r="BH301" t="s">
        <v>74</v>
      </c>
      <c r="BI301">
        <v>12</v>
      </c>
      <c r="BJ301" t="s">
        <v>2778</v>
      </c>
      <c r="BK301" t="s">
        <v>101</v>
      </c>
      <c r="BL301" t="s">
        <v>2778</v>
      </c>
      <c r="BM301" t="s">
        <v>6102</v>
      </c>
      <c r="BN301" t="s">
        <v>74</v>
      </c>
      <c r="BO301" t="s">
        <v>74</v>
      </c>
      <c r="BP301" t="s">
        <v>74</v>
      </c>
      <c r="BQ301" t="s">
        <v>74</v>
      </c>
      <c r="BR301" t="s">
        <v>104</v>
      </c>
      <c r="BS301" t="s">
        <v>6103</v>
      </c>
      <c r="BT301" t="str">
        <f>HYPERLINK("https%3A%2F%2Fwww.webofscience.com%2Fwos%2Fwoscc%2Ffull-record%2FWOS:000332195100007","View Full Record in Web of Science")</f>
        <v>View Full Record in Web of Science</v>
      </c>
    </row>
    <row r="302" spans="1:72" x14ac:dyDescent="0.15">
      <c r="A302" t="s">
        <v>72</v>
      </c>
      <c r="B302" t="s">
        <v>6104</v>
      </c>
      <c r="C302" t="s">
        <v>74</v>
      </c>
      <c r="D302" t="s">
        <v>74</v>
      </c>
      <c r="E302" t="s">
        <v>74</v>
      </c>
      <c r="F302" t="s">
        <v>6105</v>
      </c>
      <c r="G302" t="s">
        <v>74</v>
      </c>
      <c r="H302" t="s">
        <v>74</v>
      </c>
      <c r="I302" t="s">
        <v>6106</v>
      </c>
      <c r="J302" t="s">
        <v>2654</v>
      </c>
      <c r="K302" t="s">
        <v>74</v>
      </c>
      <c r="L302" t="s">
        <v>74</v>
      </c>
      <c r="M302" t="s">
        <v>78</v>
      </c>
      <c r="N302" t="s">
        <v>79</v>
      </c>
      <c r="O302" t="s">
        <v>74</v>
      </c>
      <c r="P302" t="s">
        <v>74</v>
      </c>
      <c r="Q302" t="s">
        <v>74</v>
      </c>
      <c r="R302" t="s">
        <v>74</v>
      </c>
      <c r="S302" t="s">
        <v>74</v>
      </c>
      <c r="T302" t="s">
        <v>74</v>
      </c>
      <c r="U302" t="s">
        <v>6107</v>
      </c>
      <c r="V302" t="s">
        <v>6108</v>
      </c>
      <c r="W302" t="s">
        <v>6109</v>
      </c>
      <c r="X302" t="s">
        <v>6110</v>
      </c>
      <c r="Y302" t="s">
        <v>6111</v>
      </c>
      <c r="Z302" t="s">
        <v>6112</v>
      </c>
      <c r="AA302" t="s">
        <v>6113</v>
      </c>
      <c r="AB302" t="s">
        <v>6114</v>
      </c>
      <c r="AC302" t="s">
        <v>6115</v>
      </c>
      <c r="AD302" t="s">
        <v>6116</v>
      </c>
      <c r="AE302" t="s">
        <v>6117</v>
      </c>
      <c r="AF302" t="s">
        <v>74</v>
      </c>
      <c r="AG302">
        <v>12</v>
      </c>
      <c r="AH302">
        <v>5</v>
      </c>
      <c r="AI302">
        <v>5</v>
      </c>
      <c r="AJ302">
        <v>0</v>
      </c>
      <c r="AK302">
        <v>5</v>
      </c>
      <c r="AL302" t="s">
        <v>2666</v>
      </c>
      <c r="AM302" t="s">
        <v>92</v>
      </c>
      <c r="AN302" t="s">
        <v>2667</v>
      </c>
      <c r="AO302" t="s">
        <v>2668</v>
      </c>
      <c r="AP302" t="s">
        <v>2669</v>
      </c>
      <c r="AQ302" t="s">
        <v>74</v>
      </c>
      <c r="AR302" t="s">
        <v>2670</v>
      </c>
      <c r="AS302" t="s">
        <v>2671</v>
      </c>
      <c r="AT302" t="s">
        <v>5362</v>
      </c>
      <c r="AU302">
        <v>2014</v>
      </c>
      <c r="AV302">
        <v>54</v>
      </c>
      <c r="AW302">
        <v>1</v>
      </c>
      <c r="AX302" t="s">
        <v>74</v>
      </c>
      <c r="AY302" t="s">
        <v>74</v>
      </c>
      <c r="AZ302" t="s">
        <v>74</v>
      </c>
      <c r="BA302" t="s">
        <v>74</v>
      </c>
      <c r="BB302">
        <v>1</v>
      </c>
      <c r="BC302">
        <v>7</v>
      </c>
      <c r="BD302" t="s">
        <v>74</v>
      </c>
      <c r="BE302" t="s">
        <v>6118</v>
      </c>
      <c r="BF302" t="str">
        <f>HYPERLINK("http://dx.doi.org/10.1134/S000143701401010X","http://dx.doi.org/10.1134/S000143701401010X")</f>
        <v>http://dx.doi.org/10.1134/S000143701401010X</v>
      </c>
      <c r="BG302" t="s">
        <v>74</v>
      </c>
      <c r="BH302" t="s">
        <v>74</v>
      </c>
      <c r="BI302">
        <v>7</v>
      </c>
      <c r="BJ302" t="s">
        <v>785</v>
      </c>
      <c r="BK302" t="s">
        <v>101</v>
      </c>
      <c r="BL302" t="s">
        <v>785</v>
      </c>
      <c r="BM302" t="s">
        <v>6119</v>
      </c>
      <c r="BN302" t="s">
        <v>74</v>
      </c>
      <c r="BO302" t="s">
        <v>74</v>
      </c>
      <c r="BP302" t="s">
        <v>74</v>
      </c>
      <c r="BQ302" t="s">
        <v>74</v>
      </c>
      <c r="BR302" t="s">
        <v>104</v>
      </c>
      <c r="BS302" t="s">
        <v>6120</v>
      </c>
      <c r="BT302" t="str">
        <f>HYPERLINK("https%3A%2F%2Fwww.webofscience.com%2Fwos%2Fwoscc%2Ffull-record%2FWOS:000332335100001","View Full Record in Web of Science")</f>
        <v>View Full Record in Web of Science</v>
      </c>
    </row>
    <row r="303" spans="1:72" x14ac:dyDescent="0.15">
      <c r="A303" t="s">
        <v>72</v>
      </c>
      <c r="B303" t="s">
        <v>6121</v>
      </c>
      <c r="C303" t="s">
        <v>74</v>
      </c>
      <c r="D303" t="s">
        <v>74</v>
      </c>
      <c r="E303" t="s">
        <v>74</v>
      </c>
      <c r="F303" t="s">
        <v>6122</v>
      </c>
      <c r="G303" t="s">
        <v>74</v>
      </c>
      <c r="H303" t="s">
        <v>74</v>
      </c>
      <c r="I303" t="s">
        <v>6123</v>
      </c>
      <c r="J303" t="s">
        <v>2654</v>
      </c>
      <c r="K303" t="s">
        <v>74</v>
      </c>
      <c r="L303" t="s">
        <v>74</v>
      </c>
      <c r="M303" t="s">
        <v>78</v>
      </c>
      <c r="N303" t="s">
        <v>79</v>
      </c>
      <c r="O303" t="s">
        <v>74</v>
      </c>
      <c r="P303" t="s">
        <v>74</v>
      </c>
      <c r="Q303" t="s">
        <v>74</v>
      </c>
      <c r="R303" t="s">
        <v>74</v>
      </c>
      <c r="S303" t="s">
        <v>74</v>
      </c>
      <c r="T303" t="s">
        <v>74</v>
      </c>
      <c r="U303" t="s">
        <v>6124</v>
      </c>
      <c r="V303" t="s">
        <v>74</v>
      </c>
      <c r="W303" t="s">
        <v>6125</v>
      </c>
      <c r="X303" t="s">
        <v>6110</v>
      </c>
      <c r="Y303" t="s">
        <v>6126</v>
      </c>
      <c r="Z303" t="s">
        <v>6127</v>
      </c>
      <c r="AA303" t="s">
        <v>6128</v>
      </c>
      <c r="AB303" t="s">
        <v>74</v>
      </c>
      <c r="AC303" t="s">
        <v>6129</v>
      </c>
      <c r="AD303" t="s">
        <v>6130</v>
      </c>
      <c r="AE303" t="s">
        <v>6131</v>
      </c>
      <c r="AF303" t="s">
        <v>74</v>
      </c>
      <c r="AG303">
        <v>13</v>
      </c>
      <c r="AH303">
        <v>2</v>
      </c>
      <c r="AI303">
        <v>2</v>
      </c>
      <c r="AJ303">
        <v>0</v>
      </c>
      <c r="AK303">
        <v>2</v>
      </c>
      <c r="AL303" t="s">
        <v>2666</v>
      </c>
      <c r="AM303" t="s">
        <v>92</v>
      </c>
      <c r="AN303" t="s">
        <v>2667</v>
      </c>
      <c r="AO303" t="s">
        <v>2668</v>
      </c>
      <c r="AP303" t="s">
        <v>2669</v>
      </c>
      <c r="AQ303" t="s">
        <v>74</v>
      </c>
      <c r="AR303" t="s">
        <v>2670</v>
      </c>
      <c r="AS303" t="s">
        <v>2671</v>
      </c>
      <c r="AT303" t="s">
        <v>5362</v>
      </c>
      <c r="AU303">
        <v>2014</v>
      </c>
      <c r="AV303">
        <v>54</v>
      </c>
      <c r="AW303">
        <v>1</v>
      </c>
      <c r="AX303" t="s">
        <v>74</v>
      </c>
      <c r="AY303" t="s">
        <v>74</v>
      </c>
      <c r="AZ303" t="s">
        <v>74</v>
      </c>
      <c r="BA303" t="s">
        <v>74</v>
      </c>
      <c r="BB303">
        <v>106</v>
      </c>
      <c r="BC303">
        <v>112</v>
      </c>
      <c r="BD303" t="s">
        <v>74</v>
      </c>
      <c r="BE303" t="s">
        <v>6132</v>
      </c>
      <c r="BF303" t="str">
        <f>HYPERLINK("http://dx.doi.org/10.1134/S0001437014010056","http://dx.doi.org/10.1134/S0001437014010056")</f>
        <v>http://dx.doi.org/10.1134/S0001437014010056</v>
      </c>
      <c r="BG303" t="s">
        <v>74</v>
      </c>
      <c r="BH303" t="s">
        <v>74</v>
      </c>
      <c r="BI303">
        <v>7</v>
      </c>
      <c r="BJ303" t="s">
        <v>785</v>
      </c>
      <c r="BK303" t="s">
        <v>101</v>
      </c>
      <c r="BL303" t="s">
        <v>785</v>
      </c>
      <c r="BM303" t="s">
        <v>6119</v>
      </c>
      <c r="BN303" t="s">
        <v>74</v>
      </c>
      <c r="BO303" t="s">
        <v>74</v>
      </c>
      <c r="BP303" t="s">
        <v>74</v>
      </c>
      <c r="BQ303" t="s">
        <v>74</v>
      </c>
      <c r="BR303" t="s">
        <v>104</v>
      </c>
      <c r="BS303" t="s">
        <v>6133</v>
      </c>
      <c r="BT303" t="str">
        <f>HYPERLINK("https%3A%2F%2Fwww.webofscience.com%2Fwos%2Fwoscc%2Ffull-record%2FWOS:000332335100013","View Full Record in Web of Science")</f>
        <v>View Full Record in Web of Science</v>
      </c>
    </row>
    <row r="304" spans="1:72" x14ac:dyDescent="0.15">
      <c r="A304" t="s">
        <v>72</v>
      </c>
      <c r="B304" t="s">
        <v>6134</v>
      </c>
      <c r="C304" t="s">
        <v>74</v>
      </c>
      <c r="D304" t="s">
        <v>74</v>
      </c>
      <c r="E304" t="s">
        <v>74</v>
      </c>
      <c r="F304" t="s">
        <v>6135</v>
      </c>
      <c r="G304" t="s">
        <v>74</v>
      </c>
      <c r="H304" t="s">
        <v>74</v>
      </c>
      <c r="I304" t="s">
        <v>6136</v>
      </c>
      <c r="J304" t="s">
        <v>6137</v>
      </c>
      <c r="K304" t="s">
        <v>74</v>
      </c>
      <c r="L304" t="s">
        <v>74</v>
      </c>
      <c r="M304" t="s">
        <v>78</v>
      </c>
      <c r="N304" t="s">
        <v>79</v>
      </c>
      <c r="O304" t="s">
        <v>74</v>
      </c>
      <c r="P304" t="s">
        <v>74</v>
      </c>
      <c r="Q304" t="s">
        <v>74</v>
      </c>
      <c r="R304" t="s">
        <v>74</v>
      </c>
      <c r="S304" t="s">
        <v>74</v>
      </c>
      <c r="T304" t="s">
        <v>6138</v>
      </c>
      <c r="U304" t="s">
        <v>6139</v>
      </c>
      <c r="V304" t="s">
        <v>6140</v>
      </c>
      <c r="W304" t="s">
        <v>6141</v>
      </c>
      <c r="X304" t="s">
        <v>2706</v>
      </c>
      <c r="Y304" t="s">
        <v>6142</v>
      </c>
      <c r="Z304" t="s">
        <v>6143</v>
      </c>
      <c r="AA304" t="s">
        <v>6144</v>
      </c>
      <c r="AB304" t="s">
        <v>6145</v>
      </c>
      <c r="AC304" t="s">
        <v>3658</v>
      </c>
      <c r="AD304" t="s">
        <v>3659</v>
      </c>
      <c r="AE304" t="s">
        <v>6146</v>
      </c>
      <c r="AF304" t="s">
        <v>74</v>
      </c>
      <c r="AG304">
        <v>81</v>
      </c>
      <c r="AH304">
        <v>2</v>
      </c>
      <c r="AI304">
        <v>3</v>
      </c>
      <c r="AJ304">
        <v>2</v>
      </c>
      <c r="AK304">
        <v>22</v>
      </c>
      <c r="AL304" t="s">
        <v>6147</v>
      </c>
      <c r="AM304" t="s">
        <v>6148</v>
      </c>
      <c r="AN304" t="s">
        <v>6149</v>
      </c>
      <c r="AO304" t="s">
        <v>6150</v>
      </c>
      <c r="AP304" t="s">
        <v>6151</v>
      </c>
      <c r="AQ304" t="s">
        <v>74</v>
      </c>
      <c r="AR304" t="s">
        <v>6152</v>
      </c>
      <c r="AS304" t="s">
        <v>6153</v>
      </c>
      <c r="AT304" t="s">
        <v>5362</v>
      </c>
      <c r="AU304">
        <v>2014</v>
      </c>
      <c r="AV304">
        <v>14</v>
      </c>
      <c r="AW304">
        <v>1</v>
      </c>
      <c r="AX304" t="s">
        <v>74</v>
      </c>
      <c r="AY304" t="s">
        <v>74</v>
      </c>
      <c r="AZ304" t="s">
        <v>74</v>
      </c>
      <c r="BA304" t="s">
        <v>74</v>
      </c>
      <c r="BB304">
        <v>220</v>
      </c>
      <c r="BC304">
        <v>236</v>
      </c>
      <c r="BD304" t="s">
        <v>74</v>
      </c>
      <c r="BE304" t="s">
        <v>6154</v>
      </c>
      <c r="BF304" t="str">
        <f>HYPERLINK("http://dx.doi.org/10.4209/aaqr.2012.12.0337","http://dx.doi.org/10.4209/aaqr.2012.12.0337")</f>
        <v>http://dx.doi.org/10.4209/aaqr.2012.12.0337</v>
      </c>
      <c r="BG304" t="s">
        <v>74</v>
      </c>
      <c r="BH304" t="s">
        <v>74</v>
      </c>
      <c r="BI304">
        <v>17</v>
      </c>
      <c r="BJ304" t="s">
        <v>478</v>
      </c>
      <c r="BK304" t="s">
        <v>101</v>
      </c>
      <c r="BL304" t="s">
        <v>102</v>
      </c>
      <c r="BM304" t="s">
        <v>6155</v>
      </c>
      <c r="BN304" t="s">
        <v>74</v>
      </c>
      <c r="BO304" t="s">
        <v>6156</v>
      </c>
      <c r="BP304" t="s">
        <v>74</v>
      </c>
      <c r="BQ304" t="s">
        <v>74</v>
      </c>
      <c r="BR304" t="s">
        <v>104</v>
      </c>
      <c r="BS304" t="s">
        <v>6157</v>
      </c>
      <c r="BT304" t="str">
        <f>HYPERLINK("https%3A%2F%2Fwww.webofscience.com%2Fwos%2Fwoscc%2Ffull-record%2FWOS:000331789600020","View Full Record in Web of Science")</f>
        <v>View Full Record in Web of Science</v>
      </c>
    </row>
    <row r="305" spans="1:72" x14ac:dyDescent="0.15">
      <c r="A305" t="s">
        <v>72</v>
      </c>
      <c r="B305" t="s">
        <v>6158</v>
      </c>
      <c r="C305" t="s">
        <v>74</v>
      </c>
      <c r="D305" t="s">
        <v>74</v>
      </c>
      <c r="E305" t="s">
        <v>74</v>
      </c>
      <c r="F305" t="s">
        <v>6159</v>
      </c>
      <c r="G305" t="s">
        <v>74</v>
      </c>
      <c r="H305" t="s">
        <v>74</v>
      </c>
      <c r="I305" t="s">
        <v>6160</v>
      </c>
      <c r="J305" t="s">
        <v>6161</v>
      </c>
      <c r="K305" t="s">
        <v>74</v>
      </c>
      <c r="L305" t="s">
        <v>74</v>
      </c>
      <c r="M305" t="s">
        <v>78</v>
      </c>
      <c r="N305" t="s">
        <v>79</v>
      </c>
      <c r="O305" t="s">
        <v>74</v>
      </c>
      <c r="P305" t="s">
        <v>74</v>
      </c>
      <c r="Q305" t="s">
        <v>74</v>
      </c>
      <c r="R305" t="s">
        <v>74</v>
      </c>
      <c r="S305" t="s">
        <v>74</v>
      </c>
      <c r="T305" t="s">
        <v>6162</v>
      </c>
      <c r="U305" t="s">
        <v>6163</v>
      </c>
      <c r="V305" t="s">
        <v>6164</v>
      </c>
      <c r="W305" t="s">
        <v>6165</v>
      </c>
      <c r="X305" t="s">
        <v>6166</v>
      </c>
      <c r="Y305" t="s">
        <v>6167</v>
      </c>
      <c r="Z305" t="s">
        <v>6168</v>
      </c>
      <c r="AA305" t="s">
        <v>6169</v>
      </c>
      <c r="AB305" t="s">
        <v>6170</v>
      </c>
      <c r="AC305" t="s">
        <v>6171</v>
      </c>
      <c r="AD305" t="s">
        <v>6172</v>
      </c>
      <c r="AE305" t="s">
        <v>6173</v>
      </c>
      <c r="AF305" t="s">
        <v>74</v>
      </c>
      <c r="AG305">
        <v>39</v>
      </c>
      <c r="AH305">
        <v>2</v>
      </c>
      <c r="AI305">
        <v>2</v>
      </c>
      <c r="AJ305">
        <v>0</v>
      </c>
      <c r="AK305">
        <v>10</v>
      </c>
      <c r="AL305" t="s">
        <v>145</v>
      </c>
      <c r="AM305" t="s">
        <v>146</v>
      </c>
      <c r="AN305" t="s">
        <v>147</v>
      </c>
      <c r="AO305" t="s">
        <v>6174</v>
      </c>
      <c r="AP305" t="s">
        <v>6175</v>
      </c>
      <c r="AQ305" t="s">
        <v>74</v>
      </c>
      <c r="AR305" t="s">
        <v>6176</v>
      </c>
      <c r="AS305" t="s">
        <v>6177</v>
      </c>
      <c r="AT305" t="s">
        <v>5362</v>
      </c>
      <c r="AU305">
        <v>2014</v>
      </c>
      <c r="AV305">
        <v>349</v>
      </c>
      <c r="AW305">
        <v>2</v>
      </c>
      <c r="AX305" t="s">
        <v>74</v>
      </c>
      <c r="AY305" t="s">
        <v>74</v>
      </c>
      <c r="AZ305" t="s">
        <v>74</v>
      </c>
      <c r="BA305" t="s">
        <v>74</v>
      </c>
      <c r="BB305">
        <v>647</v>
      </c>
      <c r="BC305">
        <v>656</v>
      </c>
      <c r="BD305" t="s">
        <v>74</v>
      </c>
      <c r="BE305" t="s">
        <v>6178</v>
      </c>
      <c r="BF305" t="str">
        <f>HYPERLINK("http://dx.doi.org/10.1007/s10509-013-1661-5","http://dx.doi.org/10.1007/s10509-013-1661-5")</f>
        <v>http://dx.doi.org/10.1007/s10509-013-1661-5</v>
      </c>
      <c r="BG305" t="s">
        <v>74</v>
      </c>
      <c r="BH305" t="s">
        <v>74</v>
      </c>
      <c r="BI305">
        <v>10</v>
      </c>
      <c r="BJ305" t="s">
        <v>332</v>
      </c>
      <c r="BK305" t="s">
        <v>101</v>
      </c>
      <c r="BL305" t="s">
        <v>332</v>
      </c>
      <c r="BM305" t="s">
        <v>6179</v>
      </c>
      <c r="BN305" t="s">
        <v>74</v>
      </c>
      <c r="BO305" t="s">
        <v>270</v>
      </c>
      <c r="BP305" t="s">
        <v>74</v>
      </c>
      <c r="BQ305" t="s">
        <v>74</v>
      </c>
      <c r="BR305" t="s">
        <v>104</v>
      </c>
      <c r="BS305" t="s">
        <v>6180</v>
      </c>
      <c r="BT305" t="str">
        <f>HYPERLINK("https%3A%2F%2Fwww.webofscience.com%2Fwos%2Fwoscc%2Ffull-record%2FWOS:000331648400004","View Full Record in Web of Science")</f>
        <v>View Full Record in Web of Science</v>
      </c>
    </row>
    <row r="306" spans="1:72" x14ac:dyDescent="0.15">
      <c r="A306" t="s">
        <v>72</v>
      </c>
      <c r="B306" t="s">
        <v>6181</v>
      </c>
      <c r="C306" t="s">
        <v>74</v>
      </c>
      <c r="D306" t="s">
        <v>74</v>
      </c>
      <c r="E306" t="s">
        <v>74</v>
      </c>
      <c r="F306" t="s">
        <v>6182</v>
      </c>
      <c r="G306" t="s">
        <v>74</v>
      </c>
      <c r="H306" t="s">
        <v>74</v>
      </c>
      <c r="I306" t="s">
        <v>6183</v>
      </c>
      <c r="J306" t="s">
        <v>508</v>
      </c>
      <c r="K306" t="s">
        <v>74</v>
      </c>
      <c r="L306" t="s">
        <v>74</v>
      </c>
      <c r="M306" t="s">
        <v>78</v>
      </c>
      <c r="N306" t="s">
        <v>79</v>
      </c>
      <c r="O306" t="s">
        <v>74</v>
      </c>
      <c r="P306" t="s">
        <v>74</v>
      </c>
      <c r="Q306" t="s">
        <v>74</v>
      </c>
      <c r="R306" t="s">
        <v>74</v>
      </c>
      <c r="S306" t="s">
        <v>74</v>
      </c>
      <c r="T306" t="s">
        <v>6184</v>
      </c>
      <c r="U306" t="s">
        <v>6185</v>
      </c>
      <c r="V306" t="s">
        <v>6186</v>
      </c>
      <c r="W306" t="s">
        <v>6187</v>
      </c>
      <c r="X306" t="s">
        <v>6188</v>
      </c>
      <c r="Y306" t="s">
        <v>6189</v>
      </c>
      <c r="Z306" t="s">
        <v>6190</v>
      </c>
      <c r="AA306" t="s">
        <v>6191</v>
      </c>
      <c r="AB306" t="s">
        <v>6192</v>
      </c>
      <c r="AC306" t="s">
        <v>6193</v>
      </c>
      <c r="AD306" t="s">
        <v>6194</v>
      </c>
      <c r="AE306" t="s">
        <v>6195</v>
      </c>
      <c r="AF306" t="s">
        <v>74</v>
      </c>
      <c r="AG306">
        <v>44</v>
      </c>
      <c r="AH306">
        <v>18</v>
      </c>
      <c r="AI306">
        <v>20</v>
      </c>
      <c r="AJ306">
        <v>3</v>
      </c>
      <c r="AK306">
        <v>54</v>
      </c>
      <c r="AL306" t="s">
        <v>521</v>
      </c>
      <c r="AM306" t="s">
        <v>522</v>
      </c>
      <c r="AN306" t="s">
        <v>523</v>
      </c>
      <c r="AO306" t="s">
        <v>524</v>
      </c>
      <c r="AP306" t="s">
        <v>525</v>
      </c>
      <c r="AQ306" t="s">
        <v>74</v>
      </c>
      <c r="AR306" t="s">
        <v>526</v>
      </c>
      <c r="AS306" t="s">
        <v>527</v>
      </c>
      <c r="AT306" t="s">
        <v>5362</v>
      </c>
      <c r="AU306">
        <v>2014</v>
      </c>
      <c r="AV306">
        <v>185</v>
      </c>
      <c r="AW306" t="s">
        <v>74</v>
      </c>
      <c r="AX306" t="s">
        <v>74</v>
      </c>
      <c r="AY306" t="s">
        <v>74</v>
      </c>
      <c r="AZ306" t="s">
        <v>74</v>
      </c>
      <c r="BA306" t="s">
        <v>74</v>
      </c>
      <c r="BB306">
        <v>188</v>
      </c>
      <c r="BC306">
        <v>195</v>
      </c>
      <c r="BD306" t="s">
        <v>74</v>
      </c>
      <c r="BE306" t="s">
        <v>6196</v>
      </c>
      <c r="BF306" t="str">
        <f>HYPERLINK("http://dx.doi.org/10.1016/j.envpol.2013.10.029","http://dx.doi.org/10.1016/j.envpol.2013.10.029")</f>
        <v>http://dx.doi.org/10.1016/j.envpol.2013.10.029</v>
      </c>
      <c r="BG306" t="s">
        <v>74</v>
      </c>
      <c r="BH306" t="s">
        <v>74</v>
      </c>
      <c r="BI306">
        <v>8</v>
      </c>
      <c r="BJ306" t="s">
        <v>478</v>
      </c>
      <c r="BK306" t="s">
        <v>101</v>
      </c>
      <c r="BL306" t="s">
        <v>102</v>
      </c>
      <c r="BM306" t="s">
        <v>6197</v>
      </c>
      <c r="BN306">
        <v>24286693</v>
      </c>
      <c r="BO306" t="s">
        <v>74</v>
      </c>
      <c r="BP306" t="s">
        <v>74</v>
      </c>
      <c r="BQ306" t="s">
        <v>74</v>
      </c>
      <c r="BR306" t="s">
        <v>104</v>
      </c>
      <c r="BS306" t="s">
        <v>6198</v>
      </c>
      <c r="BT306" t="str">
        <f>HYPERLINK("https%3A%2F%2Fwww.webofscience.com%2Fwos%2Fwoscc%2Ffull-record%2FWOS:000331672500023","View Full Record in Web of Science")</f>
        <v>View Full Record in Web of Science</v>
      </c>
    </row>
    <row r="307" spans="1:72" x14ac:dyDescent="0.15">
      <c r="A307" t="s">
        <v>72</v>
      </c>
      <c r="B307" t="s">
        <v>6199</v>
      </c>
      <c r="C307" t="s">
        <v>74</v>
      </c>
      <c r="D307" t="s">
        <v>74</v>
      </c>
      <c r="E307" t="s">
        <v>74</v>
      </c>
      <c r="F307" t="s">
        <v>6200</v>
      </c>
      <c r="G307" t="s">
        <v>74</v>
      </c>
      <c r="H307" t="s">
        <v>74</v>
      </c>
      <c r="I307" t="s">
        <v>6201</v>
      </c>
      <c r="J307" t="s">
        <v>6202</v>
      </c>
      <c r="K307" t="s">
        <v>74</v>
      </c>
      <c r="L307" t="s">
        <v>74</v>
      </c>
      <c r="M307" t="s">
        <v>78</v>
      </c>
      <c r="N307" t="s">
        <v>79</v>
      </c>
      <c r="O307" t="s">
        <v>74</v>
      </c>
      <c r="P307" t="s">
        <v>74</v>
      </c>
      <c r="Q307" t="s">
        <v>74</v>
      </c>
      <c r="R307" t="s">
        <v>74</v>
      </c>
      <c r="S307" t="s">
        <v>74</v>
      </c>
      <c r="T307" t="s">
        <v>6203</v>
      </c>
      <c r="U307" t="s">
        <v>6204</v>
      </c>
      <c r="V307" t="s">
        <v>6205</v>
      </c>
      <c r="W307" t="s">
        <v>6206</v>
      </c>
      <c r="X307" t="s">
        <v>6207</v>
      </c>
      <c r="Y307" t="s">
        <v>6208</v>
      </c>
      <c r="Z307" t="s">
        <v>6209</v>
      </c>
      <c r="AA307" t="s">
        <v>6210</v>
      </c>
      <c r="AB307" t="s">
        <v>6211</v>
      </c>
      <c r="AC307" t="s">
        <v>6212</v>
      </c>
      <c r="AD307" t="s">
        <v>6213</v>
      </c>
      <c r="AE307" t="s">
        <v>6214</v>
      </c>
      <c r="AF307" t="s">
        <v>74</v>
      </c>
      <c r="AG307">
        <v>14</v>
      </c>
      <c r="AH307">
        <v>2</v>
      </c>
      <c r="AI307">
        <v>2</v>
      </c>
      <c r="AJ307">
        <v>0</v>
      </c>
      <c r="AK307">
        <v>3</v>
      </c>
      <c r="AL307" t="s">
        <v>6215</v>
      </c>
      <c r="AM307" t="s">
        <v>6216</v>
      </c>
      <c r="AN307" t="s">
        <v>6217</v>
      </c>
      <c r="AO307" t="s">
        <v>6218</v>
      </c>
      <c r="AP307" t="s">
        <v>6219</v>
      </c>
      <c r="AQ307" t="s">
        <v>74</v>
      </c>
      <c r="AR307" t="s">
        <v>6220</v>
      </c>
      <c r="AS307" t="s">
        <v>6221</v>
      </c>
      <c r="AT307" t="s">
        <v>5362</v>
      </c>
      <c r="AU307">
        <v>2014</v>
      </c>
      <c r="AV307">
        <v>8</v>
      </c>
      <c r="AW307">
        <v>1</v>
      </c>
      <c r="AX307" t="s">
        <v>74</v>
      </c>
      <c r="AY307" t="s">
        <v>74</v>
      </c>
      <c r="AZ307" t="s">
        <v>74</v>
      </c>
      <c r="BA307" t="s">
        <v>74</v>
      </c>
      <c r="BB307">
        <v>321</v>
      </c>
      <c r="BC307">
        <v>337</v>
      </c>
      <c r="BD307" t="s">
        <v>74</v>
      </c>
      <c r="BE307" t="s">
        <v>6222</v>
      </c>
      <c r="BF307" t="str">
        <f>HYPERLINK("http://dx.doi.org/10.3934/ipi.2014.8.321","http://dx.doi.org/10.3934/ipi.2014.8.321")</f>
        <v>http://dx.doi.org/10.3934/ipi.2014.8.321</v>
      </c>
      <c r="BG307" t="s">
        <v>74</v>
      </c>
      <c r="BH307" t="s">
        <v>74</v>
      </c>
      <c r="BI307">
        <v>17</v>
      </c>
      <c r="BJ307" t="s">
        <v>6223</v>
      </c>
      <c r="BK307" t="s">
        <v>101</v>
      </c>
      <c r="BL307" t="s">
        <v>6224</v>
      </c>
      <c r="BM307" t="s">
        <v>6225</v>
      </c>
      <c r="BN307" t="s">
        <v>74</v>
      </c>
      <c r="BO307" t="s">
        <v>270</v>
      </c>
      <c r="BP307" t="s">
        <v>74</v>
      </c>
      <c r="BQ307" t="s">
        <v>74</v>
      </c>
      <c r="BR307" t="s">
        <v>104</v>
      </c>
      <c r="BS307" t="s">
        <v>6226</v>
      </c>
      <c r="BT307" t="str">
        <f>HYPERLINK("https%3A%2F%2Fwww.webofscience.com%2Fwos%2Fwoscc%2Ffull-record%2FWOS:000332324500014","View Full Record in Web of Science")</f>
        <v>View Full Record in Web of Science</v>
      </c>
    </row>
    <row r="308" spans="1:72" x14ac:dyDescent="0.15">
      <c r="A308" t="s">
        <v>72</v>
      </c>
      <c r="B308" t="s">
        <v>6227</v>
      </c>
      <c r="C308" t="s">
        <v>74</v>
      </c>
      <c r="D308" t="s">
        <v>74</v>
      </c>
      <c r="E308" t="s">
        <v>74</v>
      </c>
      <c r="F308" t="s">
        <v>6228</v>
      </c>
      <c r="G308" t="s">
        <v>74</v>
      </c>
      <c r="H308" t="s">
        <v>74</v>
      </c>
      <c r="I308" t="s">
        <v>6229</v>
      </c>
      <c r="J308" t="s">
        <v>2481</v>
      </c>
      <c r="K308" t="s">
        <v>74</v>
      </c>
      <c r="L308" t="s">
        <v>74</v>
      </c>
      <c r="M308" t="s">
        <v>78</v>
      </c>
      <c r="N308" t="s">
        <v>79</v>
      </c>
      <c r="O308" t="s">
        <v>74</v>
      </c>
      <c r="P308" t="s">
        <v>74</v>
      </c>
      <c r="Q308" t="s">
        <v>74</v>
      </c>
      <c r="R308" t="s">
        <v>74</v>
      </c>
      <c r="S308" t="s">
        <v>74</v>
      </c>
      <c r="T308" t="s">
        <v>6230</v>
      </c>
      <c r="U308" t="s">
        <v>6231</v>
      </c>
      <c r="V308" t="s">
        <v>6232</v>
      </c>
      <c r="W308" t="s">
        <v>6233</v>
      </c>
      <c r="X308" t="s">
        <v>6234</v>
      </c>
      <c r="Y308" t="s">
        <v>6235</v>
      </c>
      <c r="Z308" t="s">
        <v>6236</v>
      </c>
      <c r="AA308" t="s">
        <v>6237</v>
      </c>
      <c r="AB308" t="s">
        <v>6238</v>
      </c>
      <c r="AC308" t="s">
        <v>6239</v>
      </c>
      <c r="AD308" t="s">
        <v>6240</v>
      </c>
      <c r="AE308" t="s">
        <v>6241</v>
      </c>
      <c r="AF308" t="s">
        <v>74</v>
      </c>
      <c r="AG308">
        <v>30</v>
      </c>
      <c r="AH308">
        <v>3</v>
      </c>
      <c r="AI308">
        <v>3</v>
      </c>
      <c r="AJ308">
        <v>2</v>
      </c>
      <c r="AK308">
        <v>25</v>
      </c>
      <c r="AL308" t="s">
        <v>876</v>
      </c>
      <c r="AM308" t="s">
        <v>877</v>
      </c>
      <c r="AN308" t="s">
        <v>878</v>
      </c>
      <c r="AO308" t="s">
        <v>2493</v>
      </c>
      <c r="AP308" t="s">
        <v>2494</v>
      </c>
      <c r="AQ308" t="s">
        <v>74</v>
      </c>
      <c r="AR308" t="s">
        <v>2495</v>
      </c>
      <c r="AS308" t="s">
        <v>2496</v>
      </c>
      <c r="AT308" t="s">
        <v>5362</v>
      </c>
      <c r="AU308">
        <v>2014</v>
      </c>
      <c r="AV308">
        <v>31</v>
      </c>
      <c r="AW308">
        <v>2</v>
      </c>
      <c r="AX308" t="s">
        <v>74</v>
      </c>
      <c r="AY308" t="s">
        <v>74</v>
      </c>
      <c r="AZ308" t="s">
        <v>74</v>
      </c>
      <c r="BA308" t="s">
        <v>74</v>
      </c>
      <c r="BB308">
        <v>531</v>
      </c>
      <c r="BC308">
        <v>544</v>
      </c>
      <c r="BD308" t="s">
        <v>74</v>
      </c>
      <c r="BE308" t="s">
        <v>6242</v>
      </c>
      <c r="BF308" t="str">
        <f>HYPERLINK("http://dx.doi.org/10.1175/JTECH-D-13-00065.1","http://dx.doi.org/10.1175/JTECH-D-13-00065.1")</f>
        <v>http://dx.doi.org/10.1175/JTECH-D-13-00065.1</v>
      </c>
      <c r="BG308" t="s">
        <v>74</v>
      </c>
      <c r="BH308" t="s">
        <v>74</v>
      </c>
      <c r="BI308">
        <v>14</v>
      </c>
      <c r="BJ308" t="s">
        <v>2498</v>
      </c>
      <c r="BK308" t="s">
        <v>101</v>
      </c>
      <c r="BL308" t="s">
        <v>2499</v>
      </c>
      <c r="BM308" t="s">
        <v>6243</v>
      </c>
      <c r="BN308" t="s">
        <v>74</v>
      </c>
      <c r="BO308" t="s">
        <v>1244</v>
      </c>
      <c r="BP308" t="s">
        <v>74</v>
      </c>
      <c r="BQ308" t="s">
        <v>74</v>
      </c>
      <c r="BR308" t="s">
        <v>104</v>
      </c>
      <c r="BS308" t="s">
        <v>6244</v>
      </c>
      <c r="BT308" t="str">
        <f>HYPERLINK("https%3A%2F%2Fwww.webofscience.com%2Fwos%2Fwoscc%2Ffull-record%2FWOS:000331029600019","View Full Record in Web of Science")</f>
        <v>View Full Record in Web of Science</v>
      </c>
    </row>
    <row r="309" spans="1:72" x14ac:dyDescent="0.15">
      <c r="A309" t="s">
        <v>72</v>
      </c>
      <c r="B309" t="s">
        <v>6245</v>
      </c>
      <c r="C309" t="s">
        <v>74</v>
      </c>
      <c r="D309" t="s">
        <v>74</v>
      </c>
      <c r="E309" t="s">
        <v>74</v>
      </c>
      <c r="F309" t="s">
        <v>6246</v>
      </c>
      <c r="G309" t="s">
        <v>74</v>
      </c>
      <c r="H309" t="s">
        <v>74</v>
      </c>
      <c r="I309" t="s">
        <v>6247</v>
      </c>
      <c r="J309" t="s">
        <v>6248</v>
      </c>
      <c r="K309" t="s">
        <v>74</v>
      </c>
      <c r="L309" t="s">
        <v>74</v>
      </c>
      <c r="M309" t="s">
        <v>78</v>
      </c>
      <c r="N309" t="s">
        <v>79</v>
      </c>
      <c r="O309" t="s">
        <v>74</v>
      </c>
      <c r="P309" t="s">
        <v>74</v>
      </c>
      <c r="Q309" t="s">
        <v>74</v>
      </c>
      <c r="R309" t="s">
        <v>74</v>
      </c>
      <c r="S309" t="s">
        <v>74</v>
      </c>
      <c r="T309" t="s">
        <v>6249</v>
      </c>
      <c r="U309" t="s">
        <v>6250</v>
      </c>
      <c r="V309" t="s">
        <v>6251</v>
      </c>
      <c r="W309" t="s">
        <v>6252</v>
      </c>
      <c r="X309" t="s">
        <v>6253</v>
      </c>
      <c r="Y309" t="s">
        <v>6254</v>
      </c>
      <c r="Z309" t="s">
        <v>6255</v>
      </c>
      <c r="AA309" t="s">
        <v>74</v>
      </c>
      <c r="AB309" t="s">
        <v>74</v>
      </c>
      <c r="AC309" t="s">
        <v>6256</v>
      </c>
      <c r="AD309" t="s">
        <v>6256</v>
      </c>
      <c r="AE309" t="s">
        <v>6257</v>
      </c>
      <c r="AF309" t="s">
        <v>74</v>
      </c>
      <c r="AG309">
        <v>44</v>
      </c>
      <c r="AH309">
        <v>10</v>
      </c>
      <c r="AI309">
        <v>13</v>
      </c>
      <c r="AJ309">
        <v>0</v>
      </c>
      <c r="AK309">
        <v>14</v>
      </c>
      <c r="AL309" t="s">
        <v>1756</v>
      </c>
      <c r="AM309" t="s">
        <v>1757</v>
      </c>
      <c r="AN309" t="s">
        <v>1758</v>
      </c>
      <c r="AO309" t="s">
        <v>6258</v>
      </c>
      <c r="AP309" t="s">
        <v>6259</v>
      </c>
      <c r="AQ309" t="s">
        <v>74</v>
      </c>
      <c r="AR309" t="s">
        <v>6260</v>
      </c>
      <c r="AS309" t="s">
        <v>6261</v>
      </c>
      <c r="AT309" t="s">
        <v>5362</v>
      </c>
      <c r="AU309">
        <v>2014</v>
      </c>
      <c r="AV309">
        <v>123</v>
      </c>
      <c r="AW309">
        <v>1</v>
      </c>
      <c r="AX309" t="s">
        <v>74</v>
      </c>
      <c r="AY309" t="s">
        <v>74</v>
      </c>
      <c r="AZ309" t="s">
        <v>74</v>
      </c>
      <c r="BA309" t="s">
        <v>74</v>
      </c>
      <c r="BB309">
        <v>201</v>
      </c>
      <c r="BC309">
        <v>212</v>
      </c>
      <c r="BD309" t="s">
        <v>74</v>
      </c>
      <c r="BE309" t="s">
        <v>6262</v>
      </c>
      <c r="BF309" t="str">
        <f>HYPERLINK("http://dx.doi.org/10.1007/s12040-013-0373-0","http://dx.doi.org/10.1007/s12040-013-0373-0")</f>
        <v>http://dx.doi.org/10.1007/s12040-013-0373-0</v>
      </c>
      <c r="BG309" t="s">
        <v>74</v>
      </c>
      <c r="BH309" t="s">
        <v>74</v>
      </c>
      <c r="BI309">
        <v>12</v>
      </c>
      <c r="BJ309" t="s">
        <v>6263</v>
      </c>
      <c r="BK309" t="s">
        <v>101</v>
      </c>
      <c r="BL309" t="s">
        <v>6264</v>
      </c>
      <c r="BM309" t="s">
        <v>6265</v>
      </c>
      <c r="BN309" t="s">
        <v>74</v>
      </c>
      <c r="BO309" t="s">
        <v>200</v>
      </c>
      <c r="BP309" t="s">
        <v>74</v>
      </c>
      <c r="BQ309" t="s">
        <v>74</v>
      </c>
      <c r="BR309" t="s">
        <v>104</v>
      </c>
      <c r="BS309" t="s">
        <v>6266</v>
      </c>
      <c r="BT309" t="str">
        <f>HYPERLINK("https%3A%2F%2Fwww.webofscience.com%2Fwos%2Fwoscc%2Ffull-record%2FWOS:000331782300017","View Full Record in Web of Science")</f>
        <v>View Full Record in Web of Science</v>
      </c>
    </row>
    <row r="310" spans="1:72" x14ac:dyDescent="0.15">
      <c r="A310" t="s">
        <v>72</v>
      </c>
      <c r="B310" t="s">
        <v>6267</v>
      </c>
      <c r="C310" t="s">
        <v>74</v>
      </c>
      <c r="D310" t="s">
        <v>74</v>
      </c>
      <c r="E310" t="s">
        <v>74</v>
      </c>
      <c r="F310" t="s">
        <v>6268</v>
      </c>
      <c r="G310" t="s">
        <v>74</v>
      </c>
      <c r="H310" t="s">
        <v>74</v>
      </c>
      <c r="I310" t="s">
        <v>6269</v>
      </c>
      <c r="J310" t="s">
        <v>863</v>
      </c>
      <c r="K310" t="s">
        <v>74</v>
      </c>
      <c r="L310" t="s">
        <v>74</v>
      </c>
      <c r="M310" t="s">
        <v>78</v>
      </c>
      <c r="N310" t="s">
        <v>79</v>
      </c>
      <c r="O310" t="s">
        <v>74</v>
      </c>
      <c r="P310" t="s">
        <v>74</v>
      </c>
      <c r="Q310" t="s">
        <v>74</v>
      </c>
      <c r="R310" t="s">
        <v>74</v>
      </c>
      <c r="S310" t="s">
        <v>74</v>
      </c>
      <c r="T310" t="s">
        <v>74</v>
      </c>
      <c r="U310" t="s">
        <v>6270</v>
      </c>
      <c r="V310" t="s">
        <v>6271</v>
      </c>
      <c r="W310" t="s">
        <v>6272</v>
      </c>
      <c r="X310" t="s">
        <v>6273</v>
      </c>
      <c r="Y310" t="s">
        <v>6274</v>
      </c>
      <c r="Z310" t="s">
        <v>6275</v>
      </c>
      <c r="AA310" t="s">
        <v>6276</v>
      </c>
      <c r="AB310" t="s">
        <v>6277</v>
      </c>
      <c r="AC310" t="s">
        <v>6278</v>
      </c>
      <c r="AD310" t="s">
        <v>6279</v>
      </c>
      <c r="AE310" t="s">
        <v>6280</v>
      </c>
      <c r="AF310" t="s">
        <v>74</v>
      </c>
      <c r="AG310">
        <v>58</v>
      </c>
      <c r="AH310">
        <v>28</v>
      </c>
      <c r="AI310">
        <v>28</v>
      </c>
      <c r="AJ310">
        <v>1</v>
      </c>
      <c r="AK310">
        <v>13</v>
      </c>
      <c r="AL310" t="s">
        <v>876</v>
      </c>
      <c r="AM310" t="s">
        <v>877</v>
      </c>
      <c r="AN310" t="s">
        <v>878</v>
      </c>
      <c r="AO310" t="s">
        <v>879</v>
      </c>
      <c r="AP310" t="s">
        <v>880</v>
      </c>
      <c r="AQ310" t="s">
        <v>74</v>
      </c>
      <c r="AR310" t="s">
        <v>881</v>
      </c>
      <c r="AS310" t="s">
        <v>882</v>
      </c>
      <c r="AT310" t="s">
        <v>5362</v>
      </c>
      <c r="AU310">
        <v>2014</v>
      </c>
      <c r="AV310">
        <v>44</v>
      </c>
      <c r="AW310">
        <v>2</v>
      </c>
      <c r="AX310" t="s">
        <v>74</v>
      </c>
      <c r="AY310" t="s">
        <v>74</v>
      </c>
      <c r="AZ310" t="s">
        <v>74</v>
      </c>
      <c r="BA310" t="s">
        <v>74</v>
      </c>
      <c r="BB310">
        <v>644</v>
      </c>
      <c r="BC310">
        <v>661</v>
      </c>
      <c r="BD310" t="s">
        <v>74</v>
      </c>
      <c r="BE310" t="s">
        <v>6281</v>
      </c>
      <c r="BF310" t="str">
        <f>HYPERLINK("http://dx.doi.org/10.1175/JPO-D-13-039.1","http://dx.doi.org/10.1175/JPO-D-13-039.1")</f>
        <v>http://dx.doi.org/10.1175/JPO-D-13-039.1</v>
      </c>
      <c r="BG310" t="s">
        <v>74</v>
      </c>
      <c r="BH310" t="s">
        <v>74</v>
      </c>
      <c r="BI310">
        <v>18</v>
      </c>
      <c r="BJ310" t="s">
        <v>785</v>
      </c>
      <c r="BK310" t="s">
        <v>101</v>
      </c>
      <c r="BL310" t="s">
        <v>785</v>
      </c>
      <c r="BM310" t="s">
        <v>6282</v>
      </c>
      <c r="BN310" t="s">
        <v>74</v>
      </c>
      <c r="BO310" t="s">
        <v>1056</v>
      </c>
      <c r="BP310" t="s">
        <v>74</v>
      </c>
      <c r="BQ310" t="s">
        <v>74</v>
      </c>
      <c r="BR310" t="s">
        <v>104</v>
      </c>
      <c r="BS310" t="s">
        <v>6283</v>
      </c>
      <c r="BT310" t="str">
        <f>HYPERLINK("https%3A%2F%2Fwww.webofscience.com%2Fwos%2Fwoscc%2Ffull-record%2FWOS:000331024500015","View Full Record in Web of Science")</f>
        <v>View Full Record in Web of Science</v>
      </c>
    </row>
    <row r="311" spans="1:72" x14ac:dyDescent="0.15">
      <c r="A311" t="s">
        <v>72</v>
      </c>
      <c r="B311" t="s">
        <v>6284</v>
      </c>
      <c r="C311" t="s">
        <v>74</v>
      </c>
      <c r="D311" t="s">
        <v>74</v>
      </c>
      <c r="E311" t="s">
        <v>74</v>
      </c>
      <c r="F311" t="s">
        <v>6285</v>
      </c>
      <c r="G311" t="s">
        <v>74</v>
      </c>
      <c r="H311" t="s">
        <v>74</v>
      </c>
      <c r="I311" t="s">
        <v>6286</v>
      </c>
      <c r="J311" t="s">
        <v>863</v>
      </c>
      <c r="K311" t="s">
        <v>74</v>
      </c>
      <c r="L311" t="s">
        <v>74</v>
      </c>
      <c r="M311" t="s">
        <v>78</v>
      </c>
      <c r="N311" t="s">
        <v>79</v>
      </c>
      <c r="O311" t="s">
        <v>74</v>
      </c>
      <c r="P311" t="s">
        <v>74</v>
      </c>
      <c r="Q311" t="s">
        <v>74</v>
      </c>
      <c r="R311" t="s">
        <v>74</v>
      </c>
      <c r="S311" t="s">
        <v>74</v>
      </c>
      <c r="T311" t="s">
        <v>6287</v>
      </c>
      <c r="U311" t="s">
        <v>6288</v>
      </c>
      <c r="V311" t="s">
        <v>6289</v>
      </c>
      <c r="W311" t="s">
        <v>6290</v>
      </c>
      <c r="X311" t="s">
        <v>6291</v>
      </c>
      <c r="Y311" t="s">
        <v>6292</v>
      </c>
      <c r="Z311" t="s">
        <v>6293</v>
      </c>
      <c r="AA311" t="s">
        <v>6294</v>
      </c>
      <c r="AB311" t="s">
        <v>6295</v>
      </c>
      <c r="AC311" t="s">
        <v>6296</v>
      </c>
      <c r="AD311" t="s">
        <v>6297</v>
      </c>
      <c r="AE311" t="s">
        <v>6298</v>
      </c>
      <c r="AF311" t="s">
        <v>74</v>
      </c>
      <c r="AG311">
        <v>33</v>
      </c>
      <c r="AH311">
        <v>8</v>
      </c>
      <c r="AI311">
        <v>10</v>
      </c>
      <c r="AJ311">
        <v>0</v>
      </c>
      <c r="AK311">
        <v>21</v>
      </c>
      <c r="AL311" t="s">
        <v>876</v>
      </c>
      <c r="AM311" t="s">
        <v>877</v>
      </c>
      <c r="AN311" t="s">
        <v>878</v>
      </c>
      <c r="AO311" t="s">
        <v>879</v>
      </c>
      <c r="AP311" t="s">
        <v>880</v>
      </c>
      <c r="AQ311" t="s">
        <v>74</v>
      </c>
      <c r="AR311" t="s">
        <v>881</v>
      </c>
      <c r="AS311" t="s">
        <v>882</v>
      </c>
      <c r="AT311" t="s">
        <v>5362</v>
      </c>
      <c r="AU311">
        <v>2014</v>
      </c>
      <c r="AV311">
        <v>44</v>
      </c>
      <c r="AW311">
        <v>2</v>
      </c>
      <c r="AX311" t="s">
        <v>74</v>
      </c>
      <c r="AY311" t="s">
        <v>74</v>
      </c>
      <c r="AZ311" t="s">
        <v>74</v>
      </c>
      <c r="BA311" t="s">
        <v>74</v>
      </c>
      <c r="BB311">
        <v>676</v>
      </c>
      <c r="BC311">
        <v>693</v>
      </c>
      <c r="BD311" t="s">
        <v>74</v>
      </c>
      <c r="BE311" t="s">
        <v>6299</v>
      </c>
      <c r="BF311" t="str">
        <f>HYPERLINK("http://dx.doi.org/10.1175/JPO-D-13-0182.1","http://dx.doi.org/10.1175/JPO-D-13-0182.1")</f>
        <v>http://dx.doi.org/10.1175/JPO-D-13-0182.1</v>
      </c>
      <c r="BG311" t="s">
        <v>74</v>
      </c>
      <c r="BH311" t="s">
        <v>74</v>
      </c>
      <c r="BI311">
        <v>18</v>
      </c>
      <c r="BJ311" t="s">
        <v>785</v>
      </c>
      <c r="BK311" t="s">
        <v>101</v>
      </c>
      <c r="BL311" t="s">
        <v>785</v>
      </c>
      <c r="BM311" t="s">
        <v>6282</v>
      </c>
      <c r="BN311" t="s">
        <v>74</v>
      </c>
      <c r="BO311" t="s">
        <v>2402</v>
      </c>
      <c r="BP311" t="s">
        <v>74</v>
      </c>
      <c r="BQ311" t="s">
        <v>74</v>
      </c>
      <c r="BR311" t="s">
        <v>104</v>
      </c>
      <c r="BS311" t="s">
        <v>6300</v>
      </c>
      <c r="BT311" t="str">
        <f>HYPERLINK("https%3A%2F%2Fwww.webofscience.com%2Fwos%2Fwoscc%2Ffull-record%2FWOS:000331024500016","View Full Record in Web of Science")</f>
        <v>View Full Record in Web of Science</v>
      </c>
    </row>
    <row r="312" spans="1:72" x14ac:dyDescent="0.15">
      <c r="A312" t="s">
        <v>72</v>
      </c>
      <c r="B312" t="s">
        <v>6301</v>
      </c>
      <c r="C312" t="s">
        <v>74</v>
      </c>
      <c r="D312" t="s">
        <v>74</v>
      </c>
      <c r="E312" t="s">
        <v>74</v>
      </c>
      <c r="F312" t="s">
        <v>6302</v>
      </c>
      <c r="G312" t="s">
        <v>74</v>
      </c>
      <c r="H312" t="s">
        <v>74</v>
      </c>
      <c r="I312" t="s">
        <v>6303</v>
      </c>
      <c r="J312" t="s">
        <v>863</v>
      </c>
      <c r="K312" t="s">
        <v>74</v>
      </c>
      <c r="L312" t="s">
        <v>74</v>
      </c>
      <c r="M312" t="s">
        <v>78</v>
      </c>
      <c r="N312" t="s">
        <v>79</v>
      </c>
      <c r="O312" t="s">
        <v>74</v>
      </c>
      <c r="P312" t="s">
        <v>74</v>
      </c>
      <c r="Q312" t="s">
        <v>74</v>
      </c>
      <c r="R312" t="s">
        <v>74</v>
      </c>
      <c r="S312" t="s">
        <v>74</v>
      </c>
      <c r="T312" t="s">
        <v>6304</v>
      </c>
      <c r="U312" t="s">
        <v>6305</v>
      </c>
      <c r="V312" t="s">
        <v>6306</v>
      </c>
      <c r="W312" t="s">
        <v>6307</v>
      </c>
      <c r="X312" t="s">
        <v>6308</v>
      </c>
      <c r="Y312" t="s">
        <v>6309</v>
      </c>
      <c r="Z312" t="s">
        <v>6310</v>
      </c>
      <c r="AA312" t="s">
        <v>4352</v>
      </c>
      <c r="AB312" t="s">
        <v>6311</v>
      </c>
      <c r="AC312" t="s">
        <v>6312</v>
      </c>
      <c r="AD312" t="s">
        <v>6313</v>
      </c>
      <c r="AE312" t="s">
        <v>6314</v>
      </c>
      <c r="AF312" t="s">
        <v>74</v>
      </c>
      <c r="AG312">
        <v>40</v>
      </c>
      <c r="AH312">
        <v>52</v>
      </c>
      <c r="AI312">
        <v>55</v>
      </c>
      <c r="AJ312">
        <v>0</v>
      </c>
      <c r="AK312">
        <v>19</v>
      </c>
      <c r="AL312" t="s">
        <v>876</v>
      </c>
      <c r="AM312" t="s">
        <v>877</v>
      </c>
      <c r="AN312" t="s">
        <v>878</v>
      </c>
      <c r="AO312" t="s">
        <v>879</v>
      </c>
      <c r="AP312" t="s">
        <v>880</v>
      </c>
      <c r="AQ312" t="s">
        <v>74</v>
      </c>
      <c r="AR312" t="s">
        <v>881</v>
      </c>
      <c r="AS312" t="s">
        <v>882</v>
      </c>
      <c r="AT312" t="s">
        <v>5362</v>
      </c>
      <c r="AU312">
        <v>2014</v>
      </c>
      <c r="AV312">
        <v>44</v>
      </c>
      <c r="AW312">
        <v>2</v>
      </c>
      <c r="AX312" t="s">
        <v>74</v>
      </c>
      <c r="AY312" t="s">
        <v>74</v>
      </c>
      <c r="AZ312" t="s">
        <v>74</v>
      </c>
      <c r="BA312" t="s">
        <v>74</v>
      </c>
      <c r="BB312">
        <v>764</v>
      </c>
      <c r="BC312">
        <v>780</v>
      </c>
      <c r="BD312" t="s">
        <v>74</v>
      </c>
      <c r="BE312" t="s">
        <v>6315</v>
      </c>
      <c r="BF312" t="str">
        <f>HYPERLINK("http://dx.doi.org/10.1175/JPO-D-13-0175.1","http://dx.doi.org/10.1175/JPO-D-13-0175.1")</f>
        <v>http://dx.doi.org/10.1175/JPO-D-13-0175.1</v>
      </c>
      <c r="BG312" t="s">
        <v>74</v>
      </c>
      <c r="BH312" t="s">
        <v>74</v>
      </c>
      <c r="BI312">
        <v>17</v>
      </c>
      <c r="BJ312" t="s">
        <v>785</v>
      </c>
      <c r="BK312" t="s">
        <v>101</v>
      </c>
      <c r="BL312" t="s">
        <v>785</v>
      </c>
      <c r="BM312" t="s">
        <v>6282</v>
      </c>
      <c r="BN312" t="s">
        <v>74</v>
      </c>
      <c r="BO312" t="s">
        <v>1607</v>
      </c>
      <c r="BP312" t="s">
        <v>74</v>
      </c>
      <c r="BQ312" t="s">
        <v>74</v>
      </c>
      <c r="BR312" t="s">
        <v>104</v>
      </c>
      <c r="BS312" t="s">
        <v>6316</v>
      </c>
      <c r="BT312" t="str">
        <f>HYPERLINK("https%3A%2F%2Fwww.webofscience.com%2Fwos%2Fwoscc%2Ffull-record%2FWOS:000331024500021","View Full Record in Web of Science")</f>
        <v>View Full Record in Web of Science</v>
      </c>
    </row>
    <row r="313" spans="1:72" x14ac:dyDescent="0.15">
      <c r="A313" t="s">
        <v>72</v>
      </c>
      <c r="B313" t="s">
        <v>6317</v>
      </c>
      <c r="C313" t="s">
        <v>74</v>
      </c>
      <c r="D313" t="s">
        <v>74</v>
      </c>
      <c r="E313" t="s">
        <v>74</v>
      </c>
      <c r="F313" t="s">
        <v>6318</v>
      </c>
      <c r="G313" t="s">
        <v>74</v>
      </c>
      <c r="H313" t="s">
        <v>74</v>
      </c>
      <c r="I313" t="s">
        <v>6319</v>
      </c>
      <c r="J313" t="s">
        <v>2627</v>
      </c>
      <c r="K313" t="s">
        <v>74</v>
      </c>
      <c r="L313" t="s">
        <v>74</v>
      </c>
      <c r="M313" t="s">
        <v>78</v>
      </c>
      <c r="N313" t="s">
        <v>79</v>
      </c>
      <c r="O313" t="s">
        <v>74</v>
      </c>
      <c r="P313" t="s">
        <v>74</v>
      </c>
      <c r="Q313" t="s">
        <v>74</v>
      </c>
      <c r="R313" t="s">
        <v>74</v>
      </c>
      <c r="S313" t="s">
        <v>74</v>
      </c>
      <c r="T313" t="s">
        <v>6320</v>
      </c>
      <c r="U313" t="s">
        <v>6321</v>
      </c>
      <c r="V313" t="s">
        <v>6322</v>
      </c>
      <c r="W313" t="s">
        <v>6323</v>
      </c>
      <c r="X313" t="s">
        <v>6324</v>
      </c>
      <c r="Y313" t="s">
        <v>6325</v>
      </c>
      <c r="Z313" t="s">
        <v>6326</v>
      </c>
      <c r="AA313" t="s">
        <v>6327</v>
      </c>
      <c r="AB313" t="s">
        <v>6328</v>
      </c>
      <c r="AC313" t="s">
        <v>6329</v>
      </c>
      <c r="AD313" t="s">
        <v>6330</v>
      </c>
      <c r="AE313" t="s">
        <v>6331</v>
      </c>
      <c r="AF313" t="s">
        <v>74</v>
      </c>
      <c r="AG313">
        <v>63</v>
      </c>
      <c r="AH313">
        <v>8</v>
      </c>
      <c r="AI313">
        <v>9</v>
      </c>
      <c r="AJ313">
        <v>1</v>
      </c>
      <c r="AK313">
        <v>33</v>
      </c>
      <c r="AL313" t="s">
        <v>652</v>
      </c>
      <c r="AM313" t="s">
        <v>653</v>
      </c>
      <c r="AN313" t="s">
        <v>654</v>
      </c>
      <c r="AO313" t="s">
        <v>2640</v>
      </c>
      <c r="AP313" t="s">
        <v>2641</v>
      </c>
      <c r="AQ313" t="s">
        <v>74</v>
      </c>
      <c r="AR313" t="s">
        <v>2642</v>
      </c>
      <c r="AS313" t="s">
        <v>2643</v>
      </c>
      <c r="AT313" t="s">
        <v>5936</v>
      </c>
      <c r="AU313">
        <v>2014</v>
      </c>
      <c r="AV313">
        <v>348</v>
      </c>
      <c r="AW313" t="s">
        <v>74</v>
      </c>
      <c r="AX313" t="s">
        <v>74</v>
      </c>
      <c r="AY313" t="s">
        <v>74</v>
      </c>
      <c r="AZ313" t="s">
        <v>74</v>
      </c>
      <c r="BA313" t="s">
        <v>74</v>
      </c>
      <c r="BB313">
        <v>27</v>
      </c>
      <c r="BC313">
        <v>36</v>
      </c>
      <c r="BD313" t="s">
        <v>74</v>
      </c>
      <c r="BE313" t="s">
        <v>6332</v>
      </c>
      <c r="BF313" t="str">
        <f>HYPERLINK("http://dx.doi.org/10.1016/j.margeo.2013.10.008","http://dx.doi.org/10.1016/j.margeo.2013.10.008")</f>
        <v>http://dx.doi.org/10.1016/j.margeo.2013.10.008</v>
      </c>
      <c r="BG313" t="s">
        <v>74</v>
      </c>
      <c r="BH313" t="s">
        <v>74</v>
      </c>
      <c r="BI313">
        <v>10</v>
      </c>
      <c r="BJ313" t="s">
        <v>2646</v>
      </c>
      <c r="BK313" t="s">
        <v>101</v>
      </c>
      <c r="BL313" t="s">
        <v>2647</v>
      </c>
      <c r="BM313" t="s">
        <v>6333</v>
      </c>
      <c r="BN313" t="s">
        <v>74</v>
      </c>
      <c r="BO313" t="s">
        <v>74</v>
      </c>
      <c r="BP313" t="s">
        <v>74</v>
      </c>
      <c r="BQ313" t="s">
        <v>74</v>
      </c>
      <c r="BR313" t="s">
        <v>104</v>
      </c>
      <c r="BS313" t="s">
        <v>6334</v>
      </c>
      <c r="BT313" t="str">
        <f>HYPERLINK("https%3A%2F%2Fwww.webofscience.com%2Fwos%2Fwoscc%2Ffull-record%2FWOS:000331681400003","View Full Record in Web of Science")</f>
        <v>View Full Record in Web of Science</v>
      </c>
    </row>
    <row r="314" spans="1:72" x14ac:dyDescent="0.15">
      <c r="A314" t="s">
        <v>72</v>
      </c>
      <c r="B314" t="s">
        <v>6335</v>
      </c>
      <c r="C314" t="s">
        <v>74</v>
      </c>
      <c r="D314" t="s">
        <v>74</v>
      </c>
      <c r="E314" t="s">
        <v>74</v>
      </c>
      <c r="F314" t="s">
        <v>6336</v>
      </c>
      <c r="G314" t="s">
        <v>74</v>
      </c>
      <c r="H314" t="s">
        <v>74</v>
      </c>
      <c r="I314" t="s">
        <v>6337</v>
      </c>
      <c r="J314" t="s">
        <v>6338</v>
      </c>
      <c r="K314" t="s">
        <v>74</v>
      </c>
      <c r="L314" t="s">
        <v>74</v>
      </c>
      <c r="M314" t="s">
        <v>78</v>
      </c>
      <c r="N314" t="s">
        <v>79</v>
      </c>
      <c r="O314" t="s">
        <v>74</v>
      </c>
      <c r="P314" t="s">
        <v>74</v>
      </c>
      <c r="Q314" t="s">
        <v>74</v>
      </c>
      <c r="R314" t="s">
        <v>74</v>
      </c>
      <c r="S314" t="s">
        <v>74</v>
      </c>
      <c r="T314" t="s">
        <v>6339</v>
      </c>
      <c r="U314" t="s">
        <v>6340</v>
      </c>
      <c r="V314" t="s">
        <v>6341</v>
      </c>
      <c r="W314" t="s">
        <v>6342</v>
      </c>
      <c r="X314" t="s">
        <v>2706</v>
      </c>
      <c r="Y314" t="s">
        <v>6343</v>
      </c>
      <c r="Z314" t="s">
        <v>6344</v>
      </c>
      <c r="AA314" t="s">
        <v>6345</v>
      </c>
      <c r="AB314" t="s">
        <v>6346</v>
      </c>
      <c r="AC314" t="s">
        <v>6347</v>
      </c>
      <c r="AD314" t="s">
        <v>6348</v>
      </c>
      <c r="AE314" t="s">
        <v>6349</v>
      </c>
      <c r="AF314" t="s">
        <v>74</v>
      </c>
      <c r="AG314">
        <v>29</v>
      </c>
      <c r="AH314">
        <v>2</v>
      </c>
      <c r="AI314">
        <v>4</v>
      </c>
      <c r="AJ314">
        <v>0</v>
      </c>
      <c r="AK314">
        <v>8</v>
      </c>
      <c r="AL314" t="s">
        <v>6350</v>
      </c>
      <c r="AM314" t="s">
        <v>2796</v>
      </c>
      <c r="AN314" t="s">
        <v>6351</v>
      </c>
      <c r="AO314" t="s">
        <v>6352</v>
      </c>
      <c r="AP314" t="s">
        <v>74</v>
      </c>
      <c r="AQ314" t="s">
        <v>74</v>
      </c>
      <c r="AR314" t="s">
        <v>6353</v>
      </c>
      <c r="AS314" t="s">
        <v>6354</v>
      </c>
      <c r="AT314" t="s">
        <v>5362</v>
      </c>
      <c r="AU314">
        <v>2014</v>
      </c>
      <c r="AV314">
        <v>41</v>
      </c>
      <c r="AW314">
        <v>1</v>
      </c>
      <c r="AX314" t="s">
        <v>74</v>
      </c>
      <c r="AY314" t="s">
        <v>74</v>
      </c>
      <c r="AZ314" t="s">
        <v>74</v>
      </c>
      <c r="BA314" t="s">
        <v>74</v>
      </c>
      <c r="BB314">
        <v>68</v>
      </c>
      <c r="BC314">
        <v>73</v>
      </c>
      <c r="BD314" t="s">
        <v>74</v>
      </c>
      <c r="BE314" t="s">
        <v>6355</v>
      </c>
      <c r="BF314" t="str">
        <f>HYPERLINK("http://dx.doi.org/10.1016/S1876-3804(14)60007-0","http://dx.doi.org/10.1016/S1876-3804(14)60007-0")</f>
        <v>http://dx.doi.org/10.1016/S1876-3804(14)60007-0</v>
      </c>
      <c r="BG314" t="s">
        <v>74</v>
      </c>
      <c r="BH314" t="s">
        <v>74</v>
      </c>
      <c r="BI314">
        <v>6</v>
      </c>
      <c r="BJ314" t="s">
        <v>6356</v>
      </c>
      <c r="BK314" t="s">
        <v>101</v>
      </c>
      <c r="BL314" t="s">
        <v>6357</v>
      </c>
      <c r="BM314" t="s">
        <v>6358</v>
      </c>
      <c r="BN314" t="s">
        <v>74</v>
      </c>
      <c r="BO314" t="s">
        <v>4013</v>
      </c>
      <c r="BP314" t="s">
        <v>74</v>
      </c>
      <c r="BQ314" t="s">
        <v>74</v>
      </c>
      <c r="BR314" t="s">
        <v>104</v>
      </c>
      <c r="BS314" t="s">
        <v>6359</v>
      </c>
      <c r="BT314" t="str">
        <f>HYPERLINK("https%3A%2F%2Fwww.webofscience.com%2Fwos%2Fwoscc%2Ffull-record%2FWOS:000331724800007","View Full Record in Web of Science")</f>
        <v>View Full Record in Web of Science</v>
      </c>
    </row>
    <row r="315" spans="1:72" x14ac:dyDescent="0.15">
      <c r="A315" t="s">
        <v>72</v>
      </c>
      <c r="B315" t="s">
        <v>6360</v>
      </c>
      <c r="C315" t="s">
        <v>74</v>
      </c>
      <c r="D315" t="s">
        <v>74</v>
      </c>
      <c r="E315" t="s">
        <v>74</v>
      </c>
      <c r="F315" t="s">
        <v>6361</v>
      </c>
      <c r="G315" t="s">
        <v>74</v>
      </c>
      <c r="H315" t="s">
        <v>74</v>
      </c>
      <c r="I315" t="s">
        <v>6362</v>
      </c>
      <c r="J315" t="s">
        <v>4219</v>
      </c>
      <c r="K315" t="s">
        <v>74</v>
      </c>
      <c r="L315" t="s">
        <v>74</v>
      </c>
      <c r="M315" t="s">
        <v>78</v>
      </c>
      <c r="N315" t="s">
        <v>79</v>
      </c>
      <c r="O315" t="s">
        <v>74</v>
      </c>
      <c r="P315" t="s">
        <v>74</v>
      </c>
      <c r="Q315" t="s">
        <v>74</v>
      </c>
      <c r="R315" t="s">
        <v>74</v>
      </c>
      <c r="S315" t="s">
        <v>74</v>
      </c>
      <c r="T315" t="s">
        <v>6363</v>
      </c>
      <c r="U315" t="s">
        <v>6364</v>
      </c>
      <c r="V315" t="s">
        <v>6365</v>
      </c>
      <c r="W315" t="s">
        <v>6366</v>
      </c>
      <c r="X315" t="s">
        <v>6367</v>
      </c>
      <c r="Y315" t="s">
        <v>6368</v>
      </c>
      <c r="Z315" t="s">
        <v>6369</v>
      </c>
      <c r="AA315" t="s">
        <v>6370</v>
      </c>
      <c r="AB315" t="s">
        <v>6371</v>
      </c>
      <c r="AC315" t="s">
        <v>6372</v>
      </c>
      <c r="AD315" t="s">
        <v>6373</v>
      </c>
      <c r="AE315" t="s">
        <v>6374</v>
      </c>
      <c r="AF315" t="s">
        <v>74</v>
      </c>
      <c r="AG315">
        <v>59</v>
      </c>
      <c r="AH315">
        <v>37</v>
      </c>
      <c r="AI315">
        <v>46</v>
      </c>
      <c r="AJ315">
        <v>2</v>
      </c>
      <c r="AK315">
        <v>58</v>
      </c>
      <c r="AL315" t="s">
        <v>4225</v>
      </c>
      <c r="AM315" t="s">
        <v>1948</v>
      </c>
      <c r="AN315" t="s">
        <v>4226</v>
      </c>
      <c r="AO315" t="s">
        <v>4227</v>
      </c>
      <c r="AP315" t="s">
        <v>4228</v>
      </c>
      <c r="AQ315" t="s">
        <v>74</v>
      </c>
      <c r="AR315" t="s">
        <v>4229</v>
      </c>
      <c r="AS315" t="s">
        <v>4230</v>
      </c>
      <c r="AT315" t="s">
        <v>5362</v>
      </c>
      <c r="AU315">
        <v>2014</v>
      </c>
      <c r="AV315">
        <v>217</v>
      </c>
      <c r="AW315">
        <v>3</v>
      </c>
      <c r="AX315" t="s">
        <v>74</v>
      </c>
      <c r="AY315" t="s">
        <v>74</v>
      </c>
      <c r="AZ315" t="s">
        <v>74</v>
      </c>
      <c r="BA315" t="s">
        <v>74</v>
      </c>
      <c r="BB315">
        <v>317</v>
      </c>
      <c r="BC315">
        <v>322</v>
      </c>
      <c r="BD315" t="s">
        <v>74</v>
      </c>
      <c r="BE315" t="s">
        <v>6375</v>
      </c>
      <c r="BF315" t="str">
        <f>HYPERLINK("http://dx.doi.org/10.1242/jeb.093922","http://dx.doi.org/10.1242/jeb.093922")</f>
        <v>http://dx.doi.org/10.1242/jeb.093922</v>
      </c>
      <c r="BG315" t="s">
        <v>74</v>
      </c>
      <c r="BH315" t="s">
        <v>74</v>
      </c>
      <c r="BI315">
        <v>6</v>
      </c>
      <c r="BJ315" t="s">
        <v>2474</v>
      </c>
      <c r="BK315" t="s">
        <v>101</v>
      </c>
      <c r="BL315" t="s">
        <v>2475</v>
      </c>
      <c r="BM315" t="s">
        <v>6376</v>
      </c>
      <c r="BN315">
        <v>24477606</v>
      </c>
      <c r="BO315" t="s">
        <v>1607</v>
      </c>
      <c r="BP315" t="s">
        <v>74</v>
      </c>
      <c r="BQ315" t="s">
        <v>74</v>
      </c>
      <c r="BR315" t="s">
        <v>104</v>
      </c>
      <c r="BS315" t="s">
        <v>6377</v>
      </c>
      <c r="BT315" t="str">
        <f>HYPERLINK("https%3A%2F%2Fwww.webofscience.com%2Fwos%2Fwoscc%2Ffull-record%2FWOS:000331204100009","View Full Record in Web of Science")</f>
        <v>View Full Record in Web of Science</v>
      </c>
    </row>
    <row r="316" spans="1:72" x14ac:dyDescent="0.15">
      <c r="A316" t="s">
        <v>72</v>
      </c>
      <c r="B316" t="s">
        <v>6378</v>
      </c>
      <c r="C316" t="s">
        <v>74</v>
      </c>
      <c r="D316" t="s">
        <v>74</v>
      </c>
      <c r="E316" t="s">
        <v>74</v>
      </c>
      <c r="F316" t="s">
        <v>6379</v>
      </c>
      <c r="G316" t="s">
        <v>74</v>
      </c>
      <c r="H316" t="s">
        <v>74</v>
      </c>
      <c r="I316" t="s">
        <v>6380</v>
      </c>
      <c r="J316" t="s">
        <v>6381</v>
      </c>
      <c r="K316" t="s">
        <v>74</v>
      </c>
      <c r="L316" t="s">
        <v>74</v>
      </c>
      <c r="M316" t="s">
        <v>78</v>
      </c>
      <c r="N316" t="s">
        <v>79</v>
      </c>
      <c r="O316" t="s">
        <v>74</v>
      </c>
      <c r="P316" t="s">
        <v>74</v>
      </c>
      <c r="Q316" t="s">
        <v>74</v>
      </c>
      <c r="R316" t="s">
        <v>74</v>
      </c>
      <c r="S316" t="s">
        <v>74</v>
      </c>
      <c r="T316" t="s">
        <v>6382</v>
      </c>
      <c r="U316" t="s">
        <v>6383</v>
      </c>
      <c r="V316" t="s">
        <v>6384</v>
      </c>
      <c r="W316" t="s">
        <v>6385</v>
      </c>
      <c r="X316" t="s">
        <v>6386</v>
      </c>
      <c r="Y316" t="s">
        <v>6387</v>
      </c>
      <c r="Z316" t="s">
        <v>6388</v>
      </c>
      <c r="AA316" t="s">
        <v>6389</v>
      </c>
      <c r="AB316" t="s">
        <v>6390</v>
      </c>
      <c r="AC316" t="s">
        <v>6391</v>
      </c>
      <c r="AD316" t="s">
        <v>6392</v>
      </c>
      <c r="AE316" t="s">
        <v>6393</v>
      </c>
      <c r="AF316" t="s">
        <v>74</v>
      </c>
      <c r="AG316">
        <v>51</v>
      </c>
      <c r="AH316">
        <v>1</v>
      </c>
      <c r="AI316">
        <v>2</v>
      </c>
      <c r="AJ316">
        <v>3</v>
      </c>
      <c r="AK316">
        <v>71</v>
      </c>
      <c r="AL316" t="s">
        <v>2795</v>
      </c>
      <c r="AM316" t="s">
        <v>2796</v>
      </c>
      <c r="AN316" t="s">
        <v>2797</v>
      </c>
      <c r="AO316" t="s">
        <v>6394</v>
      </c>
      <c r="AP316" t="s">
        <v>6395</v>
      </c>
      <c r="AQ316" t="s">
        <v>74</v>
      </c>
      <c r="AR316" t="s">
        <v>6396</v>
      </c>
      <c r="AS316" t="s">
        <v>6397</v>
      </c>
      <c r="AT316" t="s">
        <v>5362</v>
      </c>
      <c r="AU316">
        <v>2014</v>
      </c>
      <c r="AV316">
        <v>59</v>
      </c>
      <c r="AW316">
        <v>4</v>
      </c>
      <c r="AX316" t="s">
        <v>74</v>
      </c>
      <c r="AY316" t="s">
        <v>74</v>
      </c>
      <c r="AZ316" t="s">
        <v>74</v>
      </c>
      <c r="BA316" t="s">
        <v>74</v>
      </c>
      <c r="BB316">
        <v>437</v>
      </c>
      <c r="BC316">
        <v>446</v>
      </c>
      <c r="BD316" t="s">
        <v>74</v>
      </c>
      <c r="BE316" t="s">
        <v>6398</v>
      </c>
      <c r="BF316" t="str">
        <f>HYPERLINK("http://dx.doi.org/10.1007/s11434-013-0030-7","http://dx.doi.org/10.1007/s11434-013-0030-7")</f>
        <v>http://dx.doi.org/10.1007/s11434-013-0030-7</v>
      </c>
      <c r="BG316" t="s">
        <v>74</v>
      </c>
      <c r="BH316" t="s">
        <v>74</v>
      </c>
      <c r="BI316">
        <v>10</v>
      </c>
      <c r="BJ316" t="s">
        <v>1100</v>
      </c>
      <c r="BK316" t="s">
        <v>101</v>
      </c>
      <c r="BL316" t="s">
        <v>1101</v>
      </c>
      <c r="BM316" t="s">
        <v>6399</v>
      </c>
      <c r="BN316" t="s">
        <v>74</v>
      </c>
      <c r="BO316" t="s">
        <v>74</v>
      </c>
      <c r="BP316" t="s">
        <v>74</v>
      </c>
      <c r="BQ316" t="s">
        <v>74</v>
      </c>
      <c r="BR316" t="s">
        <v>104</v>
      </c>
      <c r="BS316" t="s">
        <v>6400</v>
      </c>
      <c r="BT316" t="str">
        <f>HYPERLINK("https%3A%2F%2Fwww.webofscience.com%2Fwos%2Fwoscc%2Ffull-record%2FWOS:000330827900011","View Full Record in Web of Science")</f>
        <v>View Full Record in Web of Science</v>
      </c>
    </row>
    <row r="317" spans="1:72" x14ac:dyDescent="0.15">
      <c r="A317" t="s">
        <v>72</v>
      </c>
      <c r="B317" t="s">
        <v>6401</v>
      </c>
      <c r="C317" t="s">
        <v>74</v>
      </c>
      <c r="D317" t="s">
        <v>74</v>
      </c>
      <c r="E317" t="s">
        <v>74</v>
      </c>
      <c r="F317" t="s">
        <v>6402</v>
      </c>
      <c r="G317" t="s">
        <v>74</v>
      </c>
      <c r="H317" t="s">
        <v>74</v>
      </c>
      <c r="I317" t="s">
        <v>6403</v>
      </c>
      <c r="J317" t="s">
        <v>3110</v>
      </c>
      <c r="K317" t="s">
        <v>74</v>
      </c>
      <c r="L317" t="s">
        <v>74</v>
      </c>
      <c r="M317" t="s">
        <v>78</v>
      </c>
      <c r="N317" t="s">
        <v>79</v>
      </c>
      <c r="O317" t="s">
        <v>74</v>
      </c>
      <c r="P317" t="s">
        <v>74</v>
      </c>
      <c r="Q317" t="s">
        <v>74</v>
      </c>
      <c r="R317" t="s">
        <v>74</v>
      </c>
      <c r="S317" t="s">
        <v>74</v>
      </c>
      <c r="T317" t="s">
        <v>6404</v>
      </c>
      <c r="U317" t="s">
        <v>6405</v>
      </c>
      <c r="V317" t="s">
        <v>6406</v>
      </c>
      <c r="W317" t="s">
        <v>6407</v>
      </c>
      <c r="X317" t="s">
        <v>6408</v>
      </c>
      <c r="Y317" t="s">
        <v>6409</v>
      </c>
      <c r="Z317" t="s">
        <v>6410</v>
      </c>
      <c r="AA317" t="s">
        <v>6411</v>
      </c>
      <c r="AB317" t="s">
        <v>6412</v>
      </c>
      <c r="AC317" t="s">
        <v>6413</v>
      </c>
      <c r="AD317" t="s">
        <v>6414</v>
      </c>
      <c r="AE317" t="s">
        <v>6415</v>
      </c>
      <c r="AF317" t="s">
        <v>74</v>
      </c>
      <c r="AG317">
        <v>47</v>
      </c>
      <c r="AH317">
        <v>21</v>
      </c>
      <c r="AI317">
        <v>24</v>
      </c>
      <c r="AJ317">
        <v>0</v>
      </c>
      <c r="AK317">
        <v>28</v>
      </c>
      <c r="AL317" t="s">
        <v>876</v>
      </c>
      <c r="AM317" t="s">
        <v>877</v>
      </c>
      <c r="AN317" t="s">
        <v>878</v>
      </c>
      <c r="AO317" t="s">
        <v>3123</v>
      </c>
      <c r="AP317" t="s">
        <v>3124</v>
      </c>
      <c r="AQ317" t="s">
        <v>74</v>
      </c>
      <c r="AR317" t="s">
        <v>3125</v>
      </c>
      <c r="AS317" t="s">
        <v>3126</v>
      </c>
      <c r="AT317" t="s">
        <v>5362</v>
      </c>
      <c r="AU317">
        <v>2014</v>
      </c>
      <c r="AV317">
        <v>27</v>
      </c>
      <c r="AW317">
        <v>4</v>
      </c>
      <c r="AX317" t="s">
        <v>74</v>
      </c>
      <c r="AY317" t="s">
        <v>74</v>
      </c>
      <c r="AZ317" t="s">
        <v>74</v>
      </c>
      <c r="BA317" t="s">
        <v>74</v>
      </c>
      <c r="BB317">
        <v>1469</v>
      </c>
      <c r="BC317">
        <v>1487</v>
      </c>
      <c r="BD317" t="s">
        <v>74</v>
      </c>
      <c r="BE317" t="s">
        <v>6416</v>
      </c>
      <c r="BF317" t="str">
        <f>HYPERLINK("http://dx.doi.org/10.1175/JCLI-D-12-00131.1","http://dx.doi.org/10.1175/JCLI-D-12-00131.1")</f>
        <v>http://dx.doi.org/10.1175/JCLI-D-12-00131.1</v>
      </c>
      <c r="BG317" t="s">
        <v>74</v>
      </c>
      <c r="BH317" t="s">
        <v>74</v>
      </c>
      <c r="BI317">
        <v>19</v>
      </c>
      <c r="BJ317" t="s">
        <v>1391</v>
      </c>
      <c r="BK317" t="s">
        <v>101</v>
      </c>
      <c r="BL317" t="s">
        <v>1391</v>
      </c>
      <c r="BM317" t="s">
        <v>6417</v>
      </c>
      <c r="BN317" t="s">
        <v>74</v>
      </c>
      <c r="BO317" t="s">
        <v>1244</v>
      </c>
      <c r="BP317" t="s">
        <v>74</v>
      </c>
      <c r="BQ317" t="s">
        <v>74</v>
      </c>
      <c r="BR317" t="s">
        <v>104</v>
      </c>
      <c r="BS317" t="s">
        <v>6418</v>
      </c>
      <c r="BT317" t="str">
        <f>HYPERLINK("https%3A%2F%2Fwww.webofscience.com%2Fwos%2Fwoscc%2Ffull-record%2FWOS:000330816100007","View Full Record in Web of Science")</f>
        <v>View Full Record in Web of Science</v>
      </c>
    </row>
    <row r="318" spans="1:72" x14ac:dyDescent="0.15">
      <c r="A318" t="s">
        <v>72</v>
      </c>
      <c r="B318" t="s">
        <v>6419</v>
      </c>
      <c r="C318" t="s">
        <v>74</v>
      </c>
      <c r="D318" t="s">
        <v>74</v>
      </c>
      <c r="E318" t="s">
        <v>74</v>
      </c>
      <c r="F318" t="s">
        <v>6420</v>
      </c>
      <c r="G318" t="s">
        <v>74</v>
      </c>
      <c r="H318" t="s">
        <v>74</v>
      </c>
      <c r="I318" t="s">
        <v>6421</v>
      </c>
      <c r="J318" t="s">
        <v>6422</v>
      </c>
      <c r="K318" t="s">
        <v>74</v>
      </c>
      <c r="L318" t="s">
        <v>74</v>
      </c>
      <c r="M318" t="s">
        <v>78</v>
      </c>
      <c r="N318" t="s">
        <v>79</v>
      </c>
      <c r="O318" t="s">
        <v>74</v>
      </c>
      <c r="P318" t="s">
        <v>74</v>
      </c>
      <c r="Q318" t="s">
        <v>74</v>
      </c>
      <c r="R318" t="s">
        <v>74</v>
      </c>
      <c r="S318" t="s">
        <v>74</v>
      </c>
      <c r="T318" t="s">
        <v>74</v>
      </c>
      <c r="U318" t="s">
        <v>6423</v>
      </c>
      <c r="V318" t="s">
        <v>6424</v>
      </c>
      <c r="W318" t="s">
        <v>6425</v>
      </c>
      <c r="X318" t="s">
        <v>6426</v>
      </c>
      <c r="Y318" t="s">
        <v>6427</v>
      </c>
      <c r="Z318" t="s">
        <v>6428</v>
      </c>
      <c r="AA318" t="s">
        <v>74</v>
      </c>
      <c r="AB318" t="s">
        <v>74</v>
      </c>
      <c r="AC318" t="s">
        <v>6429</v>
      </c>
      <c r="AD318" t="s">
        <v>6429</v>
      </c>
      <c r="AE318" t="s">
        <v>6430</v>
      </c>
      <c r="AF318" t="s">
        <v>74</v>
      </c>
      <c r="AG318">
        <v>118</v>
      </c>
      <c r="AH318">
        <v>30</v>
      </c>
      <c r="AI318">
        <v>34</v>
      </c>
      <c r="AJ318">
        <v>0</v>
      </c>
      <c r="AK318">
        <v>30</v>
      </c>
      <c r="AL318" t="s">
        <v>403</v>
      </c>
      <c r="AM318" t="s">
        <v>404</v>
      </c>
      <c r="AN318" t="s">
        <v>405</v>
      </c>
      <c r="AO318" t="s">
        <v>6431</v>
      </c>
      <c r="AP318" t="s">
        <v>6432</v>
      </c>
      <c r="AQ318" t="s">
        <v>74</v>
      </c>
      <c r="AR318" t="s">
        <v>6433</v>
      </c>
      <c r="AS318" t="s">
        <v>6434</v>
      </c>
      <c r="AT318" t="s">
        <v>5362</v>
      </c>
      <c r="AU318">
        <v>2014</v>
      </c>
      <c r="AV318">
        <v>49</v>
      </c>
      <c r="AW318">
        <v>2</v>
      </c>
      <c r="AX318" t="s">
        <v>74</v>
      </c>
      <c r="AY318" t="s">
        <v>74</v>
      </c>
      <c r="AZ318" t="s">
        <v>74</v>
      </c>
      <c r="BA318" t="s">
        <v>74</v>
      </c>
      <c r="BB318">
        <v>154</v>
      </c>
      <c r="BC318">
        <v>171</v>
      </c>
      <c r="BD318" t="s">
        <v>74</v>
      </c>
      <c r="BE318" t="s">
        <v>6435</v>
      </c>
      <c r="BF318" t="str">
        <f>HYPERLINK("http://dx.doi.org/10.1111/j.1945-5100.2012.01405.x","http://dx.doi.org/10.1111/j.1945-5100.2012.01405.x")</f>
        <v>http://dx.doi.org/10.1111/j.1945-5100.2012.01405.x</v>
      </c>
      <c r="BG318" t="s">
        <v>74</v>
      </c>
      <c r="BH318" t="s">
        <v>74</v>
      </c>
      <c r="BI318">
        <v>18</v>
      </c>
      <c r="BJ318" t="s">
        <v>574</v>
      </c>
      <c r="BK318" t="s">
        <v>101</v>
      </c>
      <c r="BL318" t="s">
        <v>574</v>
      </c>
      <c r="BM318" t="s">
        <v>6436</v>
      </c>
      <c r="BN318" t="s">
        <v>74</v>
      </c>
      <c r="BO318" t="s">
        <v>74</v>
      </c>
      <c r="BP318" t="s">
        <v>74</v>
      </c>
      <c r="BQ318" t="s">
        <v>74</v>
      </c>
      <c r="BR318" t="s">
        <v>104</v>
      </c>
      <c r="BS318" t="s">
        <v>6437</v>
      </c>
      <c r="BT318" t="str">
        <f>HYPERLINK("https%3A%2F%2Fwww.webofscience.com%2Fwos%2Fwoscc%2Ffull-record%2FWOS:000331193700002","View Full Record in Web of Science")</f>
        <v>View Full Record in Web of Science</v>
      </c>
    </row>
    <row r="319" spans="1:72" x14ac:dyDescent="0.15">
      <c r="A319" t="s">
        <v>72</v>
      </c>
      <c r="B319" t="s">
        <v>6438</v>
      </c>
      <c r="C319" t="s">
        <v>74</v>
      </c>
      <c r="D319" t="s">
        <v>74</v>
      </c>
      <c r="E319" t="s">
        <v>74</v>
      </c>
      <c r="F319" t="s">
        <v>6439</v>
      </c>
      <c r="G319" t="s">
        <v>74</v>
      </c>
      <c r="H319" t="s">
        <v>74</v>
      </c>
      <c r="I319" t="s">
        <v>6440</v>
      </c>
      <c r="J319" t="s">
        <v>6441</v>
      </c>
      <c r="K319" t="s">
        <v>74</v>
      </c>
      <c r="L319" t="s">
        <v>74</v>
      </c>
      <c r="M319" t="s">
        <v>78</v>
      </c>
      <c r="N319" t="s">
        <v>79</v>
      </c>
      <c r="O319" t="s">
        <v>74</v>
      </c>
      <c r="P319" t="s">
        <v>74</v>
      </c>
      <c r="Q319" t="s">
        <v>74</v>
      </c>
      <c r="R319" t="s">
        <v>74</v>
      </c>
      <c r="S319" t="s">
        <v>74</v>
      </c>
      <c r="T319" t="s">
        <v>6442</v>
      </c>
      <c r="U319" t="s">
        <v>6443</v>
      </c>
      <c r="V319" t="s">
        <v>6444</v>
      </c>
      <c r="W319" t="s">
        <v>6445</v>
      </c>
      <c r="X319" t="s">
        <v>6446</v>
      </c>
      <c r="Y319" t="s">
        <v>6447</v>
      </c>
      <c r="Z319" t="s">
        <v>6448</v>
      </c>
      <c r="AA319" t="s">
        <v>74</v>
      </c>
      <c r="AB319" t="s">
        <v>74</v>
      </c>
      <c r="AC319" t="s">
        <v>6449</v>
      </c>
      <c r="AD319" t="s">
        <v>6450</v>
      </c>
      <c r="AE319" t="s">
        <v>6451</v>
      </c>
      <c r="AF319" t="s">
        <v>74</v>
      </c>
      <c r="AG319">
        <v>54</v>
      </c>
      <c r="AH319">
        <v>24</v>
      </c>
      <c r="AI319">
        <v>27</v>
      </c>
      <c r="AJ319">
        <v>2</v>
      </c>
      <c r="AK319">
        <v>43</v>
      </c>
      <c r="AL319" t="s">
        <v>145</v>
      </c>
      <c r="AM319" t="s">
        <v>92</v>
      </c>
      <c r="AN319" t="s">
        <v>472</v>
      </c>
      <c r="AO319" t="s">
        <v>6452</v>
      </c>
      <c r="AP319" t="s">
        <v>6453</v>
      </c>
      <c r="AQ319" t="s">
        <v>74</v>
      </c>
      <c r="AR319" t="s">
        <v>6454</v>
      </c>
      <c r="AS319" t="s">
        <v>6455</v>
      </c>
      <c r="AT319" t="s">
        <v>5362</v>
      </c>
      <c r="AU319">
        <v>2014</v>
      </c>
      <c r="AV319">
        <v>196</v>
      </c>
      <c r="AW319">
        <v>2</v>
      </c>
      <c r="AX319" t="s">
        <v>74</v>
      </c>
      <c r="AY319" t="s">
        <v>74</v>
      </c>
      <c r="AZ319" t="s">
        <v>74</v>
      </c>
      <c r="BA319" t="s">
        <v>74</v>
      </c>
      <c r="BB319">
        <v>137</v>
      </c>
      <c r="BC319">
        <v>147</v>
      </c>
      <c r="BD319" t="s">
        <v>74</v>
      </c>
      <c r="BE319" t="s">
        <v>6456</v>
      </c>
      <c r="BF319" t="str">
        <f>HYPERLINK("http://dx.doi.org/10.1007/s00203-013-0950-2","http://dx.doi.org/10.1007/s00203-013-0950-2")</f>
        <v>http://dx.doi.org/10.1007/s00203-013-0950-2</v>
      </c>
      <c r="BG319" t="s">
        <v>74</v>
      </c>
      <c r="BH319" t="s">
        <v>74</v>
      </c>
      <c r="BI319">
        <v>11</v>
      </c>
      <c r="BJ319" t="s">
        <v>3624</v>
      </c>
      <c r="BK319" t="s">
        <v>101</v>
      </c>
      <c r="BL319" t="s">
        <v>3624</v>
      </c>
      <c r="BM319" t="s">
        <v>6457</v>
      </c>
      <c r="BN319">
        <v>24408126</v>
      </c>
      <c r="BO319" t="s">
        <v>74</v>
      </c>
      <c r="BP319" t="s">
        <v>74</v>
      </c>
      <c r="BQ319" t="s">
        <v>74</v>
      </c>
      <c r="BR319" t="s">
        <v>104</v>
      </c>
      <c r="BS319" t="s">
        <v>6458</v>
      </c>
      <c r="BT319" t="str">
        <f>HYPERLINK("https%3A%2F%2Fwww.webofscience.com%2Fwos%2Fwoscc%2Ffull-record%2FWOS:000330729300007","View Full Record in Web of Science")</f>
        <v>View Full Record in Web of Science</v>
      </c>
    </row>
    <row r="320" spans="1:72" x14ac:dyDescent="0.15">
      <c r="A320" t="s">
        <v>72</v>
      </c>
      <c r="B320" t="s">
        <v>6459</v>
      </c>
      <c r="C320" t="s">
        <v>74</v>
      </c>
      <c r="D320" t="s">
        <v>74</v>
      </c>
      <c r="E320" t="s">
        <v>74</v>
      </c>
      <c r="F320" t="s">
        <v>6460</v>
      </c>
      <c r="G320" t="s">
        <v>74</v>
      </c>
      <c r="H320" t="s">
        <v>74</v>
      </c>
      <c r="I320" t="s">
        <v>6461</v>
      </c>
      <c r="J320" t="s">
        <v>6462</v>
      </c>
      <c r="K320" t="s">
        <v>74</v>
      </c>
      <c r="L320" t="s">
        <v>74</v>
      </c>
      <c r="M320" t="s">
        <v>78</v>
      </c>
      <c r="N320" t="s">
        <v>79</v>
      </c>
      <c r="O320" t="s">
        <v>74</v>
      </c>
      <c r="P320" t="s">
        <v>74</v>
      </c>
      <c r="Q320" t="s">
        <v>74</v>
      </c>
      <c r="R320" t="s">
        <v>74</v>
      </c>
      <c r="S320" t="s">
        <v>74</v>
      </c>
      <c r="T320" t="s">
        <v>6463</v>
      </c>
      <c r="U320" t="s">
        <v>6464</v>
      </c>
      <c r="V320" t="s">
        <v>6465</v>
      </c>
      <c r="W320" t="s">
        <v>6466</v>
      </c>
      <c r="X320" t="s">
        <v>6467</v>
      </c>
      <c r="Y320" t="s">
        <v>6468</v>
      </c>
      <c r="Z320" t="s">
        <v>6469</v>
      </c>
      <c r="AA320" t="s">
        <v>6470</v>
      </c>
      <c r="AB320" t="s">
        <v>6471</v>
      </c>
      <c r="AC320" t="s">
        <v>6472</v>
      </c>
      <c r="AD320" t="s">
        <v>6473</v>
      </c>
      <c r="AE320" t="s">
        <v>6474</v>
      </c>
      <c r="AF320" t="s">
        <v>74</v>
      </c>
      <c r="AG320">
        <v>64</v>
      </c>
      <c r="AH320">
        <v>18</v>
      </c>
      <c r="AI320">
        <v>19</v>
      </c>
      <c r="AJ320">
        <v>0</v>
      </c>
      <c r="AK320">
        <v>37</v>
      </c>
      <c r="AL320" t="s">
        <v>4513</v>
      </c>
      <c r="AM320" t="s">
        <v>2151</v>
      </c>
      <c r="AN320" t="s">
        <v>4514</v>
      </c>
      <c r="AO320" t="s">
        <v>6475</v>
      </c>
      <c r="AP320" t="s">
        <v>6476</v>
      </c>
      <c r="AQ320" t="s">
        <v>74</v>
      </c>
      <c r="AR320" t="s">
        <v>6477</v>
      </c>
      <c r="AS320" t="s">
        <v>6478</v>
      </c>
      <c r="AT320" t="s">
        <v>5362</v>
      </c>
      <c r="AU320">
        <v>2014</v>
      </c>
      <c r="AV320">
        <v>57</v>
      </c>
      <c r="AW320">
        <v>1</v>
      </c>
      <c r="AX320" t="s">
        <v>74</v>
      </c>
      <c r="AY320" t="s">
        <v>74</v>
      </c>
      <c r="AZ320" t="s">
        <v>74</v>
      </c>
      <c r="BA320" t="s">
        <v>74</v>
      </c>
      <c r="BB320">
        <v>9</v>
      </c>
      <c r="BC320">
        <v>20</v>
      </c>
      <c r="BD320" t="s">
        <v>74</v>
      </c>
      <c r="BE320" t="s">
        <v>6479</v>
      </c>
      <c r="BF320" t="str">
        <f>HYPERLINK("http://dx.doi.org/10.1515/bot-2013-0090","http://dx.doi.org/10.1515/bot-2013-0090")</f>
        <v>http://dx.doi.org/10.1515/bot-2013-0090</v>
      </c>
      <c r="BG320" t="s">
        <v>74</v>
      </c>
      <c r="BH320" t="s">
        <v>74</v>
      </c>
      <c r="BI320">
        <v>12</v>
      </c>
      <c r="BJ320" t="s">
        <v>857</v>
      </c>
      <c r="BK320" t="s">
        <v>101</v>
      </c>
      <c r="BL320" t="s">
        <v>857</v>
      </c>
      <c r="BM320" t="s">
        <v>6480</v>
      </c>
      <c r="BN320" t="s">
        <v>74</v>
      </c>
      <c r="BO320" t="s">
        <v>74</v>
      </c>
      <c r="BP320" t="s">
        <v>74</v>
      </c>
      <c r="BQ320" t="s">
        <v>74</v>
      </c>
      <c r="BR320" t="s">
        <v>104</v>
      </c>
      <c r="BS320" t="s">
        <v>6481</v>
      </c>
      <c r="BT320" t="str">
        <f>HYPERLINK("https%3A%2F%2Fwww.webofscience.com%2Fwos%2Fwoscc%2Ffull-record%2FWOS:000330944900002","View Full Record in Web of Science")</f>
        <v>View Full Record in Web of Science</v>
      </c>
    </row>
    <row r="321" spans="1:72" x14ac:dyDescent="0.15">
      <c r="A321" t="s">
        <v>72</v>
      </c>
      <c r="B321" t="s">
        <v>6482</v>
      </c>
      <c r="C321" t="s">
        <v>74</v>
      </c>
      <c r="D321" t="s">
        <v>74</v>
      </c>
      <c r="E321" t="s">
        <v>74</v>
      </c>
      <c r="F321" t="s">
        <v>6483</v>
      </c>
      <c r="G321" t="s">
        <v>74</v>
      </c>
      <c r="H321" t="s">
        <v>74</v>
      </c>
      <c r="I321" t="s">
        <v>6484</v>
      </c>
      <c r="J321" t="s">
        <v>3427</v>
      </c>
      <c r="K321" t="s">
        <v>74</v>
      </c>
      <c r="L321" t="s">
        <v>74</v>
      </c>
      <c r="M321" t="s">
        <v>78</v>
      </c>
      <c r="N321" t="s">
        <v>79</v>
      </c>
      <c r="O321" t="s">
        <v>74</v>
      </c>
      <c r="P321" t="s">
        <v>74</v>
      </c>
      <c r="Q321" t="s">
        <v>74</v>
      </c>
      <c r="R321" t="s">
        <v>74</v>
      </c>
      <c r="S321" t="s">
        <v>74</v>
      </c>
      <c r="T321" t="s">
        <v>74</v>
      </c>
      <c r="U321" t="s">
        <v>6485</v>
      </c>
      <c r="V321" t="s">
        <v>6486</v>
      </c>
      <c r="W321" t="s">
        <v>6487</v>
      </c>
      <c r="X321" t="s">
        <v>6488</v>
      </c>
      <c r="Y321" t="s">
        <v>6489</v>
      </c>
      <c r="Z321" t="s">
        <v>6490</v>
      </c>
      <c r="AA321" t="s">
        <v>6491</v>
      </c>
      <c r="AB321" t="s">
        <v>6492</v>
      </c>
      <c r="AC321" t="s">
        <v>6493</v>
      </c>
      <c r="AD321" t="s">
        <v>6494</v>
      </c>
      <c r="AE321" t="s">
        <v>6495</v>
      </c>
      <c r="AF321" t="s">
        <v>74</v>
      </c>
      <c r="AG321">
        <v>64</v>
      </c>
      <c r="AH321">
        <v>7</v>
      </c>
      <c r="AI321">
        <v>10</v>
      </c>
      <c r="AJ321">
        <v>1</v>
      </c>
      <c r="AK321">
        <v>21</v>
      </c>
      <c r="AL321" t="s">
        <v>145</v>
      </c>
      <c r="AM321" t="s">
        <v>92</v>
      </c>
      <c r="AN321" t="s">
        <v>3045</v>
      </c>
      <c r="AO321" t="s">
        <v>3438</v>
      </c>
      <c r="AP321" t="s">
        <v>3439</v>
      </c>
      <c r="AQ321" t="s">
        <v>74</v>
      </c>
      <c r="AR321" t="s">
        <v>3440</v>
      </c>
      <c r="AS321" t="s">
        <v>3441</v>
      </c>
      <c r="AT321" t="s">
        <v>5362</v>
      </c>
      <c r="AU321">
        <v>2014</v>
      </c>
      <c r="AV321">
        <v>42</v>
      </c>
      <c r="AW321" t="s">
        <v>3974</v>
      </c>
      <c r="AX321" t="s">
        <v>74</v>
      </c>
      <c r="AY321" t="s">
        <v>74</v>
      </c>
      <c r="AZ321" t="s">
        <v>74</v>
      </c>
      <c r="BA321" t="s">
        <v>74</v>
      </c>
      <c r="BB321">
        <v>843</v>
      </c>
      <c r="BC321">
        <v>858</v>
      </c>
      <c r="BD321" t="s">
        <v>74</v>
      </c>
      <c r="BE321" t="s">
        <v>6496</v>
      </c>
      <c r="BF321" t="str">
        <f>HYPERLINK("http://dx.doi.org/10.1007/s00382-013-1689-9","http://dx.doi.org/10.1007/s00382-013-1689-9")</f>
        <v>http://dx.doi.org/10.1007/s00382-013-1689-9</v>
      </c>
      <c r="BG321" t="s">
        <v>74</v>
      </c>
      <c r="BH321" t="s">
        <v>74</v>
      </c>
      <c r="BI321">
        <v>16</v>
      </c>
      <c r="BJ321" t="s">
        <v>1391</v>
      </c>
      <c r="BK321" t="s">
        <v>101</v>
      </c>
      <c r="BL321" t="s">
        <v>1391</v>
      </c>
      <c r="BM321" t="s">
        <v>6497</v>
      </c>
      <c r="BN321" t="s">
        <v>74</v>
      </c>
      <c r="BO321" t="s">
        <v>74</v>
      </c>
      <c r="BP321" t="s">
        <v>74</v>
      </c>
      <c r="BQ321" t="s">
        <v>74</v>
      </c>
      <c r="BR321" t="s">
        <v>104</v>
      </c>
      <c r="BS321" t="s">
        <v>6498</v>
      </c>
      <c r="BT321" t="str">
        <f>HYPERLINK("https%3A%2F%2Fwww.webofscience.com%2Fwos%2Fwoscc%2Ffull-record%2FWOS:000330731300017","View Full Record in Web of Science")</f>
        <v>View Full Record in Web of Science</v>
      </c>
    </row>
    <row r="322" spans="1:72" x14ac:dyDescent="0.15">
      <c r="A322" t="s">
        <v>72</v>
      </c>
      <c r="B322" t="s">
        <v>6499</v>
      </c>
      <c r="C322" t="s">
        <v>74</v>
      </c>
      <c r="D322" t="s">
        <v>74</v>
      </c>
      <c r="E322" t="s">
        <v>74</v>
      </c>
      <c r="F322" t="s">
        <v>6500</v>
      </c>
      <c r="G322" t="s">
        <v>74</v>
      </c>
      <c r="H322" t="s">
        <v>74</v>
      </c>
      <c r="I322" t="s">
        <v>6501</v>
      </c>
      <c r="J322" t="s">
        <v>6502</v>
      </c>
      <c r="K322" t="s">
        <v>74</v>
      </c>
      <c r="L322" t="s">
        <v>74</v>
      </c>
      <c r="M322" t="s">
        <v>78</v>
      </c>
      <c r="N322" t="s">
        <v>79</v>
      </c>
      <c r="O322" t="s">
        <v>74</v>
      </c>
      <c r="P322" t="s">
        <v>74</v>
      </c>
      <c r="Q322" t="s">
        <v>74</v>
      </c>
      <c r="R322" t="s">
        <v>74</v>
      </c>
      <c r="S322" t="s">
        <v>74</v>
      </c>
      <c r="T322" t="s">
        <v>6503</v>
      </c>
      <c r="U322" t="s">
        <v>6504</v>
      </c>
      <c r="V322" t="s">
        <v>6505</v>
      </c>
      <c r="W322" t="s">
        <v>6506</v>
      </c>
      <c r="X322" t="s">
        <v>6507</v>
      </c>
      <c r="Y322" t="s">
        <v>6508</v>
      </c>
      <c r="Z322" t="s">
        <v>6509</v>
      </c>
      <c r="AA322" t="s">
        <v>74</v>
      </c>
      <c r="AB322" t="s">
        <v>6510</v>
      </c>
      <c r="AC322" t="s">
        <v>6511</v>
      </c>
      <c r="AD322" t="s">
        <v>6511</v>
      </c>
      <c r="AE322" t="s">
        <v>6512</v>
      </c>
      <c r="AF322" t="s">
        <v>74</v>
      </c>
      <c r="AG322">
        <v>20</v>
      </c>
      <c r="AH322">
        <v>53</v>
      </c>
      <c r="AI322">
        <v>59</v>
      </c>
      <c r="AJ322">
        <v>3</v>
      </c>
      <c r="AK322">
        <v>83</v>
      </c>
      <c r="AL322" t="s">
        <v>403</v>
      </c>
      <c r="AM322" t="s">
        <v>404</v>
      </c>
      <c r="AN322" t="s">
        <v>405</v>
      </c>
      <c r="AO322" t="s">
        <v>6513</v>
      </c>
      <c r="AP322" t="s">
        <v>6514</v>
      </c>
      <c r="AQ322" t="s">
        <v>74</v>
      </c>
      <c r="AR322" t="s">
        <v>6502</v>
      </c>
      <c r="AS322" t="s">
        <v>6515</v>
      </c>
      <c r="AT322" t="s">
        <v>5362</v>
      </c>
      <c r="AU322">
        <v>2014</v>
      </c>
      <c r="AV322">
        <v>49</v>
      </c>
      <c r="AW322">
        <v>2</v>
      </c>
      <c r="AX322" t="s">
        <v>74</v>
      </c>
      <c r="AY322" t="s">
        <v>74</v>
      </c>
      <c r="AZ322" t="s">
        <v>74</v>
      </c>
      <c r="BA322" t="s">
        <v>74</v>
      </c>
      <c r="BB322">
        <v>163</v>
      </c>
      <c r="BC322">
        <v>172</v>
      </c>
      <c r="BD322" t="s">
        <v>74</v>
      </c>
      <c r="BE322" t="s">
        <v>6516</v>
      </c>
      <c r="BF322" t="str">
        <f>HYPERLINK("http://dx.doi.org/10.1007/s11745-013-3855-6","http://dx.doi.org/10.1007/s11745-013-3855-6")</f>
        <v>http://dx.doi.org/10.1007/s11745-013-3855-6</v>
      </c>
      <c r="BG322" t="s">
        <v>74</v>
      </c>
      <c r="BH322" t="s">
        <v>74</v>
      </c>
      <c r="BI322">
        <v>10</v>
      </c>
      <c r="BJ322" t="s">
        <v>6517</v>
      </c>
      <c r="BK322" t="s">
        <v>101</v>
      </c>
      <c r="BL322" t="s">
        <v>6517</v>
      </c>
      <c r="BM322" t="s">
        <v>6518</v>
      </c>
      <c r="BN322">
        <v>24190513</v>
      </c>
      <c r="BO322" t="s">
        <v>74</v>
      </c>
      <c r="BP322" t="s">
        <v>74</v>
      </c>
      <c r="BQ322" t="s">
        <v>74</v>
      </c>
      <c r="BR322" t="s">
        <v>104</v>
      </c>
      <c r="BS322" t="s">
        <v>6519</v>
      </c>
      <c r="BT322" t="str">
        <f>HYPERLINK("https%3A%2F%2Fwww.webofscience.com%2Fwos%2Fwoscc%2Ffull-record%2FWOS:000330721100005","View Full Record in Web of Science")</f>
        <v>View Full Record in Web of Science</v>
      </c>
    </row>
    <row r="323" spans="1:72" x14ac:dyDescent="0.15">
      <c r="A323" t="s">
        <v>72</v>
      </c>
      <c r="B323" t="s">
        <v>6520</v>
      </c>
      <c r="C323" t="s">
        <v>74</v>
      </c>
      <c r="D323" t="s">
        <v>74</v>
      </c>
      <c r="E323" t="s">
        <v>74</v>
      </c>
      <c r="F323" t="s">
        <v>6521</v>
      </c>
      <c r="G323" t="s">
        <v>74</v>
      </c>
      <c r="H323" t="s">
        <v>74</v>
      </c>
      <c r="I323" t="s">
        <v>6522</v>
      </c>
      <c r="J323" t="s">
        <v>6523</v>
      </c>
      <c r="K323" t="s">
        <v>74</v>
      </c>
      <c r="L323" t="s">
        <v>74</v>
      </c>
      <c r="M323" t="s">
        <v>78</v>
      </c>
      <c r="N323" t="s">
        <v>79</v>
      </c>
      <c r="O323" t="s">
        <v>74</v>
      </c>
      <c r="P323" t="s">
        <v>74</v>
      </c>
      <c r="Q323" t="s">
        <v>74</v>
      </c>
      <c r="R323" t="s">
        <v>74</v>
      </c>
      <c r="S323" t="s">
        <v>74</v>
      </c>
      <c r="T323" t="s">
        <v>6524</v>
      </c>
      <c r="U323" t="s">
        <v>6525</v>
      </c>
      <c r="V323" t="s">
        <v>6526</v>
      </c>
      <c r="W323" t="s">
        <v>6527</v>
      </c>
      <c r="X323" t="s">
        <v>6528</v>
      </c>
      <c r="Y323" t="s">
        <v>6529</v>
      </c>
      <c r="Z323" t="s">
        <v>6530</v>
      </c>
      <c r="AA323" t="s">
        <v>6531</v>
      </c>
      <c r="AB323" t="s">
        <v>6532</v>
      </c>
      <c r="AC323" t="s">
        <v>6533</v>
      </c>
      <c r="AD323" t="s">
        <v>6313</v>
      </c>
      <c r="AE323" t="s">
        <v>6534</v>
      </c>
      <c r="AF323" t="s">
        <v>74</v>
      </c>
      <c r="AG323">
        <v>58</v>
      </c>
      <c r="AH323">
        <v>7</v>
      </c>
      <c r="AI323">
        <v>8</v>
      </c>
      <c r="AJ323">
        <v>0</v>
      </c>
      <c r="AK323">
        <v>15</v>
      </c>
      <c r="AL323" t="s">
        <v>521</v>
      </c>
      <c r="AM323" t="s">
        <v>522</v>
      </c>
      <c r="AN323" t="s">
        <v>523</v>
      </c>
      <c r="AO323" t="s">
        <v>6535</v>
      </c>
      <c r="AP323" t="s">
        <v>6536</v>
      </c>
      <c r="AQ323" t="s">
        <v>74</v>
      </c>
      <c r="AR323" t="s">
        <v>6537</v>
      </c>
      <c r="AS323" t="s">
        <v>6538</v>
      </c>
      <c r="AT323" t="s">
        <v>5362</v>
      </c>
      <c r="AU323">
        <v>2014</v>
      </c>
      <c r="AV323">
        <v>74</v>
      </c>
      <c r="AW323" t="s">
        <v>74</v>
      </c>
      <c r="AX323" t="s">
        <v>74</v>
      </c>
      <c r="AY323" t="s">
        <v>74</v>
      </c>
      <c r="AZ323" t="s">
        <v>74</v>
      </c>
      <c r="BA323" t="s">
        <v>74</v>
      </c>
      <c r="BB323">
        <v>1</v>
      </c>
      <c r="BC323">
        <v>21</v>
      </c>
      <c r="BD323" t="s">
        <v>74</v>
      </c>
      <c r="BE323" t="s">
        <v>6539</v>
      </c>
      <c r="BF323" t="str">
        <f>HYPERLINK("http://dx.doi.org/10.1016/j.ocemod.2013.11.001","http://dx.doi.org/10.1016/j.ocemod.2013.11.001")</f>
        <v>http://dx.doi.org/10.1016/j.ocemod.2013.11.001</v>
      </c>
      <c r="BG323" t="s">
        <v>74</v>
      </c>
      <c r="BH323" t="s">
        <v>74</v>
      </c>
      <c r="BI323">
        <v>21</v>
      </c>
      <c r="BJ323" t="s">
        <v>6540</v>
      </c>
      <c r="BK323" t="s">
        <v>101</v>
      </c>
      <c r="BL323" t="s">
        <v>6540</v>
      </c>
      <c r="BM323" t="s">
        <v>6541</v>
      </c>
      <c r="BN323" t="s">
        <v>74</v>
      </c>
      <c r="BO323" t="s">
        <v>74</v>
      </c>
      <c r="BP323" t="s">
        <v>74</v>
      </c>
      <c r="BQ323" t="s">
        <v>74</v>
      </c>
      <c r="BR323" t="s">
        <v>104</v>
      </c>
      <c r="BS323" t="s">
        <v>6542</v>
      </c>
      <c r="BT323" t="str">
        <f>HYPERLINK("https%3A%2F%2Fwww.webofscience.com%2Fwos%2Fwoscc%2Ffull-record%2FWOS:000330576400001","View Full Record in Web of Science")</f>
        <v>View Full Record in Web of Science</v>
      </c>
    </row>
    <row r="324" spans="1:72" x14ac:dyDescent="0.15">
      <c r="A324" t="s">
        <v>72</v>
      </c>
      <c r="B324" t="s">
        <v>6543</v>
      </c>
      <c r="C324" t="s">
        <v>74</v>
      </c>
      <c r="D324" t="s">
        <v>74</v>
      </c>
      <c r="E324" t="s">
        <v>74</v>
      </c>
      <c r="F324" t="s">
        <v>6544</v>
      </c>
      <c r="G324" t="s">
        <v>74</v>
      </c>
      <c r="H324" t="s">
        <v>74</v>
      </c>
      <c r="I324" t="s">
        <v>6545</v>
      </c>
      <c r="J324" t="s">
        <v>6546</v>
      </c>
      <c r="K324" t="s">
        <v>74</v>
      </c>
      <c r="L324" t="s">
        <v>74</v>
      </c>
      <c r="M324" t="s">
        <v>78</v>
      </c>
      <c r="N324" t="s">
        <v>79</v>
      </c>
      <c r="O324" t="s">
        <v>74</v>
      </c>
      <c r="P324" t="s">
        <v>74</v>
      </c>
      <c r="Q324" t="s">
        <v>74</v>
      </c>
      <c r="R324" t="s">
        <v>74</v>
      </c>
      <c r="S324" t="s">
        <v>74</v>
      </c>
      <c r="T324" t="s">
        <v>74</v>
      </c>
      <c r="U324" t="s">
        <v>6547</v>
      </c>
      <c r="V324" t="s">
        <v>6548</v>
      </c>
      <c r="W324" t="s">
        <v>6549</v>
      </c>
      <c r="X324" t="s">
        <v>6550</v>
      </c>
      <c r="Y324" t="s">
        <v>6551</v>
      </c>
      <c r="Z324" t="s">
        <v>6552</v>
      </c>
      <c r="AA324" t="s">
        <v>6553</v>
      </c>
      <c r="AB324" t="s">
        <v>6554</v>
      </c>
      <c r="AC324" t="s">
        <v>6555</v>
      </c>
      <c r="AD324" t="s">
        <v>6556</v>
      </c>
      <c r="AE324" t="s">
        <v>6557</v>
      </c>
      <c r="AF324" t="s">
        <v>74</v>
      </c>
      <c r="AG324">
        <v>62</v>
      </c>
      <c r="AH324">
        <v>23</v>
      </c>
      <c r="AI324">
        <v>23</v>
      </c>
      <c r="AJ324">
        <v>0</v>
      </c>
      <c r="AK324">
        <v>19</v>
      </c>
      <c r="AL324" t="s">
        <v>403</v>
      </c>
      <c r="AM324" t="s">
        <v>404</v>
      </c>
      <c r="AN324" t="s">
        <v>405</v>
      </c>
      <c r="AO324" t="s">
        <v>6558</v>
      </c>
      <c r="AP324" t="s">
        <v>6559</v>
      </c>
      <c r="AQ324" t="s">
        <v>74</v>
      </c>
      <c r="AR324" t="s">
        <v>6546</v>
      </c>
      <c r="AS324" t="s">
        <v>6560</v>
      </c>
      <c r="AT324" t="s">
        <v>5362</v>
      </c>
      <c r="AU324">
        <v>2014</v>
      </c>
      <c r="AV324">
        <v>26</v>
      </c>
      <c r="AW324">
        <v>1</v>
      </c>
      <c r="AX324" t="s">
        <v>74</v>
      </c>
      <c r="AY324" t="s">
        <v>74</v>
      </c>
      <c r="AZ324" t="s">
        <v>74</v>
      </c>
      <c r="BA324" t="s">
        <v>74</v>
      </c>
      <c r="BB324">
        <v>64</v>
      </c>
      <c r="BC324">
        <v>71</v>
      </c>
      <c r="BD324" t="s">
        <v>74</v>
      </c>
      <c r="BE324" t="s">
        <v>6561</v>
      </c>
      <c r="BF324" t="str">
        <f>HYPERLINK("http://dx.doi.org/10.1111/ter.12070","http://dx.doi.org/10.1111/ter.12070")</f>
        <v>http://dx.doi.org/10.1111/ter.12070</v>
      </c>
      <c r="BG324" t="s">
        <v>74</v>
      </c>
      <c r="BH324" t="s">
        <v>74</v>
      </c>
      <c r="BI324">
        <v>8</v>
      </c>
      <c r="BJ324" t="s">
        <v>952</v>
      </c>
      <c r="BK324" t="s">
        <v>101</v>
      </c>
      <c r="BL324" t="s">
        <v>597</v>
      </c>
      <c r="BM324" t="s">
        <v>6562</v>
      </c>
      <c r="BN324" t="s">
        <v>74</v>
      </c>
      <c r="BO324" t="s">
        <v>74</v>
      </c>
      <c r="BP324" t="s">
        <v>74</v>
      </c>
      <c r="BQ324" t="s">
        <v>74</v>
      </c>
      <c r="BR324" t="s">
        <v>104</v>
      </c>
      <c r="BS324" t="s">
        <v>6563</v>
      </c>
      <c r="BT324" t="str">
        <f>HYPERLINK("https%3A%2F%2Fwww.webofscience.com%2Fwos%2Fwoscc%2Ffull-record%2FWOS:000330800000007","View Full Record in Web of Science")</f>
        <v>View Full Record in Web of Science</v>
      </c>
    </row>
    <row r="325" spans="1:72" x14ac:dyDescent="0.15">
      <c r="A325" t="s">
        <v>72</v>
      </c>
      <c r="B325" t="s">
        <v>6564</v>
      </c>
      <c r="C325" t="s">
        <v>74</v>
      </c>
      <c r="D325" t="s">
        <v>74</v>
      </c>
      <c r="E325" t="s">
        <v>74</v>
      </c>
      <c r="F325" t="s">
        <v>6565</v>
      </c>
      <c r="G325" t="s">
        <v>74</v>
      </c>
      <c r="H325" t="s">
        <v>74</v>
      </c>
      <c r="I325" t="s">
        <v>6566</v>
      </c>
      <c r="J325" t="s">
        <v>6567</v>
      </c>
      <c r="K325" t="s">
        <v>74</v>
      </c>
      <c r="L325" t="s">
        <v>74</v>
      </c>
      <c r="M325" t="s">
        <v>78</v>
      </c>
      <c r="N325" t="s">
        <v>79</v>
      </c>
      <c r="O325" t="s">
        <v>74</v>
      </c>
      <c r="P325" t="s">
        <v>74</v>
      </c>
      <c r="Q325" t="s">
        <v>74</v>
      </c>
      <c r="R325" t="s">
        <v>74</v>
      </c>
      <c r="S325" t="s">
        <v>74</v>
      </c>
      <c r="T325" t="s">
        <v>6568</v>
      </c>
      <c r="U325" t="s">
        <v>6569</v>
      </c>
      <c r="V325" t="s">
        <v>6570</v>
      </c>
      <c r="W325" t="s">
        <v>6571</v>
      </c>
      <c r="X325" t="s">
        <v>6572</v>
      </c>
      <c r="Y325" t="s">
        <v>6573</v>
      </c>
      <c r="Z325" t="s">
        <v>6574</v>
      </c>
      <c r="AA325" t="s">
        <v>6575</v>
      </c>
      <c r="AB325" t="s">
        <v>6576</v>
      </c>
      <c r="AC325" t="s">
        <v>6577</v>
      </c>
      <c r="AD325" t="s">
        <v>6578</v>
      </c>
      <c r="AE325" t="s">
        <v>6579</v>
      </c>
      <c r="AF325" t="s">
        <v>74</v>
      </c>
      <c r="AG325">
        <v>76</v>
      </c>
      <c r="AH325">
        <v>124</v>
      </c>
      <c r="AI325">
        <v>145</v>
      </c>
      <c r="AJ325">
        <v>2</v>
      </c>
      <c r="AK325">
        <v>117</v>
      </c>
      <c r="AL325" t="s">
        <v>6024</v>
      </c>
      <c r="AM325" t="s">
        <v>6025</v>
      </c>
      <c r="AN325" t="s">
        <v>6026</v>
      </c>
      <c r="AO325" t="s">
        <v>6580</v>
      </c>
      <c r="AP325" t="s">
        <v>6581</v>
      </c>
      <c r="AQ325" t="s">
        <v>74</v>
      </c>
      <c r="AR325" t="s">
        <v>6567</v>
      </c>
      <c r="AS325" t="s">
        <v>6582</v>
      </c>
      <c r="AT325" t="s">
        <v>5362</v>
      </c>
      <c r="AU325">
        <v>2014</v>
      </c>
      <c r="AV325">
        <v>229</v>
      </c>
      <c r="AW325" t="s">
        <v>74</v>
      </c>
      <c r="AX325" t="s">
        <v>74</v>
      </c>
      <c r="AY325" t="s">
        <v>74</v>
      </c>
      <c r="AZ325" t="s">
        <v>74</v>
      </c>
      <c r="BA325" t="s">
        <v>74</v>
      </c>
      <c r="BB325">
        <v>206</v>
      </c>
      <c r="BC325">
        <v>213</v>
      </c>
      <c r="BD325" t="s">
        <v>74</v>
      </c>
      <c r="BE325" t="s">
        <v>6583</v>
      </c>
      <c r="BF325" t="str">
        <f>HYPERLINK("http://dx.doi.org/10.1016/j.icarus.2013.11.012","http://dx.doi.org/10.1016/j.icarus.2013.11.012")</f>
        <v>http://dx.doi.org/10.1016/j.icarus.2013.11.012</v>
      </c>
      <c r="BG325" t="s">
        <v>74</v>
      </c>
      <c r="BH325" t="s">
        <v>74</v>
      </c>
      <c r="BI325">
        <v>8</v>
      </c>
      <c r="BJ325" t="s">
        <v>332</v>
      </c>
      <c r="BK325" t="s">
        <v>101</v>
      </c>
      <c r="BL325" t="s">
        <v>332</v>
      </c>
      <c r="BM325" t="s">
        <v>6584</v>
      </c>
      <c r="BN325" t="s">
        <v>74</v>
      </c>
      <c r="BO325" t="s">
        <v>74</v>
      </c>
      <c r="BP325" t="s">
        <v>74</v>
      </c>
      <c r="BQ325" t="s">
        <v>74</v>
      </c>
      <c r="BR325" t="s">
        <v>104</v>
      </c>
      <c r="BS325" t="s">
        <v>6585</v>
      </c>
      <c r="BT325" t="str">
        <f>HYPERLINK("https%3A%2F%2Fwww.webofscience.com%2Fwos%2Fwoscc%2Ffull-record%2FWOS:000330257500017","View Full Record in Web of Science")</f>
        <v>View Full Record in Web of Science</v>
      </c>
    </row>
    <row r="326" spans="1:72" x14ac:dyDescent="0.15">
      <c r="A326" t="s">
        <v>72</v>
      </c>
      <c r="B326" t="s">
        <v>6586</v>
      </c>
      <c r="C326" t="s">
        <v>74</v>
      </c>
      <c r="D326" t="s">
        <v>74</v>
      </c>
      <c r="E326" t="s">
        <v>74</v>
      </c>
      <c r="F326" t="s">
        <v>6587</v>
      </c>
      <c r="G326" t="s">
        <v>74</v>
      </c>
      <c r="H326" t="s">
        <v>74</v>
      </c>
      <c r="I326" t="s">
        <v>6588</v>
      </c>
      <c r="J326" t="s">
        <v>6567</v>
      </c>
      <c r="K326" t="s">
        <v>74</v>
      </c>
      <c r="L326" t="s">
        <v>74</v>
      </c>
      <c r="M326" t="s">
        <v>78</v>
      </c>
      <c r="N326" t="s">
        <v>79</v>
      </c>
      <c r="O326" t="s">
        <v>74</v>
      </c>
      <c r="P326" t="s">
        <v>74</v>
      </c>
      <c r="Q326" t="s">
        <v>74</v>
      </c>
      <c r="R326" t="s">
        <v>74</v>
      </c>
      <c r="S326" t="s">
        <v>74</v>
      </c>
      <c r="T326" t="s">
        <v>6589</v>
      </c>
      <c r="U326" t="s">
        <v>6590</v>
      </c>
      <c r="V326" t="s">
        <v>6591</v>
      </c>
      <c r="W326" t="s">
        <v>6592</v>
      </c>
      <c r="X326" t="s">
        <v>6593</v>
      </c>
      <c r="Y326" t="s">
        <v>6594</v>
      </c>
      <c r="Z326" t="s">
        <v>6595</v>
      </c>
      <c r="AA326" t="s">
        <v>6596</v>
      </c>
      <c r="AB326" t="s">
        <v>6597</v>
      </c>
      <c r="AC326" t="s">
        <v>6598</v>
      </c>
      <c r="AD326" t="s">
        <v>6599</v>
      </c>
      <c r="AE326" t="s">
        <v>6600</v>
      </c>
      <c r="AF326" t="s">
        <v>74</v>
      </c>
      <c r="AG326">
        <v>128</v>
      </c>
      <c r="AH326">
        <v>114</v>
      </c>
      <c r="AI326">
        <v>118</v>
      </c>
      <c r="AJ326">
        <v>0</v>
      </c>
      <c r="AK326">
        <v>42</v>
      </c>
      <c r="AL326" t="s">
        <v>6024</v>
      </c>
      <c r="AM326" t="s">
        <v>6025</v>
      </c>
      <c r="AN326" t="s">
        <v>6026</v>
      </c>
      <c r="AO326" t="s">
        <v>6580</v>
      </c>
      <c r="AP326" t="s">
        <v>6581</v>
      </c>
      <c r="AQ326" t="s">
        <v>74</v>
      </c>
      <c r="AR326" t="s">
        <v>6567</v>
      </c>
      <c r="AS326" t="s">
        <v>6582</v>
      </c>
      <c r="AT326" t="s">
        <v>5362</v>
      </c>
      <c r="AU326">
        <v>2014</v>
      </c>
      <c r="AV326">
        <v>229</v>
      </c>
      <c r="AW326" t="s">
        <v>74</v>
      </c>
      <c r="AX326" t="s">
        <v>74</v>
      </c>
      <c r="AY326" t="s">
        <v>74</v>
      </c>
      <c r="AZ326" t="s">
        <v>74</v>
      </c>
      <c r="BA326" t="s">
        <v>74</v>
      </c>
      <c r="BB326">
        <v>263</v>
      </c>
      <c r="BC326">
        <v>277</v>
      </c>
      <c r="BD326" t="s">
        <v>74</v>
      </c>
      <c r="BE326" t="s">
        <v>6601</v>
      </c>
      <c r="BF326" t="str">
        <f>HYPERLINK("http://dx.doi.org/10.1016/j.icarus.2013.10.019","http://dx.doi.org/10.1016/j.icarus.2013.10.019")</f>
        <v>http://dx.doi.org/10.1016/j.icarus.2013.10.019</v>
      </c>
      <c r="BG326" t="s">
        <v>74</v>
      </c>
      <c r="BH326" t="s">
        <v>74</v>
      </c>
      <c r="BI326">
        <v>15</v>
      </c>
      <c r="BJ326" t="s">
        <v>332</v>
      </c>
      <c r="BK326" t="s">
        <v>101</v>
      </c>
      <c r="BL326" t="s">
        <v>332</v>
      </c>
      <c r="BM326" t="s">
        <v>6584</v>
      </c>
      <c r="BN326" t="s">
        <v>74</v>
      </c>
      <c r="BO326" t="s">
        <v>74</v>
      </c>
      <c r="BP326" t="s">
        <v>74</v>
      </c>
      <c r="BQ326" t="s">
        <v>74</v>
      </c>
      <c r="BR326" t="s">
        <v>104</v>
      </c>
      <c r="BS326" t="s">
        <v>6602</v>
      </c>
      <c r="BT326" t="str">
        <f>HYPERLINK("https%3A%2F%2Fwww.webofscience.com%2Fwos%2Fwoscc%2Ffull-record%2FWOS:000330257500023","View Full Record in Web of Science")</f>
        <v>View Full Record in Web of Science</v>
      </c>
    </row>
    <row r="327" spans="1:72" x14ac:dyDescent="0.15">
      <c r="A327" t="s">
        <v>72</v>
      </c>
      <c r="B327" t="s">
        <v>6603</v>
      </c>
      <c r="C327" t="s">
        <v>74</v>
      </c>
      <c r="D327" t="s">
        <v>74</v>
      </c>
      <c r="E327" t="s">
        <v>74</v>
      </c>
      <c r="F327" t="s">
        <v>6604</v>
      </c>
      <c r="G327" t="s">
        <v>74</v>
      </c>
      <c r="H327" t="s">
        <v>74</v>
      </c>
      <c r="I327" t="s">
        <v>6605</v>
      </c>
      <c r="J327" t="s">
        <v>1035</v>
      </c>
      <c r="K327" t="s">
        <v>74</v>
      </c>
      <c r="L327" t="s">
        <v>74</v>
      </c>
      <c r="M327" t="s">
        <v>78</v>
      </c>
      <c r="N327" t="s">
        <v>79</v>
      </c>
      <c r="O327" t="s">
        <v>74</v>
      </c>
      <c r="P327" t="s">
        <v>74</v>
      </c>
      <c r="Q327" t="s">
        <v>74</v>
      </c>
      <c r="R327" t="s">
        <v>74</v>
      </c>
      <c r="S327" t="s">
        <v>74</v>
      </c>
      <c r="T327" t="s">
        <v>6606</v>
      </c>
      <c r="U327" t="s">
        <v>6607</v>
      </c>
      <c r="V327" t="s">
        <v>6608</v>
      </c>
      <c r="W327" t="s">
        <v>6609</v>
      </c>
      <c r="X327" t="s">
        <v>6610</v>
      </c>
      <c r="Y327" t="s">
        <v>6611</v>
      </c>
      <c r="Z327" t="s">
        <v>6612</v>
      </c>
      <c r="AA327" t="s">
        <v>74</v>
      </c>
      <c r="AB327" t="s">
        <v>74</v>
      </c>
      <c r="AC327" t="s">
        <v>6613</v>
      </c>
      <c r="AD327" t="s">
        <v>6614</v>
      </c>
      <c r="AE327" t="s">
        <v>6615</v>
      </c>
      <c r="AF327" t="s">
        <v>74</v>
      </c>
      <c r="AG327">
        <v>105</v>
      </c>
      <c r="AH327">
        <v>14</v>
      </c>
      <c r="AI327">
        <v>14</v>
      </c>
      <c r="AJ327">
        <v>1</v>
      </c>
      <c r="AK327">
        <v>8</v>
      </c>
      <c r="AL327" t="s">
        <v>1048</v>
      </c>
      <c r="AM327" t="s">
        <v>522</v>
      </c>
      <c r="AN327" t="s">
        <v>1049</v>
      </c>
      <c r="AO327" t="s">
        <v>1050</v>
      </c>
      <c r="AP327" t="s">
        <v>1051</v>
      </c>
      <c r="AQ327" t="s">
        <v>74</v>
      </c>
      <c r="AR327" t="s">
        <v>1052</v>
      </c>
      <c r="AS327" t="s">
        <v>1053</v>
      </c>
      <c r="AT327" t="s">
        <v>5362</v>
      </c>
      <c r="AU327">
        <v>2014</v>
      </c>
      <c r="AV327">
        <v>438</v>
      </c>
      <c r="AW327">
        <v>1</v>
      </c>
      <c r="AX327" t="s">
        <v>74</v>
      </c>
      <c r="AY327" t="s">
        <v>74</v>
      </c>
      <c r="AZ327" t="s">
        <v>74</v>
      </c>
      <c r="BA327" t="s">
        <v>74</v>
      </c>
      <c r="BB327">
        <v>557</v>
      </c>
      <c r="BC327">
        <v>572</v>
      </c>
      <c r="BD327" t="s">
        <v>74</v>
      </c>
      <c r="BE327" t="s">
        <v>6616</v>
      </c>
      <c r="BF327" t="str">
        <f>HYPERLINK("http://dx.doi.org/10.1093/mnras/stt2226","http://dx.doi.org/10.1093/mnras/stt2226")</f>
        <v>http://dx.doi.org/10.1093/mnras/stt2226</v>
      </c>
      <c r="BG327" t="s">
        <v>74</v>
      </c>
      <c r="BH327" t="s">
        <v>74</v>
      </c>
      <c r="BI327">
        <v>16</v>
      </c>
      <c r="BJ327" t="s">
        <v>332</v>
      </c>
      <c r="BK327" t="s">
        <v>101</v>
      </c>
      <c r="BL327" t="s">
        <v>332</v>
      </c>
      <c r="BM327" t="s">
        <v>6617</v>
      </c>
      <c r="BN327" t="s">
        <v>74</v>
      </c>
      <c r="BO327" t="s">
        <v>270</v>
      </c>
      <c r="BP327" t="s">
        <v>74</v>
      </c>
      <c r="BQ327" t="s">
        <v>74</v>
      </c>
      <c r="BR327" t="s">
        <v>104</v>
      </c>
      <c r="BS327" t="s">
        <v>6618</v>
      </c>
      <c r="BT327" t="str">
        <f>HYPERLINK("https%3A%2F%2Fwww.webofscience.com%2Fwos%2Fwoscc%2Ffull-record%2FWOS:000330457100060","View Full Record in Web of Science")</f>
        <v>View Full Record in Web of Science</v>
      </c>
    </row>
    <row r="328" spans="1:72" x14ac:dyDescent="0.15">
      <c r="A328" t="s">
        <v>72</v>
      </c>
      <c r="B328" t="s">
        <v>6619</v>
      </c>
      <c r="C328" t="s">
        <v>74</v>
      </c>
      <c r="D328" t="s">
        <v>74</v>
      </c>
      <c r="E328" t="s">
        <v>74</v>
      </c>
      <c r="F328" t="s">
        <v>6620</v>
      </c>
      <c r="G328" t="s">
        <v>74</v>
      </c>
      <c r="H328" t="s">
        <v>74</v>
      </c>
      <c r="I328" t="s">
        <v>6621</v>
      </c>
      <c r="J328" t="s">
        <v>3110</v>
      </c>
      <c r="K328" t="s">
        <v>74</v>
      </c>
      <c r="L328" t="s">
        <v>74</v>
      </c>
      <c r="M328" t="s">
        <v>78</v>
      </c>
      <c r="N328" t="s">
        <v>79</v>
      </c>
      <c r="O328" t="s">
        <v>74</v>
      </c>
      <c r="P328" t="s">
        <v>74</v>
      </c>
      <c r="Q328" t="s">
        <v>74</v>
      </c>
      <c r="R328" t="s">
        <v>74</v>
      </c>
      <c r="S328" t="s">
        <v>74</v>
      </c>
      <c r="T328" t="s">
        <v>6622</v>
      </c>
      <c r="U328" t="s">
        <v>6623</v>
      </c>
      <c r="V328" t="s">
        <v>6624</v>
      </c>
      <c r="W328" t="s">
        <v>6625</v>
      </c>
      <c r="X328" t="s">
        <v>6626</v>
      </c>
      <c r="Y328" t="s">
        <v>6627</v>
      </c>
      <c r="Z328" t="s">
        <v>6628</v>
      </c>
      <c r="AA328" t="s">
        <v>6629</v>
      </c>
      <c r="AB328" t="s">
        <v>6630</v>
      </c>
      <c r="AC328" t="s">
        <v>3435</v>
      </c>
      <c r="AD328" t="s">
        <v>3436</v>
      </c>
      <c r="AE328" t="s">
        <v>6631</v>
      </c>
      <c r="AF328" t="s">
        <v>74</v>
      </c>
      <c r="AG328">
        <v>26</v>
      </c>
      <c r="AH328">
        <v>54</v>
      </c>
      <c r="AI328">
        <v>57</v>
      </c>
      <c r="AJ328">
        <v>1</v>
      </c>
      <c r="AK328">
        <v>49</v>
      </c>
      <c r="AL328" t="s">
        <v>876</v>
      </c>
      <c r="AM328" t="s">
        <v>877</v>
      </c>
      <c r="AN328" t="s">
        <v>878</v>
      </c>
      <c r="AO328" t="s">
        <v>3123</v>
      </c>
      <c r="AP328" t="s">
        <v>3124</v>
      </c>
      <c r="AQ328" t="s">
        <v>74</v>
      </c>
      <c r="AR328" t="s">
        <v>3125</v>
      </c>
      <c r="AS328" t="s">
        <v>3126</v>
      </c>
      <c r="AT328" t="s">
        <v>5362</v>
      </c>
      <c r="AU328">
        <v>2014</v>
      </c>
      <c r="AV328">
        <v>27</v>
      </c>
      <c r="AW328">
        <v>3</v>
      </c>
      <c r="AX328" t="s">
        <v>74</v>
      </c>
      <c r="AY328" t="s">
        <v>74</v>
      </c>
      <c r="AZ328" t="s">
        <v>74</v>
      </c>
      <c r="BA328" t="s">
        <v>74</v>
      </c>
      <c r="BB328">
        <v>1336</v>
      </c>
      <c r="BC328">
        <v>1342</v>
      </c>
      <c r="BD328" t="s">
        <v>74</v>
      </c>
      <c r="BE328" t="s">
        <v>6632</v>
      </c>
      <c r="BF328" t="str">
        <f>HYPERLINK("http://dx.doi.org/10.1175/JCLI-D-13-00590.1","http://dx.doi.org/10.1175/JCLI-D-13-00590.1")</f>
        <v>http://dx.doi.org/10.1175/JCLI-D-13-00590.1</v>
      </c>
      <c r="BG328" t="s">
        <v>74</v>
      </c>
      <c r="BH328" t="s">
        <v>74</v>
      </c>
      <c r="BI328">
        <v>7</v>
      </c>
      <c r="BJ328" t="s">
        <v>1391</v>
      </c>
      <c r="BK328" t="s">
        <v>101</v>
      </c>
      <c r="BL328" t="s">
        <v>1391</v>
      </c>
      <c r="BM328" t="s">
        <v>6633</v>
      </c>
      <c r="BN328" t="s">
        <v>74</v>
      </c>
      <c r="BO328" t="s">
        <v>1244</v>
      </c>
      <c r="BP328" t="s">
        <v>74</v>
      </c>
      <c r="BQ328" t="s">
        <v>74</v>
      </c>
      <c r="BR328" t="s">
        <v>104</v>
      </c>
      <c r="BS328" t="s">
        <v>6634</v>
      </c>
      <c r="BT328" t="str">
        <f>HYPERLINK("https%3A%2F%2Fwww.webofscience.com%2Fwos%2Fwoscc%2Ffull-record%2FWOS:000330085000022","View Full Record in Web of Science")</f>
        <v>View Full Record in Web of Science</v>
      </c>
    </row>
    <row r="329" spans="1:72" x14ac:dyDescent="0.15">
      <c r="A329" t="s">
        <v>72</v>
      </c>
      <c r="B329" t="s">
        <v>6635</v>
      </c>
      <c r="C329" t="s">
        <v>74</v>
      </c>
      <c r="D329" t="s">
        <v>74</v>
      </c>
      <c r="E329" t="s">
        <v>74</v>
      </c>
      <c r="F329" t="s">
        <v>6636</v>
      </c>
      <c r="G329" t="s">
        <v>74</v>
      </c>
      <c r="H329" t="s">
        <v>74</v>
      </c>
      <c r="I329" t="s">
        <v>6637</v>
      </c>
      <c r="J329" t="s">
        <v>6638</v>
      </c>
      <c r="K329" t="s">
        <v>74</v>
      </c>
      <c r="L329" t="s">
        <v>74</v>
      </c>
      <c r="M329" t="s">
        <v>78</v>
      </c>
      <c r="N329" t="s">
        <v>79</v>
      </c>
      <c r="O329" t="s">
        <v>74</v>
      </c>
      <c r="P329" t="s">
        <v>74</v>
      </c>
      <c r="Q329" t="s">
        <v>74</v>
      </c>
      <c r="R329" t="s">
        <v>74</v>
      </c>
      <c r="S329" t="s">
        <v>74</v>
      </c>
      <c r="T329" t="s">
        <v>6639</v>
      </c>
      <c r="U329" t="s">
        <v>6640</v>
      </c>
      <c r="V329" t="s">
        <v>6641</v>
      </c>
      <c r="W329" t="s">
        <v>6642</v>
      </c>
      <c r="X329" t="s">
        <v>6643</v>
      </c>
      <c r="Y329" t="s">
        <v>6644</v>
      </c>
      <c r="Z329" t="s">
        <v>6645</v>
      </c>
      <c r="AA329" t="s">
        <v>6646</v>
      </c>
      <c r="AB329" t="s">
        <v>6647</v>
      </c>
      <c r="AC329" t="s">
        <v>74</v>
      </c>
      <c r="AD329" t="s">
        <v>74</v>
      </c>
      <c r="AE329" t="s">
        <v>74</v>
      </c>
      <c r="AF329" t="s">
        <v>74</v>
      </c>
      <c r="AG329">
        <v>71</v>
      </c>
      <c r="AH329">
        <v>4</v>
      </c>
      <c r="AI329">
        <v>5</v>
      </c>
      <c r="AJ329">
        <v>0</v>
      </c>
      <c r="AK329">
        <v>28</v>
      </c>
      <c r="AL329" t="s">
        <v>145</v>
      </c>
      <c r="AM329" t="s">
        <v>146</v>
      </c>
      <c r="AN329" t="s">
        <v>147</v>
      </c>
      <c r="AO329" t="s">
        <v>6648</v>
      </c>
      <c r="AP329" t="s">
        <v>6649</v>
      </c>
      <c r="AQ329" t="s">
        <v>74</v>
      </c>
      <c r="AR329" t="s">
        <v>6650</v>
      </c>
      <c r="AS329" t="s">
        <v>6651</v>
      </c>
      <c r="AT329" t="s">
        <v>5362</v>
      </c>
      <c r="AU329">
        <v>2014</v>
      </c>
      <c r="AV329">
        <v>70</v>
      </c>
      <c r="AW329">
        <v>1</v>
      </c>
      <c r="AX329" t="s">
        <v>74</v>
      </c>
      <c r="AY329" t="s">
        <v>74</v>
      </c>
      <c r="AZ329" t="s">
        <v>74</v>
      </c>
      <c r="BA329" t="s">
        <v>74</v>
      </c>
      <c r="BB329">
        <v>25</v>
      </c>
      <c r="BC329">
        <v>34</v>
      </c>
      <c r="BD329" t="s">
        <v>74</v>
      </c>
      <c r="BE329" t="s">
        <v>6652</v>
      </c>
      <c r="BF329" t="str">
        <f>HYPERLINK("http://dx.doi.org/10.1007/s10872-013-0209-1","http://dx.doi.org/10.1007/s10872-013-0209-1")</f>
        <v>http://dx.doi.org/10.1007/s10872-013-0209-1</v>
      </c>
      <c r="BG329" t="s">
        <v>74</v>
      </c>
      <c r="BH329" t="s">
        <v>74</v>
      </c>
      <c r="BI329">
        <v>10</v>
      </c>
      <c r="BJ329" t="s">
        <v>785</v>
      </c>
      <c r="BK329" t="s">
        <v>101</v>
      </c>
      <c r="BL329" t="s">
        <v>785</v>
      </c>
      <c r="BM329" t="s">
        <v>6653</v>
      </c>
      <c r="BN329" t="s">
        <v>74</v>
      </c>
      <c r="BO329" t="s">
        <v>74</v>
      </c>
      <c r="BP329" t="s">
        <v>74</v>
      </c>
      <c r="BQ329" t="s">
        <v>74</v>
      </c>
      <c r="BR329" t="s">
        <v>104</v>
      </c>
      <c r="BS329" t="s">
        <v>6654</v>
      </c>
      <c r="BT329" t="str">
        <f>HYPERLINK("https%3A%2F%2Fwww.webofscience.com%2Fwos%2Fwoscc%2Ffull-record%2FWOS:000330352300003","View Full Record in Web of Science")</f>
        <v>View Full Record in Web of Science</v>
      </c>
    </row>
    <row r="330" spans="1:72" x14ac:dyDescent="0.15">
      <c r="A330" t="s">
        <v>72</v>
      </c>
      <c r="B330" t="s">
        <v>6655</v>
      </c>
      <c r="C330" t="s">
        <v>74</v>
      </c>
      <c r="D330" t="s">
        <v>74</v>
      </c>
      <c r="E330" t="s">
        <v>74</v>
      </c>
      <c r="F330" t="s">
        <v>6656</v>
      </c>
      <c r="G330" t="s">
        <v>74</v>
      </c>
      <c r="H330" t="s">
        <v>74</v>
      </c>
      <c r="I330" t="s">
        <v>6657</v>
      </c>
      <c r="J330" t="s">
        <v>6658</v>
      </c>
      <c r="K330" t="s">
        <v>74</v>
      </c>
      <c r="L330" t="s">
        <v>74</v>
      </c>
      <c r="M330" t="s">
        <v>78</v>
      </c>
      <c r="N330" t="s">
        <v>79</v>
      </c>
      <c r="O330" t="s">
        <v>74</v>
      </c>
      <c r="P330" t="s">
        <v>74</v>
      </c>
      <c r="Q330" t="s">
        <v>74</v>
      </c>
      <c r="R330" t="s">
        <v>74</v>
      </c>
      <c r="S330" t="s">
        <v>74</v>
      </c>
      <c r="T330" t="s">
        <v>6659</v>
      </c>
      <c r="U330" t="s">
        <v>6660</v>
      </c>
      <c r="V330" t="s">
        <v>6661</v>
      </c>
      <c r="W330" t="s">
        <v>6662</v>
      </c>
      <c r="X330" t="s">
        <v>6663</v>
      </c>
      <c r="Y330" t="s">
        <v>6664</v>
      </c>
      <c r="Z330" t="s">
        <v>6665</v>
      </c>
      <c r="AA330" t="s">
        <v>6666</v>
      </c>
      <c r="AB330" t="s">
        <v>6667</v>
      </c>
      <c r="AC330" t="s">
        <v>6668</v>
      </c>
      <c r="AD330" t="s">
        <v>6668</v>
      </c>
      <c r="AE330" t="s">
        <v>6669</v>
      </c>
      <c r="AF330" t="s">
        <v>74</v>
      </c>
      <c r="AG330">
        <v>33</v>
      </c>
      <c r="AH330">
        <v>5</v>
      </c>
      <c r="AI330">
        <v>7</v>
      </c>
      <c r="AJ330">
        <v>3</v>
      </c>
      <c r="AK330">
        <v>11</v>
      </c>
      <c r="AL330" t="s">
        <v>946</v>
      </c>
      <c r="AM330" t="s">
        <v>522</v>
      </c>
      <c r="AN330" t="s">
        <v>947</v>
      </c>
      <c r="AO330" t="s">
        <v>6670</v>
      </c>
      <c r="AP330" t="s">
        <v>6671</v>
      </c>
      <c r="AQ330" t="s">
        <v>74</v>
      </c>
      <c r="AR330" t="s">
        <v>6672</v>
      </c>
      <c r="AS330" t="s">
        <v>6673</v>
      </c>
      <c r="AT330" t="s">
        <v>5362</v>
      </c>
      <c r="AU330">
        <v>2014</v>
      </c>
      <c r="AV330">
        <v>84</v>
      </c>
      <c r="AW330" t="s">
        <v>74</v>
      </c>
      <c r="AX330" t="s">
        <v>74</v>
      </c>
      <c r="AY330" t="s">
        <v>74</v>
      </c>
      <c r="AZ330" t="s">
        <v>74</v>
      </c>
      <c r="BA330" t="s">
        <v>74</v>
      </c>
      <c r="BB330">
        <v>59</v>
      </c>
      <c r="BC330">
        <v>72</v>
      </c>
      <c r="BD330" t="s">
        <v>74</v>
      </c>
      <c r="BE330" t="s">
        <v>6674</v>
      </c>
      <c r="BF330" t="str">
        <f>HYPERLINK("http://dx.doi.org/10.1016/j.dsr.2013.10.002","http://dx.doi.org/10.1016/j.dsr.2013.10.002")</f>
        <v>http://dx.doi.org/10.1016/j.dsr.2013.10.002</v>
      </c>
      <c r="BG330" t="s">
        <v>74</v>
      </c>
      <c r="BH330" t="s">
        <v>74</v>
      </c>
      <c r="BI330">
        <v>14</v>
      </c>
      <c r="BJ330" t="s">
        <v>785</v>
      </c>
      <c r="BK330" t="s">
        <v>101</v>
      </c>
      <c r="BL330" t="s">
        <v>785</v>
      </c>
      <c r="BM330" t="s">
        <v>6675</v>
      </c>
      <c r="BN330" t="s">
        <v>74</v>
      </c>
      <c r="BO330" t="s">
        <v>74</v>
      </c>
      <c r="BP330" t="s">
        <v>74</v>
      </c>
      <c r="BQ330" t="s">
        <v>74</v>
      </c>
      <c r="BR330" t="s">
        <v>104</v>
      </c>
      <c r="BS330" t="s">
        <v>6676</v>
      </c>
      <c r="BT330" t="str">
        <f>HYPERLINK("https%3A%2F%2Fwww.webofscience.com%2Fwos%2Fwoscc%2Ffull-record%2FWOS:000329960000006","View Full Record in Web of Science")</f>
        <v>View Full Record in Web of Science</v>
      </c>
    </row>
    <row r="331" spans="1:72" x14ac:dyDescent="0.15">
      <c r="A331" t="s">
        <v>72</v>
      </c>
      <c r="B331" t="s">
        <v>6677</v>
      </c>
      <c r="C331" t="s">
        <v>74</v>
      </c>
      <c r="D331" t="s">
        <v>74</v>
      </c>
      <c r="E331" t="s">
        <v>74</v>
      </c>
      <c r="F331" t="s">
        <v>6678</v>
      </c>
      <c r="G331" t="s">
        <v>74</v>
      </c>
      <c r="H331" t="s">
        <v>74</v>
      </c>
      <c r="I331" t="s">
        <v>6679</v>
      </c>
      <c r="J331" t="s">
        <v>6658</v>
      </c>
      <c r="K331" t="s">
        <v>74</v>
      </c>
      <c r="L331" t="s">
        <v>74</v>
      </c>
      <c r="M331" t="s">
        <v>78</v>
      </c>
      <c r="N331" t="s">
        <v>79</v>
      </c>
      <c r="O331" t="s">
        <v>74</v>
      </c>
      <c r="P331" t="s">
        <v>74</v>
      </c>
      <c r="Q331" t="s">
        <v>74</v>
      </c>
      <c r="R331" t="s">
        <v>74</v>
      </c>
      <c r="S331" t="s">
        <v>74</v>
      </c>
      <c r="T331" t="s">
        <v>6680</v>
      </c>
      <c r="U331" t="s">
        <v>6681</v>
      </c>
      <c r="V331" t="s">
        <v>6682</v>
      </c>
      <c r="W331" t="s">
        <v>6683</v>
      </c>
      <c r="X331" t="s">
        <v>6684</v>
      </c>
      <c r="Y331" t="s">
        <v>6685</v>
      </c>
      <c r="Z331" t="s">
        <v>6686</v>
      </c>
      <c r="AA331" t="s">
        <v>6687</v>
      </c>
      <c r="AB331" t="s">
        <v>6688</v>
      </c>
      <c r="AC331" t="s">
        <v>6689</v>
      </c>
      <c r="AD331" t="s">
        <v>6690</v>
      </c>
      <c r="AE331" t="s">
        <v>6691</v>
      </c>
      <c r="AF331" t="s">
        <v>74</v>
      </c>
      <c r="AG331">
        <v>98</v>
      </c>
      <c r="AH331">
        <v>27</v>
      </c>
      <c r="AI331">
        <v>30</v>
      </c>
      <c r="AJ331">
        <v>0</v>
      </c>
      <c r="AK331">
        <v>77</v>
      </c>
      <c r="AL331" t="s">
        <v>946</v>
      </c>
      <c r="AM331" t="s">
        <v>522</v>
      </c>
      <c r="AN331" t="s">
        <v>947</v>
      </c>
      <c r="AO331" t="s">
        <v>6670</v>
      </c>
      <c r="AP331" t="s">
        <v>6671</v>
      </c>
      <c r="AQ331" t="s">
        <v>74</v>
      </c>
      <c r="AR331" t="s">
        <v>6672</v>
      </c>
      <c r="AS331" t="s">
        <v>6673</v>
      </c>
      <c r="AT331" t="s">
        <v>5362</v>
      </c>
      <c r="AU331">
        <v>2014</v>
      </c>
      <c r="AV331">
        <v>84</v>
      </c>
      <c r="AW331" t="s">
        <v>74</v>
      </c>
      <c r="AX331" t="s">
        <v>74</v>
      </c>
      <c r="AY331" t="s">
        <v>74</v>
      </c>
      <c r="AZ331" t="s">
        <v>74</v>
      </c>
      <c r="BA331" t="s">
        <v>74</v>
      </c>
      <c r="BB331">
        <v>127</v>
      </c>
      <c r="BC331">
        <v>141</v>
      </c>
      <c r="BD331" t="s">
        <v>74</v>
      </c>
      <c r="BE331" t="s">
        <v>6692</v>
      </c>
      <c r="BF331" t="str">
        <f>HYPERLINK("http://dx.doi.org/10.1016/j.dsr.2013.11.001","http://dx.doi.org/10.1016/j.dsr.2013.11.001")</f>
        <v>http://dx.doi.org/10.1016/j.dsr.2013.11.001</v>
      </c>
      <c r="BG331" t="s">
        <v>74</v>
      </c>
      <c r="BH331" t="s">
        <v>74</v>
      </c>
      <c r="BI331">
        <v>15</v>
      </c>
      <c r="BJ331" t="s">
        <v>785</v>
      </c>
      <c r="BK331" t="s">
        <v>101</v>
      </c>
      <c r="BL331" t="s">
        <v>785</v>
      </c>
      <c r="BM331" t="s">
        <v>6675</v>
      </c>
      <c r="BN331" t="s">
        <v>74</v>
      </c>
      <c r="BO331" t="s">
        <v>2649</v>
      </c>
      <c r="BP331" t="s">
        <v>74</v>
      </c>
      <c r="BQ331" t="s">
        <v>74</v>
      </c>
      <c r="BR331" t="s">
        <v>104</v>
      </c>
      <c r="BS331" t="s">
        <v>6693</v>
      </c>
      <c r="BT331" t="str">
        <f>HYPERLINK("https%3A%2F%2Fwww.webofscience.com%2Fwos%2Fwoscc%2Ffull-record%2FWOS:000329960000011","View Full Record in Web of Science")</f>
        <v>View Full Record in Web of Science</v>
      </c>
    </row>
    <row r="332" spans="1:72" x14ac:dyDescent="0.15">
      <c r="A332" t="s">
        <v>72</v>
      </c>
      <c r="B332" t="s">
        <v>6694</v>
      </c>
      <c r="C332" t="s">
        <v>74</v>
      </c>
      <c r="D332" t="s">
        <v>74</v>
      </c>
      <c r="E332" t="s">
        <v>74</v>
      </c>
      <c r="F332" t="s">
        <v>6695</v>
      </c>
      <c r="G332" t="s">
        <v>74</v>
      </c>
      <c r="H332" t="s">
        <v>74</v>
      </c>
      <c r="I332" t="s">
        <v>6696</v>
      </c>
      <c r="J332" t="s">
        <v>1297</v>
      </c>
      <c r="K332" t="s">
        <v>74</v>
      </c>
      <c r="L332" t="s">
        <v>74</v>
      </c>
      <c r="M332" t="s">
        <v>78</v>
      </c>
      <c r="N332" t="s">
        <v>79</v>
      </c>
      <c r="O332" t="s">
        <v>74</v>
      </c>
      <c r="P332" t="s">
        <v>74</v>
      </c>
      <c r="Q332" t="s">
        <v>74</v>
      </c>
      <c r="R332" t="s">
        <v>74</v>
      </c>
      <c r="S332" t="s">
        <v>74</v>
      </c>
      <c r="T332" t="s">
        <v>6697</v>
      </c>
      <c r="U332" t="s">
        <v>6698</v>
      </c>
      <c r="V332" t="s">
        <v>6699</v>
      </c>
      <c r="W332" t="s">
        <v>6700</v>
      </c>
      <c r="X332" t="s">
        <v>6701</v>
      </c>
      <c r="Y332" t="s">
        <v>6702</v>
      </c>
      <c r="Z332" t="s">
        <v>6703</v>
      </c>
      <c r="AA332" t="s">
        <v>6704</v>
      </c>
      <c r="AB332" t="s">
        <v>6705</v>
      </c>
      <c r="AC332" t="s">
        <v>6706</v>
      </c>
      <c r="AD332" t="s">
        <v>6706</v>
      </c>
      <c r="AE332" t="s">
        <v>6707</v>
      </c>
      <c r="AF332" t="s">
        <v>74</v>
      </c>
      <c r="AG332">
        <v>36</v>
      </c>
      <c r="AH332">
        <v>18</v>
      </c>
      <c r="AI332">
        <v>19</v>
      </c>
      <c r="AJ332">
        <v>1</v>
      </c>
      <c r="AK332">
        <v>61</v>
      </c>
      <c r="AL332" t="s">
        <v>145</v>
      </c>
      <c r="AM332" t="s">
        <v>92</v>
      </c>
      <c r="AN332" t="s">
        <v>472</v>
      </c>
      <c r="AO332" t="s">
        <v>1310</v>
      </c>
      <c r="AP332" t="s">
        <v>1311</v>
      </c>
      <c r="AQ332" t="s">
        <v>74</v>
      </c>
      <c r="AR332" t="s">
        <v>1312</v>
      </c>
      <c r="AS332" t="s">
        <v>1313</v>
      </c>
      <c r="AT332" t="s">
        <v>5362</v>
      </c>
      <c r="AU332">
        <v>2014</v>
      </c>
      <c r="AV332">
        <v>37</v>
      </c>
      <c r="AW332">
        <v>2</v>
      </c>
      <c r="AX332" t="s">
        <v>74</v>
      </c>
      <c r="AY332" t="s">
        <v>74</v>
      </c>
      <c r="AZ332" t="s">
        <v>74</v>
      </c>
      <c r="BA332" t="s">
        <v>74</v>
      </c>
      <c r="BB332">
        <v>165</v>
      </c>
      <c r="BC332">
        <v>179</v>
      </c>
      <c r="BD332" t="s">
        <v>74</v>
      </c>
      <c r="BE332" t="s">
        <v>6708</v>
      </c>
      <c r="BF332" t="str">
        <f>HYPERLINK("http://dx.doi.org/10.1007/s00300-013-1420-7","http://dx.doi.org/10.1007/s00300-013-1420-7")</f>
        <v>http://dx.doi.org/10.1007/s00300-013-1420-7</v>
      </c>
      <c r="BG332" t="s">
        <v>74</v>
      </c>
      <c r="BH332" t="s">
        <v>74</v>
      </c>
      <c r="BI332">
        <v>15</v>
      </c>
      <c r="BJ332" t="s">
        <v>1315</v>
      </c>
      <c r="BK332" t="s">
        <v>101</v>
      </c>
      <c r="BL332" t="s">
        <v>412</v>
      </c>
      <c r="BM332" t="s">
        <v>6709</v>
      </c>
      <c r="BN332" t="s">
        <v>74</v>
      </c>
      <c r="BO332" t="s">
        <v>74</v>
      </c>
      <c r="BP332" t="s">
        <v>74</v>
      </c>
      <c r="BQ332" t="s">
        <v>74</v>
      </c>
      <c r="BR332" t="s">
        <v>104</v>
      </c>
      <c r="BS332" t="s">
        <v>6710</v>
      </c>
      <c r="BT332" t="str">
        <f>HYPERLINK("https%3A%2F%2Fwww.webofscience.com%2Fwos%2Fwoscc%2Ffull-record%2FWOS:000329794700002","View Full Record in Web of Science")</f>
        <v>View Full Record in Web of Science</v>
      </c>
    </row>
    <row r="333" spans="1:72" x14ac:dyDescent="0.15">
      <c r="A333" t="s">
        <v>72</v>
      </c>
      <c r="B333" t="s">
        <v>6711</v>
      </c>
      <c r="C333" t="s">
        <v>74</v>
      </c>
      <c r="D333" t="s">
        <v>74</v>
      </c>
      <c r="E333" t="s">
        <v>74</v>
      </c>
      <c r="F333" t="s">
        <v>6712</v>
      </c>
      <c r="G333" t="s">
        <v>74</v>
      </c>
      <c r="H333" t="s">
        <v>74</v>
      </c>
      <c r="I333" t="s">
        <v>6713</v>
      </c>
      <c r="J333" t="s">
        <v>1297</v>
      </c>
      <c r="K333" t="s">
        <v>74</v>
      </c>
      <c r="L333" t="s">
        <v>74</v>
      </c>
      <c r="M333" t="s">
        <v>78</v>
      </c>
      <c r="N333" t="s">
        <v>79</v>
      </c>
      <c r="O333" t="s">
        <v>74</v>
      </c>
      <c r="P333" t="s">
        <v>74</v>
      </c>
      <c r="Q333" t="s">
        <v>74</v>
      </c>
      <c r="R333" t="s">
        <v>74</v>
      </c>
      <c r="S333" t="s">
        <v>74</v>
      </c>
      <c r="T333" t="s">
        <v>6714</v>
      </c>
      <c r="U333" t="s">
        <v>6715</v>
      </c>
      <c r="V333" t="s">
        <v>6716</v>
      </c>
      <c r="W333" t="s">
        <v>6717</v>
      </c>
      <c r="X333" t="s">
        <v>6718</v>
      </c>
      <c r="Y333" t="s">
        <v>6719</v>
      </c>
      <c r="Z333" t="s">
        <v>6720</v>
      </c>
      <c r="AA333" t="s">
        <v>6721</v>
      </c>
      <c r="AB333" t="s">
        <v>6722</v>
      </c>
      <c r="AC333" t="s">
        <v>74</v>
      </c>
      <c r="AD333" t="s">
        <v>74</v>
      </c>
      <c r="AE333" t="s">
        <v>74</v>
      </c>
      <c r="AF333" t="s">
        <v>74</v>
      </c>
      <c r="AG333">
        <v>58</v>
      </c>
      <c r="AH333">
        <v>8</v>
      </c>
      <c r="AI333">
        <v>10</v>
      </c>
      <c r="AJ333">
        <v>0</v>
      </c>
      <c r="AK333">
        <v>33</v>
      </c>
      <c r="AL333" t="s">
        <v>145</v>
      </c>
      <c r="AM333" t="s">
        <v>92</v>
      </c>
      <c r="AN333" t="s">
        <v>472</v>
      </c>
      <c r="AO333" t="s">
        <v>1310</v>
      </c>
      <c r="AP333" t="s">
        <v>1311</v>
      </c>
      <c r="AQ333" t="s">
        <v>74</v>
      </c>
      <c r="AR333" t="s">
        <v>1312</v>
      </c>
      <c r="AS333" t="s">
        <v>1313</v>
      </c>
      <c r="AT333" t="s">
        <v>5362</v>
      </c>
      <c r="AU333">
        <v>2014</v>
      </c>
      <c r="AV333">
        <v>37</v>
      </c>
      <c r="AW333">
        <v>2</v>
      </c>
      <c r="AX333" t="s">
        <v>74</v>
      </c>
      <c r="AY333" t="s">
        <v>74</v>
      </c>
      <c r="AZ333" t="s">
        <v>74</v>
      </c>
      <c r="BA333" t="s">
        <v>74</v>
      </c>
      <c r="BB333">
        <v>205</v>
      </c>
      <c r="BC333">
        <v>215</v>
      </c>
      <c r="BD333" t="s">
        <v>74</v>
      </c>
      <c r="BE333" t="s">
        <v>6723</v>
      </c>
      <c r="BF333" t="str">
        <f>HYPERLINK("http://dx.doi.org/10.1007/s00300-013-1424-3","http://dx.doi.org/10.1007/s00300-013-1424-3")</f>
        <v>http://dx.doi.org/10.1007/s00300-013-1424-3</v>
      </c>
      <c r="BG333" t="s">
        <v>74</v>
      </c>
      <c r="BH333" t="s">
        <v>74</v>
      </c>
      <c r="BI333">
        <v>11</v>
      </c>
      <c r="BJ333" t="s">
        <v>1315</v>
      </c>
      <c r="BK333" t="s">
        <v>101</v>
      </c>
      <c r="BL333" t="s">
        <v>412</v>
      </c>
      <c r="BM333" t="s">
        <v>6709</v>
      </c>
      <c r="BN333" t="s">
        <v>74</v>
      </c>
      <c r="BO333" t="s">
        <v>74</v>
      </c>
      <c r="BP333" t="s">
        <v>74</v>
      </c>
      <c r="BQ333" t="s">
        <v>74</v>
      </c>
      <c r="BR333" t="s">
        <v>104</v>
      </c>
      <c r="BS333" t="s">
        <v>6724</v>
      </c>
      <c r="BT333" t="str">
        <f>HYPERLINK("https%3A%2F%2Fwww.webofscience.com%2Fwos%2Fwoscc%2Ffull-record%2FWOS:000329794700005","View Full Record in Web of Science")</f>
        <v>View Full Record in Web of Science</v>
      </c>
    </row>
    <row r="334" spans="1:72" x14ac:dyDescent="0.15">
      <c r="A334" t="s">
        <v>72</v>
      </c>
      <c r="B334" t="s">
        <v>6725</v>
      </c>
      <c r="C334" t="s">
        <v>74</v>
      </c>
      <c r="D334" t="s">
        <v>74</v>
      </c>
      <c r="E334" t="s">
        <v>74</v>
      </c>
      <c r="F334" t="s">
        <v>6726</v>
      </c>
      <c r="G334" t="s">
        <v>74</v>
      </c>
      <c r="H334" t="s">
        <v>74</v>
      </c>
      <c r="I334" t="s">
        <v>6727</v>
      </c>
      <c r="J334" t="s">
        <v>1297</v>
      </c>
      <c r="K334" t="s">
        <v>74</v>
      </c>
      <c r="L334" t="s">
        <v>74</v>
      </c>
      <c r="M334" t="s">
        <v>78</v>
      </c>
      <c r="N334" t="s">
        <v>79</v>
      </c>
      <c r="O334" t="s">
        <v>74</v>
      </c>
      <c r="P334" t="s">
        <v>74</v>
      </c>
      <c r="Q334" t="s">
        <v>74</v>
      </c>
      <c r="R334" t="s">
        <v>74</v>
      </c>
      <c r="S334" t="s">
        <v>74</v>
      </c>
      <c r="T334" t="s">
        <v>6728</v>
      </c>
      <c r="U334" t="s">
        <v>6729</v>
      </c>
      <c r="V334" t="s">
        <v>6730</v>
      </c>
      <c r="W334" t="s">
        <v>6731</v>
      </c>
      <c r="X334" t="s">
        <v>6732</v>
      </c>
      <c r="Y334" t="s">
        <v>6733</v>
      </c>
      <c r="Z334" t="s">
        <v>6734</v>
      </c>
      <c r="AA334" t="s">
        <v>74</v>
      </c>
      <c r="AB334" t="s">
        <v>6735</v>
      </c>
      <c r="AC334" t="s">
        <v>6736</v>
      </c>
      <c r="AD334" t="s">
        <v>6737</v>
      </c>
      <c r="AE334" t="s">
        <v>6738</v>
      </c>
      <c r="AF334" t="s">
        <v>74</v>
      </c>
      <c r="AG334">
        <v>39</v>
      </c>
      <c r="AH334">
        <v>5</v>
      </c>
      <c r="AI334">
        <v>5</v>
      </c>
      <c r="AJ334">
        <v>0</v>
      </c>
      <c r="AK334">
        <v>34</v>
      </c>
      <c r="AL334" t="s">
        <v>145</v>
      </c>
      <c r="AM334" t="s">
        <v>92</v>
      </c>
      <c r="AN334" t="s">
        <v>472</v>
      </c>
      <c r="AO334" t="s">
        <v>1310</v>
      </c>
      <c r="AP334" t="s">
        <v>1311</v>
      </c>
      <c r="AQ334" t="s">
        <v>74</v>
      </c>
      <c r="AR334" t="s">
        <v>1312</v>
      </c>
      <c r="AS334" t="s">
        <v>1313</v>
      </c>
      <c r="AT334" t="s">
        <v>5362</v>
      </c>
      <c r="AU334">
        <v>2014</v>
      </c>
      <c r="AV334">
        <v>37</v>
      </c>
      <c r="AW334">
        <v>2</v>
      </c>
      <c r="AX334" t="s">
        <v>74</v>
      </c>
      <c r="AY334" t="s">
        <v>74</v>
      </c>
      <c r="AZ334" t="s">
        <v>74</v>
      </c>
      <c r="BA334" t="s">
        <v>74</v>
      </c>
      <c r="BB334">
        <v>217</v>
      </c>
      <c r="BC334">
        <v>225</v>
      </c>
      <c r="BD334" t="s">
        <v>74</v>
      </c>
      <c r="BE334" t="s">
        <v>6739</v>
      </c>
      <c r="BF334" t="str">
        <f>HYPERLINK("http://dx.doi.org/10.1007/s00300-013-1425-2","http://dx.doi.org/10.1007/s00300-013-1425-2")</f>
        <v>http://dx.doi.org/10.1007/s00300-013-1425-2</v>
      </c>
      <c r="BG334" t="s">
        <v>74</v>
      </c>
      <c r="BH334" t="s">
        <v>74</v>
      </c>
      <c r="BI334">
        <v>9</v>
      </c>
      <c r="BJ334" t="s">
        <v>1315</v>
      </c>
      <c r="BK334" t="s">
        <v>101</v>
      </c>
      <c r="BL334" t="s">
        <v>412</v>
      </c>
      <c r="BM334" t="s">
        <v>6709</v>
      </c>
      <c r="BN334" t="s">
        <v>74</v>
      </c>
      <c r="BO334" t="s">
        <v>74</v>
      </c>
      <c r="BP334" t="s">
        <v>74</v>
      </c>
      <c r="BQ334" t="s">
        <v>74</v>
      </c>
      <c r="BR334" t="s">
        <v>104</v>
      </c>
      <c r="BS334" t="s">
        <v>6740</v>
      </c>
      <c r="BT334" t="str">
        <f>HYPERLINK("https%3A%2F%2Fwww.webofscience.com%2Fwos%2Fwoscc%2Ffull-record%2FWOS:000329794700006","View Full Record in Web of Science")</f>
        <v>View Full Record in Web of Science</v>
      </c>
    </row>
    <row r="335" spans="1:72" x14ac:dyDescent="0.15">
      <c r="A335" t="s">
        <v>72</v>
      </c>
      <c r="B335" t="s">
        <v>6741</v>
      </c>
      <c r="C335" t="s">
        <v>74</v>
      </c>
      <c r="D335" t="s">
        <v>74</v>
      </c>
      <c r="E335" t="s">
        <v>74</v>
      </c>
      <c r="F335" t="s">
        <v>6742</v>
      </c>
      <c r="G335" t="s">
        <v>74</v>
      </c>
      <c r="H335" t="s">
        <v>74</v>
      </c>
      <c r="I335" t="s">
        <v>6743</v>
      </c>
      <c r="J335" t="s">
        <v>1297</v>
      </c>
      <c r="K335" t="s">
        <v>74</v>
      </c>
      <c r="L335" t="s">
        <v>74</v>
      </c>
      <c r="M335" t="s">
        <v>78</v>
      </c>
      <c r="N335" t="s">
        <v>79</v>
      </c>
      <c r="O335" t="s">
        <v>74</v>
      </c>
      <c r="P335" t="s">
        <v>74</v>
      </c>
      <c r="Q335" t="s">
        <v>74</v>
      </c>
      <c r="R335" t="s">
        <v>74</v>
      </c>
      <c r="S335" t="s">
        <v>74</v>
      </c>
      <c r="T335" t="s">
        <v>6744</v>
      </c>
      <c r="U335" t="s">
        <v>6745</v>
      </c>
      <c r="V335" t="s">
        <v>6746</v>
      </c>
      <c r="W335" t="s">
        <v>6747</v>
      </c>
      <c r="X335" t="s">
        <v>6748</v>
      </c>
      <c r="Y335" t="s">
        <v>6749</v>
      </c>
      <c r="Z335" t="s">
        <v>6750</v>
      </c>
      <c r="AA335" t="s">
        <v>74</v>
      </c>
      <c r="AB335" t="s">
        <v>74</v>
      </c>
      <c r="AC335" t="s">
        <v>6751</v>
      </c>
      <c r="AD335" t="s">
        <v>6752</v>
      </c>
      <c r="AE335" t="s">
        <v>6753</v>
      </c>
      <c r="AF335" t="s">
        <v>74</v>
      </c>
      <c r="AG335">
        <v>26</v>
      </c>
      <c r="AH335">
        <v>36</v>
      </c>
      <c r="AI335">
        <v>37</v>
      </c>
      <c r="AJ335">
        <v>1</v>
      </c>
      <c r="AK335">
        <v>34</v>
      </c>
      <c r="AL335" t="s">
        <v>145</v>
      </c>
      <c r="AM335" t="s">
        <v>92</v>
      </c>
      <c r="AN335" t="s">
        <v>472</v>
      </c>
      <c r="AO335" t="s">
        <v>1310</v>
      </c>
      <c r="AP335" t="s">
        <v>1311</v>
      </c>
      <c r="AQ335" t="s">
        <v>74</v>
      </c>
      <c r="AR335" t="s">
        <v>1312</v>
      </c>
      <c r="AS335" t="s">
        <v>1313</v>
      </c>
      <c r="AT335" t="s">
        <v>5362</v>
      </c>
      <c r="AU335">
        <v>2014</v>
      </c>
      <c r="AV335">
        <v>37</v>
      </c>
      <c r="AW335">
        <v>2</v>
      </c>
      <c r="AX335" t="s">
        <v>74</v>
      </c>
      <c r="AY335" t="s">
        <v>74</v>
      </c>
      <c r="AZ335" t="s">
        <v>74</v>
      </c>
      <c r="BA335" t="s">
        <v>74</v>
      </c>
      <c r="BB335">
        <v>227</v>
      </c>
      <c r="BC335">
        <v>235</v>
      </c>
      <c r="BD335" t="s">
        <v>74</v>
      </c>
      <c r="BE335" t="s">
        <v>6754</v>
      </c>
      <c r="BF335" t="str">
        <f>HYPERLINK("http://dx.doi.org/10.1007/s00300-013-1426-1","http://dx.doi.org/10.1007/s00300-013-1426-1")</f>
        <v>http://dx.doi.org/10.1007/s00300-013-1426-1</v>
      </c>
      <c r="BG335" t="s">
        <v>74</v>
      </c>
      <c r="BH335" t="s">
        <v>74</v>
      </c>
      <c r="BI335">
        <v>9</v>
      </c>
      <c r="BJ335" t="s">
        <v>1315</v>
      </c>
      <c r="BK335" t="s">
        <v>101</v>
      </c>
      <c r="BL335" t="s">
        <v>412</v>
      </c>
      <c r="BM335" t="s">
        <v>6709</v>
      </c>
      <c r="BN335" t="s">
        <v>74</v>
      </c>
      <c r="BO335" t="s">
        <v>74</v>
      </c>
      <c r="BP335" t="s">
        <v>74</v>
      </c>
      <c r="BQ335" t="s">
        <v>74</v>
      </c>
      <c r="BR335" t="s">
        <v>104</v>
      </c>
      <c r="BS335" t="s">
        <v>6755</v>
      </c>
      <c r="BT335" t="str">
        <f>HYPERLINK("https%3A%2F%2Fwww.webofscience.com%2Fwos%2Fwoscc%2Ffull-record%2FWOS:000329794700007","View Full Record in Web of Science")</f>
        <v>View Full Record in Web of Science</v>
      </c>
    </row>
    <row r="336" spans="1:72" x14ac:dyDescent="0.15">
      <c r="A336" t="s">
        <v>72</v>
      </c>
      <c r="B336" t="s">
        <v>6756</v>
      </c>
      <c r="C336" t="s">
        <v>74</v>
      </c>
      <c r="D336" t="s">
        <v>74</v>
      </c>
      <c r="E336" t="s">
        <v>74</v>
      </c>
      <c r="F336" t="s">
        <v>6757</v>
      </c>
      <c r="G336" t="s">
        <v>74</v>
      </c>
      <c r="H336" t="s">
        <v>74</v>
      </c>
      <c r="I336" t="s">
        <v>6758</v>
      </c>
      <c r="J336" t="s">
        <v>1297</v>
      </c>
      <c r="K336" t="s">
        <v>74</v>
      </c>
      <c r="L336" t="s">
        <v>74</v>
      </c>
      <c r="M336" t="s">
        <v>78</v>
      </c>
      <c r="N336" t="s">
        <v>79</v>
      </c>
      <c r="O336" t="s">
        <v>74</v>
      </c>
      <c r="P336" t="s">
        <v>74</v>
      </c>
      <c r="Q336" t="s">
        <v>74</v>
      </c>
      <c r="R336" t="s">
        <v>74</v>
      </c>
      <c r="S336" t="s">
        <v>74</v>
      </c>
      <c r="T336" t="s">
        <v>6759</v>
      </c>
      <c r="U336" t="s">
        <v>6760</v>
      </c>
      <c r="V336" t="s">
        <v>6761</v>
      </c>
      <c r="W336" t="s">
        <v>6762</v>
      </c>
      <c r="X336" t="s">
        <v>6763</v>
      </c>
      <c r="Y336" t="s">
        <v>6764</v>
      </c>
      <c r="Z336" t="s">
        <v>6765</v>
      </c>
      <c r="AA336" t="s">
        <v>4691</v>
      </c>
      <c r="AB336" t="s">
        <v>6766</v>
      </c>
      <c r="AC336" t="s">
        <v>6767</v>
      </c>
      <c r="AD336" t="s">
        <v>6768</v>
      </c>
      <c r="AE336" t="s">
        <v>74</v>
      </c>
      <c r="AF336" t="s">
        <v>74</v>
      </c>
      <c r="AG336">
        <v>22</v>
      </c>
      <c r="AH336">
        <v>13</v>
      </c>
      <c r="AI336">
        <v>15</v>
      </c>
      <c r="AJ336">
        <v>2</v>
      </c>
      <c r="AK336">
        <v>103</v>
      </c>
      <c r="AL336" t="s">
        <v>145</v>
      </c>
      <c r="AM336" t="s">
        <v>92</v>
      </c>
      <c r="AN336" t="s">
        <v>3045</v>
      </c>
      <c r="AO336" t="s">
        <v>1310</v>
      </c>
      <c r="AP336" t="s">
        <v>1311</v>
      </c>
      <c r="AQ336" t="s">
        <v>74</v>
      </c>
      <c r="AR336" t="s">
        <v>1312</v>
      </c>
      <c r="AS336" t="s">
        <v>1313</v>
      </c>
      <c r="AT336" t="s">
        <v>5362</v>
      </c>
      <c r="AU336">
        <v>2014</v>
      </c>
      <c r="AV336">
        <v>37</v>
      </c>
      <c r="AW336">
        <v>2</v>
      </c>
      <c r="AX336" t="s">
        <v>74</v>
      </c>
      <c r="AY336" t="s">
        <v>74</v>
      </c>
      <c r="AZ336" t="s">
        <v>74</v>
      </c>
      <c r="BA336" t="s">
        <v>74</v>
      </c>
      <c r="BB336">
        <v>251</v>
      </c>
      <c r="BC336">
        <v>259</v>
      </c>
      <c r="BD336" t="s">
        <v>74</v>
      </c>
      <c r="BE336" t="s">
        <v>6769</v>
      </c>
      <c r="BF336" t="str">
        <f>HYPERLINK("http://dx.doi.org/10.1007/s00300-013-1428-z","http://dx.doi.org/10.1007/s00300-013-1428-z")</f>
        <v>http://dx.doi.org/10.1007/s00300-013-1428-z</v>
      </c>
      <c r="BG336" t="s">
        <v>74</v>
      </c>
      <c r="BH336" t="s">
        <v>74</v>
      </c>
      <c r="BI336">
        <v>9</v>
      </c>
      <c r="BJ336" t="s">
        <v>1315</v>
      </c>
      <c r="BK336" t="s">
        <v>101</v>
      </c>
      <c r="BL336" t="s">
        <v>412</v>
      </c>
      <c r="BM336" t="s">
        <v>6709</v>
      </c>
      <c r="BN336" t="s">
        <v>74</v>
      </c>
      <c r="BO336" t="s">
        <v>74</v>
      </c>
      <c r="BP336" t="s">
        <v>74</v>
      </c>
      <c r="BQ336" t="s">
        <v>74</v>
      </c>
      <c r="BR336" t="s">
        <v>104</v>
      </c>
      <c r="BS336" t="s">
        <v>6770</v>
      </c>
      <c r="BT336" t="str">
        <f>HYPERLINK("https%3A%2F%2Fwww.webofscience.com%2Fwos%2Fwoscc%2Ffull-record%2FWOS:000329794700009","View Full Record in Web of Science")</f>
        <v>View Full Record in Web of Science</v>
      </c>
    </row>
    <row r="337" spans="1:72" x14ac:dyDescent="0.15">
      <c r="A337" t="s">
        <v>72</v>
      </c>
      <c r="B337" t="s">
        <v>6771</v>
      </c>
      <c r="C337" t="s">
        <v>74</v>
      </c>
      <c r="D337" t="s">
        <v>74</v>
      </c>
      <c r="E337" t="s">
        <v>74</v>
      </c>
      <c r="F337" t="s">
        <v>6772</v>
      </c>
      <c r="G337" t="s">
        <v>74</v>
      </c>
      <c r="H337" t="s">
        <v>74</v>
      </c>
      <c r="I337" t="s">
        <v>6773</v>
      </c>
      <c r="J337" t="s">
        <v>1297</v>
      </c>
      <c r="K337" t="s">
        <v>74</v>
      </c>
      <c r="L337" t="s">
        <v>74</v>
      </c>
      <c r="M337" t="s">
        <v>78</v>
      </c>
      <c r="N337" t="s">
        <v>79</v>
      </c>
      <c r="O337" t="s">
        <v>74</v>
      </c>
      <c r="P337" t="s">
        <v>74</v>
      </c>
      <c r="Q337" t="s">
        <v>74</v>
      </c>
      <c r="R337" t="s">
        <v>74</v>
      </c>
      <c r="S337" t="s">
        <v>74</v>
      </c>
      <c r="T337" t="s">
        <v>6774</v>
      </c>
      <c r="U337" t="s">
        <v>6775</v>
      </c>
      <c r="V337" t="s">
        <v>6776</v>
      </c>
      <c r="W337" t="s">
        <v>6777</v>
      </c>
      <c r="X337" t="s">
        <v>6778</v>
      </c>
      <c r="Y337" t="s">
        <v>6779</v>
      </c>
      <c r="Z337" t="s">
        <v>6780</v>
      </c>
      <c r="AA337" t="s">
        <v>6781</v>
      </c>
      <c r="AB337" t="s">
        <v>6782</v>
      </c>
      <c r="AC337" t="s">
        <v>6783</v>
      </c>
      <c r="AD337" t="s">
        <v>6784</v>
      </c>
      <c r="AE337" t="s">
        <v>6785</v>
      </c>
      <c r="AF337" t="s">
        <v>74</v>
      </c>
      <c r="AG337">
        <v>45</v>
      </c>
      <c r="AH337">
        <v>11</v>
      </c>
      <c r="AI337">
        <v>12</v>
      </c>
      <c r="AJ337">
        <v>1</v>
      </c>
      <c r="AK337">
        <v>18</v>
      </c>
      <c r="AL337" t="s">
        <v>145</v>
      </c>
      <c r="AM337" t="s">
        <v>92</v>
      </c>
      <c r="AN337" t="s">
        <v>3045</v>
      </c>
      <c r="AO337" t="s">
        <v>1310</v>
      </c>
      <c r="AP337" t="s">
        <v>1311</v>
      </c>
      <c r="AQ337" t="s">
        <v>74</v>
      </c>
      <c r="AR337" t="s">
        <v>1312</v>
      </c>
      <c r="AS337" t="s">
        <v>1313</v>
      </c>
      <c r="AT337" t="s">
        <v>5362</v>
      </c>
      <c r="AU337">
        <v>2014</v>
      </c>
      <c r="AV337">
        <v>37</v>
      </c>
      <c r="AW337">
        <v>2</v>
      </c>
      <c r="AX337" t="s">
        <v>74</v>
      </c>
      <c r="AY337" t="s">
        <v>74</v>
      </c>
      <c r="AZ337" t="s">
        <v>74</v>
      </c>
      <c r="BA337" t="s">
        <v>74</v>
      </c>
      <c r="BB337">
        <v>269</v>
      </c>
      <c r="BC337">
        <v>289</v>
      </c>
      <c r="BD337" t="s">
        <v>74</v>
      </c>
      <c r="BE337" t="s">
        <v>6786</v>
      </c>
      <c r="BF337" t="str">
        <f>HYPERLINK("http://dx.doi.org/10.1007/s00300-013-1430-5","http://dx.doi.org/10.1007/s00300-013-1430-5")</f>
        <v>http://dx.doi.org/10.1007/s00300-013-1430-5</v>
      </c>
      <c r="BG337" t="s">
        <v>74</v>
      </c>
      <c r="BH337" t="s">
        <v>74</v>
      </c>
      <c r="BI337">
        <v>21</v>
      </c>
      <c r="BJ337" t="s">
        <v>1315</v>
      </c>
      <c r="BK337" t="s">
        <v>101</v>
      </c>
      <c r="BL337" t="s">
        <v>412</v>
      </c>
      <c r="BM337" t="s">
        <v>6709</v>
      </c>
      <c r="BN337" t="s">
        <v>74</v>
      </c>
      <c r="BO337" t="s">
        <v>74</v>
      </c>
      <c r="BP337" t="s">
        <v>74</v>
      </c>
      <c r="BQ337" t="s">
        <v>74</v>
      </c>
      <c r="BR337" t="s">
        <v>104</v>
      </c>
      <c r="BS337" t="s">
        <v>6787</v>
      </c>
      <c r="BT337" t="str">
        <f>HYPERLINK("https%3A%2F%2Fwww.webofscience.com%2Fwos%2Fwoscc%2Ffull-record%2FWOS:000329794700011","View Full Record in Web of Science")</f>
        <v>View Full Record in Web of Science</v>
      </c>
    </row>
    <row r="338" spans="1:72" x14ac:dyDescent="0.15">
      <c r="A338" t="s">
        <v>72</v>
      </c>
      <c r="B338" t="s">
        <v>6788</v>
      </c>
      <c r="C338" t="s">
        <v>74</v>
      </c>
      <c r="D338" t="s">
        <v>74</v>
      </c>
      <c r="E338" t="s">
        <v>74</v>
      </c>
      <c r="F338" t="s">
        <v>6789</v>
      </c>
      <c r="G338" t="s">
        <v>74</v>
      </c>
      <c r="H338" t="s">
        <v>74</v>
      </c>
      <c r="I338" t="s">
        <v>6790</v>
      </c>
      <c r="J338" t="s">
        <v>6791</v>
      </c>
      <c r="K338" t="s">
        <v>74</v>
      </c>
      <c r="L338" t="s">
        <v>74</v>
      </c>
      <c r="M338" t="s">
        <v>78</v>
      </c>
      <c r="N338" t="s">
        <v>79</v>
      </c>
      <c r="O338" t="s">
        <v>74</v>
      </c>
      <c r="P338" t="s">
        <v>74</v>
      </c>
      <c r="Q338" t="s">
        <v>74</v>
      </c>
      <c r="R338" t="s">
        <v>74</v>
      </c>
      <c r="S338" t="s">
        <v>74</v>
      </c>
      <c r="T338" t="s">
        <v>6792</v>
      </c>
      <c r="U338" t="s">
        <v>6793</v>
      </c>
      <c r="V338" t="s">
        <v>6794</v>
      </c>
      <c r="W338" t="s">
        <v>6795</v>
      </c>
      <c r="X338" t="s">
        <v>3874</v>
      </c>
      <c r="Y338" t="s">
        <v>6796</v>
      </c>
      <c r="Z338" t="s">
        <v>6797</v>
      </c>
      <c r="AA338" t="s">
        <v>6798</v>
      </c>
      <c r="AB338" t="s">
        <v>6799</v>
      </c>
      <c r="AC338" t="s">
        <v>6800</v>
      </c>
      <c r="AD338" t="s">
        <v>6801</v>
      </c>
      <c r="AE338" t="s">
        <v>6802</v>
      </c>
      <c r="AF338" t="s">
        <v>74</v>
      </c>
      <c r="AG338">
        <v>91</v>
      </c>
      <c r="AH338">
        <v>49</v>
      </c>
      <c r="AI338">
        <v>52</v>
      </c>
      <c r="AJ338">
        <v>4</v>
      </c>
      <c r="AK338">
        <v>88</v>
      </c>
      <c r="AL338" t="s">
        <v>521</v>
      </c>
      <c r="AM338" t="s">
        <v>522</v>
      </c>
      <c r="AN338" t="s">
        <v>523</v>
      </c>
      <c r="AO338" t="s">
        <v>6803</v>
      </c>
      <c r="AP338" t="s">
        <v>6804</v>
      </c>
      <c r="AQ338" t="s">
        <v>74</v>
      </c>
      <c r="AR338" t="s">
        <v>6805</v>
      </c>
      <c r="AS338" t="s">
        <v>6806</v>
      </c>
      <c r="AT338" t="s">
        <v>5936</v>
      </c>
      <c r="AU338">
        <v>2014</v>
      </c>
      <c r="AV338">
        <v>64</v>
      </c>
      <c r="AW338" t="s">
        <v>74</v>
      </c>
      <c r="AX338" t="s">
        <v>74</v>
      </c>
      <c r="AY338" t="s">
        <v>74</v>
      </c>
      <c r="AZ338" t="s">
        <v>74</v>
      </c>
      <c r="BA338" t="s">
        <v>74</v>
      </c>
      <c r="BB338">
        <v>368</v>
      </c>
      <c r="BC338">
        <v>376</v>
      </c>
      <c r="BD338" t="s">
        <v>74</v>
      </c>
      <c r="BE338" t="s">
        <v>6807</v>
      </c>
      <c r="BF338" t="str">
        <f>HYPERLINK("http://dx.doi.org/10.1016/j.jclepro.2013.10.016","http://dx.doi.org/10.1016/j.jclepro.2013.10.016")</f>
        <v>http://dx.doi.org/10.1016/j.jclepro.2013.10.016</v>
      </c>
      <c r="BG338" t="s">
        <v>74</v>
      </c>
      <c r="BH338" t="s">
        <v>74</v>
      </c>
      <c r="BI338">
        <v>9</v>
      </c>
      <c r="BJ338" t="s">
        <v>6808</v>
      </c>
      <c r="BK338" t="s">
        <v>479</v>
      </c>
      <c r="BL338" t="s">
        <v>6809</v>
      </c>
      <c r="BM338" t="s">
        <v>6810</v>
      </c>
      <c r="BN338" t="s">
        <v>74</v>
      </c>
      <c r="BO338" t="s">
        <v>74</v>
      </c>
      <c r="BP338" t="s">
        <v>74</v>
      </c>
      <c r="BQ338" t="s">
        <v>74</v>
      </c>
      <c r="BR338" t="s">
        <v>104</v>
      </c>
      <c r="BS338" t="s">
        <v>6811</v>
      </c>
      <c r="BT338" t="str">
        <f>HYPERLINK("https%3A%2F%2Fwww.webofscience.com%2Fwos%2Fwoscc%2Ffull-record%2FWOS:000329595700033","View Full Record in Web of Science")</f>
        <v>View Full Record in Web of Science</v>
      </c>
    </row>
    <row r="339" spans="1:72" x14ac:dyDescent="0.15">
      <c r="A339" t="s">
        <v>72</v>
      </c>
      <c r="B339" t="s">
        <v>6812</v>
      </c>
      <c r="C339" t="s">
        <v>74</v>
      </c>
      <c r="D339" t="s">
        <v>74</v>
      </c>
      <c r="E339" t="s">
        <v>74</v>
      </c>
      <c r="F339" t="s">
        <v>6813</v>
      </c>
      <c r="G339" t="s">
        <v>74</v>
      </c>
      <c r="H339" t="s">
        <v>74</v>
      </c>
      <c r="I339" t="s">
        <v>6814</v>
      </c>
      <c r="J339" t="s">
        <v>6815</v>
      </c>
      <c r="K339" t="s">
        <v>74</v>
      </c>
      <c r="L339" t="s">
        <v>74</v>
      </c>
      <c r="M339" t="s">
        <v>78</v>
      </c>
      <c r="N339" t="s">
        <v>79</v>
      </c>
      <c r="O339" t="s">
        <v>74</v>
      </c>
      <c r="P339" t="s">
        <v>74</v>
      </c>
      <c r="Q339" t="s">
        <v>74</v>
      </c>
      <c r="R339" t="s">
        <v>74</v>
      </c>
      <c r="S339" t="s">
        <v>74</v>
      </c>
      <c r="T339" t="s">
        <v>6816</v>
      </c>
      <c r="U339" t="s">
        <v>6817</v>
      </c>
      <c r="V339" t="s">
        <v>6818</v>
      </c>
      <c r="W339" t="s">
        <v>6819</v>
      </c>
      <c r="X339" t="s">
        <v>6820</v>
      </c>
      <c r="Y339" t="s">
        <v>6821</v>
      </c>
      <c r="Z339" t="s">
        <v>6822</v>
      </c>
      <c r="AA339" t="s">
        <v>6823</v>
      </c>
      <c r="AB339" t="s">
        <v>6824</v>
      </c>
      <c r="AC339" t="s">
        <v>6825</v>
      </c>
      <c r="AD339" t="s">
        <v>6826</v>
      </c>
      <c r="AE339" t="s">
        <v>6827</v>
      </c>
      <c r="AF339" t="s">
        <v>74</v>
      </c>
      <c r="AG339">
        <v>24</v>
      </c>
      <c r="AH339">
        <v>20</v>
      </c>
      <c r="AI339">
        <v>22</v>
      </c>
      <c r="AJ339">
        <v>3</v>
      </c>
      <c r="AK339">
        <v>69</v>
      </c>
      <c r="AL339" t="s">
        <v>6024</v>
      </c>
      <c r="AM339" t="s">
        <v>6025</v>
      </c>
      <c r="AN339" t="s">
        <v>6026</v>
      </c>
      <c r="AO339" t="s">
        <v>6828</v>
      </c>
      <c r="AP339" t="s">
        <v>6829</v>
      </c>
      <c r="AQ339" t="s">
        <v>74</v>
      </c>
      <c r="AR339" t="s">
        <v>6830</v>
      </c>
      <c r="AS339" t="s">
        <v>6831</v>
      </c>
      <c r="AT339" t="s">
        <v>5936</v>
      </c>
      <c r="AU339">
        <v>2014</v>
      </c>
      <c r="AV339">
        <v>446</v>
      </c>
      <c r="AW339" t="s">
        <v>74</v>
      </c>
      <c r="AX339" t="s">
        <v>74</v>
      </c>
      <c r="AY339" t="s">
        <v>74</v>
      </c>
      <c r="AZ339" t="s">
        <v>74</v>
      </c>
      <c r="BA339" t="s">
        <v>74</v>
      </c>
      <c r="BB339">
        <v>90</v>
      </c>
      <c r="BC339">
        <v>95</v>
      </c>
      <c r="BD339" t="s">
        <v>74</v>
      </c>
      <c r="BE339" t="s">
        <v>6832</v>
      </c>
      <c r="BF339" t="str">
        <f>HYPERLINK("http://dx.doi.org/10.1016/j.ab.2013.10.027","http://dx.doi.org/10.1016/j.ab.2013.10.027")</f>
        <v>http://dx.doi.org/10.1016/j.ab.2013.10.027</v>
      </c>
      <c r="BG339" t="s">
        <v>74</v>
      </c>
      <c r="BH339" t="s">
        <v>74</v>
      </c>
      <c r="BI339">
        <v>6</v>
      </c>
      <c r="BJ339" t="s">
        <v>6833</v>
      </c>
      <c r="BK339" t="s">
        <v>101</v>
      </c>
      <c r="BL339" t="s">
        <v>2255</v>
      </c>
      <c r="BM339" t="s">
        <v>6834</v>
      </c>
      <c r="BN339">
        <v>24513116</v>
      </c>
      <c r="BO339" t="s">
        <v>74</v>
      </c>
      <c r="BP339" t="s">
        <v>74</v>
      </c>
      <c r="BQ339" t="s">
        <v>74</v>
      </c>
      <c r="BR339" t="s">
        <v>104</v>
      </c>
      <c r="BS339" t="s">
        <v>6835</v>
      </c>
      <c r="BT339" t="str">
        <f>HYPERLINK("https%3A%2F%2Fwww.webofscience.com%2Fwos%2Fwoscc%2Ffull-record%2FWOS:000329949500016","View Full Record in Web of Science")</f>
        <v>View Full Record in Web of Science</v>
      </c>
    </row>
    <row r="340" spans="1:72" x14ac:dyDescent="0.15">
      <c r="A340" t="s">
        <v>72</v>
      </c>
      <c r="B340" t="s">
        <v>6836</v>
      </c>
      <c r="C340" t="s">
        <v>74</v>
      </c>
      <c r="D340" t="s">
        <v>74</v>
      </c>
      <c r="E340" t="s">
        <v>74</v>
      </c>
      <c r="F340" t="s">
        <v>6836</v>
      </c>
      <c r="G340" t="s">
        <v>74</v>
      </c>
      <c r="H340" t="s">
        <v>74</v>
      </c>
      <c r="I340" t="s">
        <v>6837</v>
      </c>
      <c r="J340" t="s">
        <v>188</v>
      </c>
      <c r="K340" t="s">
        <v>74</v>
      </c>
      <c r="L340" t="s">
        <v>74</v>
      </c>
      <c r="M340" t="s">
        <v>78</v>
      </c>
      <c r="N340" t="s">
        <v>189</v>
      </c>
      <c r="O340" t="s">
        <v>74</v>
      </c>
      <c r="P340" t="s">
        <v>74</v>
      </c>
      <c r="Q340" t="s">
        <v>74</v>
      </c>
      <c r="R340" t="s">
        <v>74</v>
      </c>
      <c r="S340" t="s">
        <v>74</v>
      </c>
      <c r="T340" t="s">
        <v>74</v>
      </c>
      <c r="U340" t="s">
        <v>74</v>
      </c>
      <c r="V340" t="s">
        <v>74</v>
      </c>
      <c r="W340" t="s">
        <v>74</v>
      </c>
      <c r="X340" t="s">
        <v>74</v>
      </c>
      <c r="Y340" t="s">
        <v>74</v>
      </c>
      <c r="Z340" t="s">
        <v>74</v>
      </c>
      <c r="AA340" t="s">
        <v>74</v>
      </c>
      <c r="AB340" t="s">
        <v>74</v>
      </c>
      <c r="AC340" t="s">
        <v>74</v>
      </c>
      <c r="AD340" t="s">
        <v>74</v>
      </c>
      <c r="AE340" t="s">
        <v>74</v>
      </c>
      <c r="AF340" t="s">
        <v>74</v>
      </c>
      <c r="AG340">
        <v>0</v>
      </c>
      <c r="AH340">
        <v>1</v>
      </c>
      <c r="AI340">
        <v>1</v>
      </c>
      <c r="AJ340">
        <v>0</v>
      </c>
      <c r="AK340">
        <v>0</v>
      </c>
      <c r="AL340" t="s">
        <v>91</v>
      </c>
      <c r="AM340" t="s">
        <v>92</v>
      </c>
      <c r="AN340" t="s">
        <v>93</v>
      </c>
      <c r="AO340" t="s">
        <v>192</v>
      </c>
      <c r="AP340" t="s">
        <v>193</v>
      </c>
      <c r="AQ340" t="s">
        <v>74</v>
      </c>
      <c r="AR340" t="s">
        <v>194</v>
      </c>
      <c r="AS340" t="s">
        <v>195</v>
      </c>
      <c r="AT340" t="s">
        <v>5362</v>
      </c>
      <c r="AU340">
        <v>2014</v>
      </c>
      <c r="AV340">
        <v>26</v>
      </c>
      <c r="AW340">
        <v>1</v>
      </c>
      <c r="AX340" t="s">
        <v>74</v>
      </c>
      <c r="AY340" t="s">
        <v>74</v>
      </c>
      <c r="AZ340" t="s">
        <v>74</v>
      </c>
      <c r="BA340" t="s">
        <v>74</v>
      </c>
      <c r="BB340">
        <v>1</v>
      </c>
      <c r="BC340">
        <v>1</v>
      </c>
      <c r="BD340" t="s">
        <v>74</v>
      </c>
      <c r="BE340" t="s">
        <v>6838</v>
      </c>
      <c r="BF340" t="str">
        <f>HYPERLINK("http://dx.doi.org/10.1017/S0954102014000042","http://dx.doi.org/10.1017/S0954102014000042")</f>
        <v>http://dx.doi.org/10.1017/S0954102014000042</v>
      </c>
      <c r="BG340" t="s">
        <v>74</v>
      </c>
      <c r="BH340" t="s">
        <v>74</v>
      </c>
      <c r="BI340">
        <v>1</v>
      </c>
      <c r="BJ340" t="s">
        <v>197</v>
      </c>
      <c r="BK340" t="s">
        <v>101</v>
      </c>
      <c r="BL340" t="s">
        <v>198</v>
      </c>
      <c r="BM340" t="s">
        <v>5588</v>
      </c>
      <c r="BN340" t="s">
        <v>74</v>
      </c>
      <c r="BO340" t="s">
        <v>200</v>
      </c>
      <c r="BP340" t="s">
        <v>74</v>
      </c>
      <c r="BQ340" t="s">
        <v>74</v>
      </c>
      <c r="BR340" t="s">
        <v>104</v>
      </c>
      <c r="BS340" t="s">
        <v>6839</v>
      </c>
      <c r="BT340" t="str">
        <f>HYPERLINK("https%3A%2F%2Fwww.webofscience.com%2Fwos%2Fwoscc%2Ffull-record%2FWOS:000332374600001","View Full Record in Web of Science")</f>
        <v>View Full Record in Web of Science</v>
      </c>
    </row>
    <row r="341" spans="1:72" x14ac:dyDescent="0.15">
      <c r="A341" t="s">
        <v>72</v>
      </c>
      <c r="B341" t="s">
        <v>6840</v>
      </c>
      <c r="C341" t="s">
        <v>74</v>
      </c>
      <c r="D341" t="s">
        <v>74</v>
      </c>
      <c r="E341" t="s">
        <v>74</v>
      </c>
      <c r="F341" t="s">
        <v>6841</v>
      </c>
      <c r="G341" t="s">
        <v>74</v>
      </c>
      <c r="H341" t="s">
        <v>74</v>
      </c>
      <c r="I341" t="s">
        <v>6842</v>
      </c>
      <c r="J341" t="s">
        <v>188</v>
      </c>
      <c r="K341" t="s">
        <v>74</v>
      </c>
      <c r="L341" t="s">
        <v>74</v>
      </c>
      <c r="M341" t="s">
        <v>78</v>
      </c>
      <c r="N341" t="s">
        <v>79</v>
      </c>
      <c r="O341" t="s">
        <v>74</v>
      </c>
      <c r="P341" t="s">
        <v>74</v>
      </c>
      <c r="Q341" t="s">
        <v>74</v>
      </c>
      <c r="R341" t="s">
        <v>74</v>
      </c>
      <c r="S341" t="s">
        <v>74</v>
      </c>
      <c r="T341" t="s">
        <v>6843</v>
      </c>
      <c r="U341" t="s">
        <v>6844</v>
      </c>
      <c r="V341" t="s">
        <v>6845</v>
      </c>
      <c r="W341" t="s">
        <v>6846</v>
      </c>
      <c r="X341" t="s">
        <v>6847</v>
      </c>
      <c r="Y341" t="s">
        <v>6848</v>
      </c>
      <c r="Z341" t="s">
        <v>6849</v>
      </c>
      <c r="AA341" t="s">
        <v>6850</v>
      </c>
      <c r="AB341" t="s">
        <v>74</v>
      </c>
      <c r="AC341" t="s">
        <v>6851</v>
      </c>
      <c r="AD341" t="s">
        <v>6852</v>
      </c>
      <c r="AE341" t="s">
        <v>6853</v>
      </c>
      <c r="AF341" t="s">
        <v>74</v>
      </c>
      <c r="AG341">
        <v>85</v>
      </c>
      <c r="AH341">
        <v>20</v>
      </c>
      <c r="AI341">
        <v>21</v>
      </c>
      <c r="AJ341">
        <v>0</v>
      </c>
      <c r="AK341">
        <v>36</v>
      </c>
      <c r="AL341" t="s">
        <v>91</v>
      </c>
      <c r="AM341" t="s">
        <v>92</v>
      </c>
      <c r="AN341" t="s">
        <v>93</v>
      </c>
      <c r="AO341" t="s">
        <v>192</v>
      </c>
      <c r="AP341" t="s">
        <v>193</v>
      </c>
      <c r="AQ341" t="s">
        <v>74</v>
      </c>
      <c r="AR341" t="s">
        <v>194</v>
      </c>
      <c r="AS341" t="s">
        <v>195</v>
      </c>
      <c r="AT341" t="s">
        <v>5362</v>
      </c>
      <c r="AU341">
        <v>2014</v>
      </c>
      <c r="AV341">
        <v>26</v>
      </c>
      <c r="AW341">
        <v>1</v>
      </c>
      <c r="AX341" t="s">
        <v>74</v>
      </c>
      <c r="AY341" t="s">
        <v>74</v>
      </c>
      <c r="AZ341" t="s">
        <v>74</v>
      </c>
      <c r="BA341" t="s">
        <v>74</v>
      </c>
      <c r="BB341">
        <v>3</v>
      </c>
      <c r="BC341">
        <v>13</v>
      </c>
      <c r="BD341" t="s">
        <v>74</v>
      </c>
      <c r="BE341" t="s">
        <v>6854</v>
      </c>
      <c r="BF341" t="str">
        <f>HYPERLINK("http://dx.doi.org/10.1017/S0954102013000801","http://dx.doi.org/10.1017/S0954102013000801")</f>
        <v>http://dx.doi.org/10.1017/S0954102013000801</v>
      </c>
      <c r="BG341" t="s">
        <v>74</v>
      </c>
      <c r="BH341" t="s">
        <v>74</v>
      </c>
      <c r="BI341">
        <v>11</v>
      </c>
      <c r="BJ341" t="s">
        <v>197</v>
      </c>
      <c r="BK341" t="s">
        <v>101</v>
      </c>
      <c r="BL341" t="s">
        <v>198</v>
      </c>
      <c r="BM341" t="s">
        <v>5588</v>
      </c>
      <c r="BN341" t="s">
        <v>74</v>
      </c>
      <c r="BO341" t="s">
        <v>74</v>
      </c>
      <c r="BP341" t="s">
        <v>74</v>
      </c>
      <c r="BQ341" t="s">
        <v>74</v>
      </c>
      <c r="BR341" t="s">
        <v>104</v>
      </c>
      <c r="BS341" t="s">
        <v>6855</v>
      </c>
      <c r="BT341" t="str">
        <f>HYPERLINK("https%3A%2F%2Fwww.webofscience.com%2Fwos%2Fwoscc%2Ffull-record%2FWOS:000332374600002","View Full Record in Web of Science")</f>
        <v>View Full Record in Web of Science</v>
      </c>
    </row>
    <row r="342" spans="1:72" x14ac:dyDescent="0.15">
      <c r="A342" t="s">
        <v>72</v>
      </c>
      <c r="B342" t="s">
        <v>6856</v>
      </c>
      <c r="C342" t="s">
        <v>74</v>
      </c>
      <c r="D342" t="s">
        <v>74</v>
      </c>
      <c r="E342" t="s">
        <v>74</v>
      </c>
      <c r="F342" t="s">
        <v>6857</v>
      </c>
      <c r="G342" t="s">
        <v>74</v>
      </c>
      <c r="H342" t="s">
        <v>74</v>
      </c>
      <c r="I342" t="s">
        <v>6858</v>
      </c>
      <c r="J342" t="s">
        <v>5716</v>
      </c>
      <c r="K342" t="s">
        <v>74</v>
      </c>
      <c r="L342" t="s">
        <v>74</v>
      </c>
      <c r="M342" t="s">
        <v>78</v>
      </c>
      <c r="N342" t="s">
        <v>189</v>
      </c>
      <c r="O342" t="s">
        <v>74</v>
      </c>
      <c r="P342" t="s">
        <v>74</v>
      </c>
      <c r="Q342" t="s">
        <v>74</v>
      </c>
      <c r="R342" t="s">
        <v>74</v>
      </c>
      <c r="S342" t="s">
        <v>74</v>
      </c>
      <c r="T342" t="s">
        <v>74</v>
      </c>
      <c r="U342" t="s">
        <v>6859</v>
      </c>
      <c r="V342" t="s">
        <v>74</v>
      </c>
      <c r="W342" t="s">
        <v>6860</v>
      </c>
      <c r="X342" t="s">
        <v>6861</v>
      </c>
      <c r="Y342" t="s">
        <v>6862</v>
      </c>
      <c r="Z342" t="s">
        <v>6863</v>
      </c>
      <c r="AA342" t="s">
        <v>6864</v>
      </c>
      <c r="AB342" t="s">
        <v>6865</v>
      </c>
      <c r="AC342" t="s">
        <v>74</v>
      </c>
      <c r="AD342" t="s">
        <v>74</v>
      </c>
      <c r="AE342" t="s">
        <v>74</v>
      </c>
      <c r="AF342" t="s">
        <v>74</v>
      </c>
      <c r="AG342">
        <v>26</v>
      </c>
      <c r="AH342">
        <v>6</v>
      </c>
      <c r="AI342">
        <v>8</v>
      </c>
      <c r="AJ342">
        <v>2</v>
      </c>
      <c r="AK342">
        <v>23</v>
      </c>
      <c r="AL342" t="s">
        <v>5721</v>
      </c>
      <c r="AM342" t="s">
        <v>593</v>
      </c>
      <c r="AN342" t="s">
        <v>5722</v>
      </c>
      <c r="AO342" t="s">
        <v>5723</v>
      </c>
      <c r="AP342" t="s">
        <v>5724</v>
      </c>
      <c r="AQ342" t="s">
        <v>74</v>
      </c>
      <c r="AR342" t="s">
        <v>5725</v>
      </c>
      <c r="AS342" t="s">
        <v>5726</v>
      </c>
      <c r="AT342" t="s">
        <v>5362</v>
      </c>
      <c r="AU342">
        <v>2014</v>
      </c>
      <c r="AV342">
        <v>46</v>
      </c>
      <c r="AW342">
        <v>1</v>
      </c>
      <c r="AX342" t="s">
        <v>74</v>
      </c>
      <c r="AY342" t="s">
        <v>74</v>
      </c>
      <c r="AZ342" t="s">
        <v>660</v>
      </c>
      <c r="BA342" t="s">
        <v>74</v>
      </c>
      <c r="BB342">
        <v>2</v>
      </c>
      <c r="BC342">
        <v>5</v>
      </c>
      <c r="BD342" t="s">
        <v>74</v>
      </c>
      <c r="BE342" t="s">
        <v>6866</v>
      </c>
      <c r="BF342" t="str">
        <f>HYPERLINK("http://dx.doi.org/10.1657/1938-4246-46.1.2","http://dx.doi.org/10.1657/1938-4246-46.1.2")</f>
        <v>http://dx.doi.org/10.1657/1938-4246-46.1.2</v>
      </c>
      <c r="BG342" t="s">
        <v>74</v>
      </c>
      <c r="BH342" t="s">
        <v>74</v>
      </c>
      <c r="BI342">
        <v>4</v>
      </c>
      <c r="BJ342" t="s">
        <v>5728</v>
      </c>
      <c r="BK342" t="s">
        <v>101</v>
      </c>
      <c r="BL342" t="s">
        <v>5729</v>
      </c>
      <c r="BM342" t="s">
        <v>5730</v>
      </c>
      <c r="BN342" t="s">
        <v>74</v>
      </c>
      <c r="BO342" t="s">
        <v>6867</v>
      </c>
      <c r="BP342" t="s">
        <v>74</v>
      </c>
      <c r="BQ342" t="s">
        <v>74</v>
      </c>
      <c r="BR342" t="s">
        <v>104</v>
      </c>
      <c r="BS342" t="s">
        <v>6868</v>
      </c>
      <c r="BT342" t="str">
        <f>HYPERLINK("https%3A%2F%2Fwww.webofscience.com%2Fwos%2Fwoscc%2Ffull-record%2FWOS:000333866100002","View Full Record in Web of Science")</f>
        <v>View Full Record in Web of Science</v>
      </c>
    </row>
    <row r="343" spans="1:72" x14ac:dyDescent="0.15">
      <c r="A343" t="s">
        <v>72</v>
      </c>
      <c r="B343" t="s">
        <v>6869</v>
      </c>
      <c r="C343" t="s">
        <v>74</v>
      </c>
      <c r="D343" t="s">
        <v>74</v>
      </c>
      <c r="E343" t="s">
        <v>74</v>
      </c>
      <c r="F343" t="s">
        <v>6870</v>
      </c>
      <c r="G343" t="s">
        <v>74</v>
      </c>
      <c r="H343" t="s">
        <v>74</v>
      </c>
      <c r="I343" t="s">
        <v>6871</v>
      </c>
      <c r="J343" t="s">
        <v>5716</v>
      </c>
      <c r="K343" t="s">
        <v>74</v>
      </c>
      <c r="L343" t="s">
        <v>74</v>
      </c>
      <c r="M343" t="s">
        <v>78</v>
      </c>
      <c r="N343" t="s">
        <v>79</v>
      </c>
      <c r="O343" t="s">
        <v>74</v>
      </c>
      <c r="P343" t="s">
        <v>74</v>
      </c>
      <c r="Q343" t="s">
        <v>74</v>
      </c>
      <c r="R343" t="s">
        <v>74</v>
      </c>
      <c r="S343" t="s">
        <v>74</v>
      </c>
      <c r="T343" t="s">
        <v>74</v>
      </c>
      <c r="U343" t="s">
        <v>6872</v>
      </c>
      <c r="V343" t="s">
        <v>6873</v>
      </c>
      <c r="W343" t="s">
        <v>6874</v>
      </c>
      <c r="X343" t="s">
        <v>6875</v>
      </c>
      <c r="Y343" t="s">
        <v>6876</v>
      </c>
      <c r="Z343" t="s">
        <v>6877</v>
      </c>
      <c r="AA343" t="s">
        <v>6878</v>
      </c>
      <c r="AB343" t="s">
        <v>6879</v>
      </c>
      <c r="AC343" t="s">
        <v>6880</v>
      </c>
      <c r="AD343" t="s">
        <v>6881</v>
      </c>
      <c r="AE343" t="s">
        <v>6882</v>
      </c>
      <c r="AF343" t="s">
        <v>74</v>
      </c>
      <c r="AG343">
        <v>83</v>
      </c>
      <c r="AH343">
        <v>14</v>
      </c>
      <c r="AI343">
        <v>17</v>
      </c>
      <c r="AJ343">
        <v>0</v>
      </c>
      <c r="AK343">
        <v>39</v>
      </c>
      <c r="AL343" t="s">
        <v>5746</v>
      </c>
      <c r="AM343" t="s">
        <v>5747</v>
      </c>
      <c r="AN343" t="s">
        <v>5748</v>
      </c>
      <c r="AO343" t="s">
        <v>5723</v>
      </c>
      <c r="AP343" t="s">
        <v>5724</v>
      </c>
      <c r="AQ343" t="s">
        <v>74</v>
      </c>
      <c r="AR343" t="s">
        <v>5725</v>
      </c>
      <c r="AS343" t="s">
        <v>5726</v>
      </c>
      <c r="AT343" t="s">
        <v>5362</v>
      </c>
      <c r="AU343">
        <v>2014</v>
      </c>
      <c r="AV343">
        <v>46</v>
      </c>
      <c r="AW343">
        <v>1</v>
      </c>
      <c r="AX343" t="s">
        <v>74</v>
      </c>
      <c r="AY343" t="s">
        <v>74</v>
      </c>
      <c r="AZ343" t="s">
        <v>660</v>
      </c>
      <c r="BA343" t="s">
        <v>74</v>
      </c>
      <c r="BB343">
        <v>19</v>
      </c>
      <c r="BC343">
        <v>39</v>
      </c>
      <c r="BD343" t="s">
        <v>74</v>
      </c>
      <c r="BE343" t="s">
        <v>6883</v>
      </c>
      <c r="BF343" t="str">
        <f>HYPERLINK("http://dx.doi.org/10.1657/1938-4246-46.1.19","http://dx.doi.org/10.1657/1938-4246-46.1.19")</f>
        <v>http://dx.doi.org/10.1657/1938-4246-46.1.19</v>
      </c>
      <c r="BG343" t="s">
        <v>74</v>
      </c>
      <c r="BH343" t="s">
        <v>74</v>
      </c>
      <c r="BI343">
        <v>21</v>
      </c>
      <c r="BJ343" t="s">
        <v>5728</v>
      </c>
      <c r="BK343" t="s">
        <v>101</v>
      </c>
      <c r="BL343" t="s">
        <v>5729</v>
      </c>
      <c r="BM343" t="s">
        <v>5730</v>
      </c>
      <c r="BN343" t="s">
        <v>74</v>
      </c>
      <c r="BO343" t="s">
        <v>810</v>
      </c>
      <c r="BP343" t="s">
        <v>74</v>
      </c>
      <c r="BQ343" t="s">
        <v>74</v>
      </c>
      <c r="BR343" t="s">
        <v>104</v>
      </c>
      <c r="BS343" t="s">
        <v>6884</v>
      </c>
      <c r="BT343" t="str">
        <f>HYPERLINK("https%3A%2F%2Fwww.webofscience.com%2Fwos%2Fwoscc%2Ffull-record%2FWOS:000333866100004","View Full Record in Web of Science")</f>
        <v>View Full Record in Web of Science</v>
      </c>
    </row>
    <row r="344" spans="1:72" x14ac:dyDescent="0.15">
      <c r="A344" t="s">
        <v>72</v>
      </c>
      <c r="B344" t="s">
        <v>6885</v>
      </c>
      <c r="C344" t="s">
        <v>74</v>
      </c>
      <c r="D344" t="s">
        <v>74</v>
      </c>
      <c r="E344" t="s">
        <v>74</v>
      </c>
      <c r="F344" t="s">
        <v>6886</v>
      </c>
      <c r="G344" t="s">
        <v>74</v>
      </c>
      <c r="H344" t="s">
        <v>74</v>
      </c>
      <c r="I344" t="s">
        <v>6887</v>
      </c>
      <c r="J344" t="s">
        <v>5716</v>
      </c>
      <c r="K344" t="s">
        <v>74</v>
      </c>
      <c r="L344" t="s">
        <v>74</v>
      </c>
      <c r="M344" t="s">
        <v>78</v>
      </c>
      <c r="N344" t="s">
        <v>79</v>
      </c>
      <c r="O344" t="s">
        <v>74</v>
      </c>
      <c r="P344" t="s">
        <v>74</v>
      </c>
      <c r="Q344" t="s">
        <v>74</v>
      </c>
      <c r="R344" t="s">
        <v>74</v>
      </c>
      <c r="S344" t="s">
        <v>74</v>
      </c>
      <c r="T344" t="s">
        <v>74</v>
      </c>
      <c r="U344" t="s">
        <v>6888</v>
      </c>
      <c r="V344" t="s">
        <v>6889</v>
      </c>
      <c r="W344" t="s">
        <v>6890</v>
      </c>
      <c r="X344" t="s">
        <v>5719</v>
      </c>
      <c r="Y344" t="s">
        <v>6891</v>
      </c>
      <c r="Z344" t="s">
        <v>6892</v>
      </c>
      <c r="AA344" t="s">
        <v>74</v>
      </c>
      <c r="AB344" t="s">
        <v>6893</v>
      </c>
      <c r="AC344" t="s">
        <v>6894</v>
      </c>
      <c r="AD344" t="s">
        <v>6895</v>
      </c>
      <c r="AE344" t="s">
        <v>6896</v>
      </c>
      <c r="AF344" t="s">
        <v>74</v>
      </c>
      <c r="AG344">
        <v>28</v>
      </c>
      <c r="AH344">
        <v>70</v>
      </c>
      <c r="AI344">
        <v>77</v>
      </c>
      <c r="AJ344">
        <v>0</v>
      </c>
      <c r="AK344">
        <v>23</v>
      </c>
      <c r="AL344" t="s">
        <v>5746</v>
      </c>
      <c r="AM344" t="s">
        <v>5747</v>
      </c>
      <c r="AN344" t="s">
        <v>5748</v>
      </c>
      <c r="AO344" t="s">
        <v>5723</v>
      </c>
      <c r="AP344" t="s">
        <v>5724</v>
      </c>
      <c r="AQ344" t="s">
        <v>74</v>
      </c>
      <c r="AR344" t="s">
        <v>5725</v>
      </c>
      <c r="AS344" t="s">
        <v>5726</v>
      </c>
      <c r="AT344" t="s">
        <v>5362</v>
      </c>
      <c r="AU344">
        <v>2014</v>
      </c>
      <c r="AV344">
        <v>46</v>
      </c>
      <c r="AW344">
        <v>1</v>
      </c>
      <c r="AX344" t="s">
        <v>74</v>
      </c>
      <c r="AY344" t="s">
        <v>74</v>
      </c>
      <c r="AZ344" t="s">
        <v>660</v>
      </c>
      <c r="BA344" t="s">
        <v>74</v>
      </c>
      <c r="BB344">
        <v>66</v>
      </c>
      <c r="BC344">
        <v>83</v>
      </c>
      <c r="BD344" t="s">
        <v>74</v>
      </c>
      <c r="BE344" t="s">
        <v>6897</v>
      </c>
      <c r="BF344" t="str">
        <f>HYPERLINK("http://dx.doi.org/10.1657/1938-4246-46.1.66","http://dx.doi.org/10.1657/1938-4246-46.1.66")</f>
        <v>http://dx.doi.org/10.1657/1938-4246-46.1.66</v>
      </c>
      <c r="BG344" t="s">
        <v>74</v>
      </c>
      <c r="BH344" t="s">
        <v>74</v>
      </c>
      <c r="BI344">
        <v>18</v>
      </c>
      <c r="BJ344" t="s">
        <v>5728</v>
      </c>
      <c r="BK344" t="s">
        <v>101</v>
      </c>
      <c r="BL344" t="s">
        <v>5729</v>
      </c>
      <c r="BM344" t="s">
        <v>5730</v>
      </c>
      <c r="BN344" t="s">
        <v>74</v>
      </c>
      <c r="BO344" t="s">
        <v>200</v>
      </c>
      <c r="BP344" t="s">
        <v>74</v>
      </c>
      <c r="BQ344" t="s">
        <v>74</v>
      </c>
      <c r="BR344" t="s">
        <v>104</v>
      </c>
      <c r="BS344" t="s">
        <v>6898</v>
      </c>
      <c r="BT344" t="str">
        <f>HYPERLINK("https%3A%2F%2Fwww.webofscience.com%2Fwos%2Fwoscc%2Ffull-record%2FWOS:000333866100007","View Full Record in Web of Science")</f>
        <v>View Full Record in Web of Science</v>
      </c>
    </row>
    <row r="345" spans="1:72" x14ac:dyDescent="0.15">
      <c r="A345" t="s">
        <v>72</v>
      </c>
      <c r="B345" t="s">
        <v>6899</v>
      </c>
      <c r="C345" t="s">
        <v>74</v>
      </c>
      <c r="D345" t="s">
        <v>74</v>
      </c>
      <c r="E345" t="s">
        <v>74</v>
      </c>
      <c r="F345" t="s">
        <v>6900</v>
      </c>
      <c r="G345" t="s">
        <v>74</v>
      </c>
      <c r="H345" t="s">
        <v>74</v>
      </c>
      <c r="I345" t="s">
        <v>6901</v>
      </c>
      <c r="J345" t="s">
        <v>5716</v>
      </c>
      <c r="K345" t="s">
        <v>74</v>
      </c>
      <c r="L345" t="s">
        <v>74</v>
      </c>
      <c r="M345" t="s">
        <v>78</v>
      </c>
      <c r="N345" t="s">
        <v>79</v>
      </c>
      <c r="O345" t="s">
        <v>74</v>
      </c>
      <c r="P345" t="s">
        <v>74</v>
      </c>
      <c r="Q345" t="s">
        <v>74</v>
      </c>
      <c r="R345" t="s">
        <v>74</v>
      </c>
      <c r="S345" t="s">
        <v>74</v>
      </c>
      <c r="T345" t="s">
        <v>74</v>
      </c>
      <c r="U345" t="s">
        <v>6902</v>
      </c>
      <c r="V345" t="s">
        <v>6903</v>
      </c>
      <c r="W345" t="s">
        <v>6904</v>
      </c>
      <c r="X345" t="s">
        <v>6905</v>
      </c>
      <c r="Y345" t="s">
        <v>6906</v>
      </c>
      <c r="Z345" t="s">
        <v>6907</v>
      </c>
      <c r="AA345" t="s">
        <v>74</v>
      </c>
      <c r="AB345" t="s">
        <v>6908</v>
      </c>
      <c r="AC345" t="s">
        <v>6909</v>
      </c>
      <c r="AD345" t="s">
        <v>6910</v>
      </c>
      <c r="AE345" t="s">
        <v>6911</v>
      </c>
      <c r="AF345" t="s">
        <v>74</v>
      </c>
      <c r="AG345">
        <v>40</v>
      </c>
      <c r="AH345">
        <v>45</v>
      </c>
      <c r="AI345">
        <v>51</v>
      </c>
      <c r="AJ345">
        <v>2</v>
      </c>
      <c r="AK345">
        <v>42</v>
      </c>
      <c r="AL345" t="s">
        <v>5746</v>
      </c>
      <c r="AM345" t="s">
        <v>5747</v>
      </c>
      <c r="AN345" t="s">
        <v>5748</v>
      </c>
      <c r="AO345" t="s">
        <v>5723</v>
      </c>
      <c r="AP345" t="s">
        <v>5724</v>
      </c>
      <c r="AQ345" t="s">
        <v>74</v>
      </c>
      <c r="AR345" t="s">
        <v>5725</v>
      </c>
      <c r="AS345" t="s">
        <v>5726</v>
      </c>
      <c r="AT345" t="s">
        <v>5362</v>
      </c>
      <c r="AU345">
        <v>2014</v>
      </c>
      <c r="AV345">
        <v>46</v>
      </c>
      <c r="AW345">
        <v>1</v>
      </c>
      <c r="AX345" t="s">
        <v>74</v>
      </c>
      <c r="AY345" t="s">
        <v>74</v>
      </c>
      <c r="AZ345" t="s">
        <v>660</v>
      </c>
      <c r="BA345" t="s">
        <v>74</v>
      </c>
      <c r="BB345">
        <v>103</v>
      </c>
      <c r="BC345">
        <v>113</v>
      </c>
      <c r="BD345" t="s">
        <v>74</v>
      </c>
      <c r="BE345" t="s">
        <v>6912</v>
      </c>
      <c r="BF345" t="str">
        <f>HYPERLINK("http://dx.doi.org/10.1657/1938-4246.46.1.103","http://dx.doi.org/10.1657/1938-4246.46.1.103")</f>
        <v>http://dx.doi.org/10.1657/1938-4246.46.1.103</v>
      </c>
      <c r="BG345" t="s">
        <v>74</v>
      </c>
      <c r="BH345" t="s">
        <v>74</v>
      </c>
      <c r="BI345">
        <v>11</v>
      </c>
      <c r="BJ345" t="s">
        <v>5728</v>
      </c>
      <c r="BK345" t="s">
        <v>101</v>
      </c>
      <c r="BL345" t="s">
        <v>5729</v>
      </c>
      <c r="BM345" t="s">
        <v>5730</v>
      </c>
      <c r="BN345" t="s">
        <v>74</v>
      </c>
      <c r="BO345" t="s">
        <v>1056</v>
      </c>
      <c r="BP345" t="s">
        <v>74</v>
      </c>
      <c r="BQ345" t="s">
        <v>74</v>
      </c>
      <c r="BR345" t="s">
        <v>104</v>
      </c>
      <c r="BS345" t="s">
        <v>6913</v>
      </c>
      <c r="BT345" t="str">
        <f>HYPERLINK("https%3A%2F%2Fwww.webofscience.com%2Fwos%2Fwoscc%2Ffull-record%2FWOS:000333866100009","View Full Record in Web of Science")</f>
        <v>View Full Record in Web of Science</v>
      </c>
    </row>
    <row r="346" spans="1:72" x14ac:dyDescent="0.15">
      <c r="A346" t="s">
        <v>72</v>
      </c>
      <c r="B346" t="s">
        <v>6914</v>
      </c>
      <c r="C346" t="s">
        <v>74</v>
      </c>
      <c r="D346" t="s">
        <v>74</v>
      </c>
      <c r="E346" t="s">
        <v>74</v>
      </c>
      <c r="F346" t="s">
        <v>6915</v>
      </c>
      <c r="G346" t="s">
        <v>74</v>
      </c>
      <c r="H346" t="s">
        <v>74</v>
      </c>
      <c r="I346" t="s">
        <v>6916</v>
      </c>
      <c r="J346" t="s">
        <v>5716</v>
      </c>
      <c r="K346" t="s">
        <v>74</v>
      </c>
      <c r="L346" t="s">
        <v>74</v>
      </c>
      <c r="M346" t="s">
        <v>78</v>
      </c>
      <c r="N346" t="s">
        <v>79</v>
      </c>
      <c r="O346" t="s">
        <v>74</v>
      </c>
      <c r="P346" t="s">
        <v>74</v>
      </c>
      <c r="Q346" t="s">
        <v>74</v>
      </c>
      <c r="R346" t="s">
        <v>74</v>
      </c>
      <c r="S346" t="s">
        <v>74</v>
      </c>
      <c r="T346" t="s">
        <v>74</v>
      </c>
      <c r="U346" t="s">
        <v>6917</v>
      </c>
      <c r="V346" t="s">
        <v>6918</v>
      </c>
      <c r="W346" t="s">
        <v>6919</v>
      </c>
      <c r="X346" t="s">
        <v>6920</v>
      </c>
      <c r="Y346" t="s">
        <v>6921</v>
      </c>
      <c r="Z346" t="s">
        <v>6922</v>
      </c>
      <c r="AA346" t="s">
        <v>6923</v>
      </c>
      <c r="AB346" t="s">
        <v>74</v>
      </c>
      <c r="AC346" t="s">
        <v>6924</v>
      </c>
      <c r="AD346" t="s">
        <v>6924</v>
      </c>
      <c r="AE346" t="s">
        <v>6925</v>
      </c>
      <c r="AF346" t="s">
        <v>74</v>
      </c>
      <c r="AG346">
        <v>61</v>
      </c>
      <c r="AH346">
        <v>16</v>
      </c>
      <c r="AI346">
        <v>19</v>
      </c>
      <c r="AJ346">
        <v>0</v>
      </c>
      <c r="AK346">
        <v>32</v>
      </c>
      <c r="AL346" t="s">
        <v>5746</v>
      </c>
      <c r="AM346" t="s">
        <v>5747</v>
      </c>
      <c r="AN346" t="s">
        <v>5748</v>
      </c>
      <c r="AO346" t="s">
        <v>5723</v>
      </c>
      <c r="AP346" t="s">
        <v>5724</v>
      </c>
      <c r="AQ346" t="s">
        <v>74</v>
      </c>
      <c r="AR346" t="s">
        <v>5725</v>
      </c>
      <c r="AS346" t="s">
        <v>5726</v>
      </c>
      <c r="AT346" t="s">
        <v>5362</v>
      </c>
      <c r="AU346">
        <v>2014</v>
      </c>
      <c r="AV346">
        <v>46</v>
      </c>
      <c r="AW346">
        <v>1</v>
      </c>
      <c r="AX346" t="s">
        <v>74</v>
      </c>
      <c r="AY346" t="s">
        <v>74</v>
      </c>
      <c r="AZ346" t="s">
        <v>660</v>
      </c>
      <c r="BA346" t="s">
        <v>74</v>
      </c>
      <c r="BB346">
        <v>121</v>
      </c>
      <c r="BC346">
        <v>138</v>
      </c>
      <c r="BD346" t="s">
        <v>74</v>
      </c>
      <c r="BE346" t="s">
        <v>6926</v>
      </c>
      <c r="BF346" t="str">
        <f>HYPERLINK("http://dx.doi.org/10.1657/1938-4246-46.1.121","http://dx.doi.org/10.1657/1938-4246-46.1.121")</f>
        <v>http://dx.doi.org/10.1657/1938-4246-46.1.121</v>
      </c>
      <c r="BG346" t="s">
        <v>74</v>
      </c>
      <c r="BH346" t="s">
        <v>74</v>
      </c>
      <c r="BI346">
        <v>18</v>
      </c>
      <c r="BJ346" t="s">
        <v>5728</v>
      </c>
      <c r="BK346" t="s">
        <v>101</v>
      </c>
      <c r="BL346" t="s">
        <v>5729</v>
      </c>
      <c r="BM346" t="s">
        <v>5730</v>
      </c>
      <c r="BN346" t="s">
        <v>74</v>
      </c>
      <c r="BO346" t="s">
        <v>6867</v>
      </c>
      <c r="BP346" t="s">
        <v>74</v>
      </c>
      <c r="BQ346" t="s">
        <v>74</v>
      </c>
      <c r="BR346" t="s">
        <v>104</v>
      </c>
      <c r="BS346" t="s">
        <v>6927</v>
      </c>
      <c r="BT346" t="str">
        <f>HYPERLINK("https%3A%2F%2Fwww.webofscience.com%2Fwos%2Fwoscc%2Ffull-record%2FWOS:000333866100011","View Full Record in Web of Science")</f>
        <v>View Full Record in Web of Science</v>
      </c>
    </row>
    <row r="347" spans="1:72" x14ac:dyDescent="0.15">
      <c r="A347" t="s">
        <v>72</v>
      </c>
      <c r="B347" t="s">
        <v>6928</v>
      </c>
      <c r="C347" t="s">
        <v>74</v>
      </c>
      <c r="D347" t="s">
        <v>74</v>
      </c>
      <c r="E347" t="s">
        <v>74</v>
      </c>
      <c r="F347" t="s">
        <v>6929</v>
      </c>
      <c r="G347" t="s">
        <v>74</v>
      </c>
      <c r="H347" t="s">
        <v>74</v>
      </c>
      <c r="I347" t="s">
        <v>6930</v>
      </c>
      <c r="J347" t="s">
        <v>5716</v>
      </c>
      <c r="K347" t="s">
        <v>74</v>
      </c>
      <c r="L347" t="s">
        <v>74</v>
      </c>
      <c r="M347" t="s">
        <v>78</v>
      </c>
      <c r="N347" t="s">
        <v>79</v>
      </c>
      <c r="O347" t="s">
        <v>74</v>
      </c>
      <c r="P347" t="s">
        <v>74</v>
      </c>
      <c r="Q347" t="s">
        <v>74</v>
      </c>
      <c r="R347" t="s">
        <v>74</v>
      </c>
      <c r="S347" t="s">
        <v>74</v>
      </c>
      <c r="T347" t="s">
        <v>74</v>
      </c>
      <c r="U347" t="s">
        <v>6931</v>
      </c>
      <c r="V347" t="s">
        <v>6932</v>
      </c>
      <c r="W347" t="s">
        <v>6933</v>
      </c>
      <c r="X347" t="s">
        <v>6934</v>
      </c>
      <c r="Y347" t="s">
        <v>6935</v>
      </c>
      <c r="Z347" t="s">
        <v>6936</v>
      </c>
      <c r="AA347" t="s">
        <v>6937</v>
      </c>
      <c r="AB347" t="s">
        <v>6938</v>
      </c>
      <c r="AC347" t="s">
        <v>6939</v>
      </c>
      <c r="AD347" t="s">
        <v>6940</v>
      </c>
      <c r="AE347" t="s">
        <v>6941</v>
      </c>
      <c r="AF347" t="s">
        <v>74</v>
      </c>
      <c r="AG347">
        <v>97</v>
      </c>
      <c r="AH347">
        <v>26</v>
      </c>
      <c r="AI347">
        <v>29</v>
      </c>
      <c r="AJ347">
        <v>0</v>
      </c>
      <c r="AK347">
        <v>28</v>
      </c>
      <c r="AL347" t="s">
        <v>5746</v>
      </c>
      <c r="AM347" t="s">
        <v>5747</v>
      </c>
      <c r="AN347" t="s">
        <v>5748</v>
      </c>
      <c r="AO347" t="s">
        <v>5723</v>
      </c>
      <c r="AP347" t="s">
        <v>5724</v>
      </c>
      <c r="AQ347" t="s">
        <v>74</v>
      </c>
      <c r="AR347" t="s">
        <v>5725</v>
      </c>
      <c r="AS347" t="s">
        <v>5726</v>
      </c>
      <c r="AT347" t="s">
        <v>5362</v>
      </c>
      <c r="AU347">
        <v>2014</v>
      </c>
      <c r="AV347">
        <v>46</v>
      </c>
      <c r="AW347">
        <v>1</v>
      </c>
      <c r="AX347" t="s">
        <v>74</v>
      </c>
      <c r="AY347" t="s">
        <v>74</v>
      </c>
      <c r="AZ347" t="s">
        <v>660</v>
      </c>
      <c r="BA347" t="s">
        <v>74</v>
      </c>
      <c r="BB347">
        <v>139</v>
      </c>
      <c r="BC347">
        <v>158</v>
      </c>
      <c r="BD347" t="s">
        <v>74</v>
      </c>
      <c r="BE347" t="s">
        <v>6942</v>
      </c>
      <c r="BF347" t="str">
        <f>HYPERLINK("http://dx.doi.org/10.1657/1938-4246-46.1.139","http://dx.doi.org/10.1657/1938-4246-46.1.139")</f>
        <v>http://dx.doi.org/10.1657/1938-4246-46.1.139</v>
      </c>
      <c r="BG347" t="s">
        <v>74</v>
      </c>
      <c r="BH347" t="s">
        <v>74</v>
      </c>
      <c r="BI347">
        <v>20</v>
      </c>
      <c r="BJ347" t="s">
        <v>5728</v>
      </c>
      <c r="BK347" t="s">
        <v>101</v>
      </c>
      <c r="BL347" t="s">
        <v>5729</v>
      </c>
      <c r="BM347" t="s">
        <v>5730</v>
      </c>
      <c r="BN347" t="s">
        <v>74</v>
      </c>
      <c r="BO347" t="s">
        <v>270</v>
      </c>
      <c r="BP347" t="s">
        <v>74</v>
      </c>
      <c r="BQ347" t="s">
        <v>74</v>
      </c>
      <c r="BR347" t="s">
        <v>104</v>
      </c>
      <c r="BS347" t="s">
        <v>6943</v>
      </c>
      <c r="BT347" t="str">
        <f>HYPERLINK("https%3A%2F%2Fwww.webofscience.com%2Fwos%2Fwoscc%2Ffull-record%2FWOS:000333866100012","View Full Record in Web of Science")</f>
        <v>View Full Record in Web of Science</v>
      </c>
    </row>
    <row r="348" spans="1:72" x14ac:dyDescent="0.15">
      <c r="A348" t="s">
        <v>72</v>
      </c>
      <c r="B348" t="s">
        <v>6944</v>
      </c>
      <c r="C348" t="s">
        <v>74</v>
      </c>
      <c r="D348" t="s">
        <v>74</v>
      </c>
      <c r="E348" t="s">
        <v>74</v>
      </c>
      <c r="F348" t="s">
        <v>6945</v>
      </c>
      <c r="G348" t="s">
        <v>74</v>
      </c>
      <c r="H348" t="s">
        <v>74</v>
      </c>
      <c r="I348" t="s">
        <v>6946</v>
      </c>
      <c r="J348" t="s">
        <v>5716</v>
      </c>
      <c r="K348" t="s">
        <v>74</v>
      </c>
      <c r="L348" t="s">
        <v>74</v>
      </c>
      <c r="M348" t="s">
        <v>78</v>
      </c>
      <c r="N348" t="s">
        <v>79</v>
      </c>
      <c r="O348" t="s">
        <v>74</v>
      </c>
      <c r="P348" t="s">
        <v>74</v>
      </c>
      <c r="Q348" t="s">
        <v>74</v>
      </c>
      <c r="R348" t="s">
        <v>74</v>
      </c>
      <c r="S348" t="s">
        <v>74</v>
      </c>
      <c r="T348" t="s">
        <v>74</v>
      </c>
      <c r="U348" t="s">
        <v>6947</v>
      </c>
      <c r="V348" t="s">
        <v>6948</v>
      </c>
      <c r="W348" t="s">
        <v>6949</v>
      </c>
      <c r="X348" t="s">
        <v>5843</v>
      </c>
      <c r="Y348" t="s">
        <v>6950</v>
      </c>
      <c r="Z348" t="s">
        <v>6951</v>
      </c>
      <c r="AA348" t="s">
        <v>5831</v>
      </c>
      <c r="AB348" t="s">
        <v>6952</v>
      </c>
      <c r="AC348" t="s">
        <v>6953</v>
      </c>
      <c r="AD348" t="s">
        <v>6953</v>
      </c>
      <c r="AE348" t="s">
        <v>6954</v>
      </c>
      <c r="AF348" t="s">
        <v>74</v>
      </c>
      <c r="AG348">
        <v>48</v>
      </c>
      <c r="AH348">
        <v>18</v>
      </c>
      <c r="AI348">
        <v>21</v>
      </c>
      <c r="AJ348">
        <v>0</v>
      </c>
      <c r="AK348">
        <v>36</v>
      </c>
      <c r="AL348" t="s">
        <v>5721</v>
      </c>
      <c r="AM348" t="s">
        <v>593</v>
      </c>
      <c r="AN348" t="s">
        <v>5722</v>
      </c>
      <c r="AO348" t="s">
        <v>5723</v>
      </c>
      <c r="AP348" t="s">
        <v>5724</v>
      </c>
      <c r="AQ348" t="s">
        <v>74</v>
      </c>
      <c r="AR348" t="s">
        <v>5725</v>
      </c>
      <c r="AS348" t="s">
        <v>5726</v>
      </c>
      <c r="AT348" t="s">
        <v>5362</v>
      </c>
      <c r="AU348">
        <v>2014</v>
      </c>
      <c r="AV348">
        <v>46</v>
      </c>
      <c r="AW348">
        <v>1</v>
      </c>
      <c r="AX348" t="s">
        <v>74</v>
      </c>
      <c r="AY348" t="s">
        <v>74</v>
      </c>
      <c r="AZ348" t="s">
        <v>660</v>
      </c>
      <c r="BA348" t="s">
        <v>74</v>
      </c>
      <c r="BB348">
        <v>218</v>
      </c>
      <c r="BC348">
        <v>235</v>
      </c>
      <c r="BD348" t="s">
        <v>74</v>
      </c>
      <c r="BE348" t="s">
        <v>6955</v>
      </c>
      <c r="BF348" t="str">
        <f>HYPERLINK("http://dx.doi.org/10.1657/1938-4246-46.1.218","http://dx.doi.org/10.1657/1938-4246-46.1.218")</f>
        <v>http://dx.doi.org/10.1657/1938-4246-46.1.218</v>
      </c>
      <c r="BG348" t="s">
        <v>74</v>
      </c>
      <c r="BH348" t="s">
        <v>74</v>
      </c>
      <c r="BI348">
        <v>18</v>
      </c>
      <c r="BJ348" t="s">
        <v>5728</v>
      </c>
      <c r="BK348" t="s">
        <v>101</v>
      </c>
      <c r="BL348" t="s">
        <v>5729</v>
      </c>
      <c r="BM348" t="s">
        <v>5730</v>
      </c>
      <c r="BN348" t="s">
        <v>74</v>
      </c>
      <c r="BO348" t="s">
        <v>234</v>
      </c>
      <c r="BP348" t="s">
        <v>74</v>
      </c>
      <c r="BQ348" t="s">
        <v>74</v>
      </c>
      <c r="BR348" t="s">
        <v>104</v>
      </c>
      <c r="BS348" t="s">
        <v>6956</v>
      </c>
      <c r="BT348" t="str">
        <f>HYPERLINK("https%3A%2F%2Fwww.webofscience.com%2Fwos%2Fwoscc%2Ffull-record%2FWOS:000333866100016","View Full Record in Web of Science")</f>
        <v>View Full Record in Web of Science</v>
      </c>
    </row>
    <row r="349" spans="1:72" x14ac:dyDescent="0.15">
      <c r="A349" t="s">
        <v>72</v>
      </c>
      <c r="B349" t="s">
        <v>6957</v>
      </c>
      <c r="C349" t="s">
        <v>74</v>
      </c>
      <c r="D349" t="s">
        <v>74</v>
      </c>
      <c r="E349" t="s">
        <v>74</v>
      </c>
      <c r="F349" t="s">
        <v>6958</v>
      </c>
      <c r="G349" t="s">
        <v>74</v>
      </c>
      <c r="H349" t="s">
        <v>74</v>
      </c>
      <c r="I349" t="s">
        <v>6959</v>
      </c>
      <c r="J349" t="s">
        <v>5716</v>
      </c>
      <c r="K349" t="s">
        <v>74</v>
      </c>
      <c r="L349" t="s">
        <v>74</v>
      </c>
      <c r="M349" t="s">
        <v>78</v>
      </c>
      <c r="N349" t="s">
        <v>79</v>
      </c>
      <c r="O349" t="s">
        <v>74</v>
      </c>
      <c r="P349" t="s">
        <v>74</v>
      </c>
      <c r="Q349" t="s">
        <v>74</v>
      </c>
      <c r="R349" t="s">
        <v>74</v>
      </c>
      <c r="S349" t="s">
        <v>74</v>
      </c>
      <c r="T349" t="s">
        <v>74</v>
      </c>
      <c r="U349" t="s">
        <v>6960</v>
      </c>
      <c r="V349" t="s">
        <v>6961</v>
      </c>
      <c r="W349" t="s">
        <v>6962</v>
      </c>
      <c r="X349" t="s">
        <v>6963</v>
      </c>
      <c r="Y349" t="s">
        <v>6964</v>
      </c>
      <c r="Z349" t="s">
        <v>6965</v>
      </c>
      <c r="AA349" t="s">
        <v>6966</v>
      </c>
      <c r="AB349" t="s">
        <v>6967</v>
      </c>
      <c r="AC349" t="s">
        <v>6968</v>
      </c>
      <c r="AD349" t="s">
        <v>6969</v>
      </c>
      <c r="AE349" t="s">
        <v>6970</v>
      </c>
      <c r="AF349" t="s">
        <v>74</v>
      </c>
      <c r="AG349">
        <v>77</v>
      </c>
      <c r="AH349">
        <v>58</v>
      </c>
      <c r="AI349">
        <v>64</v>
      </c>
      <c r="AJ349">
        <v>5</v>
      </c>
      <c r="AK349">
        <v>67</v>
      </c>
      <c r="AL349" t="s">
        <v>5746</v>
      </c>
      <c r="AM349" t="s">
        <v>5747</v>
      </c>
      <c r="AN349" t="s">
        <v>5748</v>
      </c>
      <c r="AO349" t="s">
        <v>5723</v>
      </c>
      <c r="AP349" t="s">
        <v>5724</v>
      </c>
      <c r="AQ349" t="s">
        <v>74</v>
      </c>
      <c r="AR349" t="s">
        <v>5725</v>
      </c>
      <c r="AS349" t="s">
        <v>5726</v>
      </c>
      <c r="AT349" t="s">
        <v>5362</v>
      </c>
      <c r="AU349">
        <v>2014</v>
      </c>
      <c r="AV349">
        <v>46</v>
      </c>
      <c r="AW349">
        <v>1</v>
      </c>
      <c r="AX349" t="s">
        <v>74</v>
      </c>
      <c r="AY349" t="s">
        <v>74</v>
      </c>
      <c r="AZ349" t="s">
        <v>660</v>
      </c>
      <c r="BA349" t="s">
        <v>74</v>
      </c>
      <c r="BB349">
        <v>251</v>
      </c>
      <c r="BC349">
        <v>271</v>
      </c>
      <c r="BD349" t="s">
        <v>74</v>
      </c>
      <c r="BE349" t="s">
        <v>6971</v>
      </c>
      <c r="BF349" t="str">
        <f>HYPERLINK("http://dx.doi.org/10.1657/1938-4246-46.1.251","http://dx.doi.org/10.1657/1938-4246-46.1.251")</f>
        <v>http://dx.doi.org/10.1657/1938-4246-46.1.251</v>
      </c>
      <c r="BG349" t="s">
        <v>74</v>
      </c>
      <c r="BH349" t="s">
        <v>74</v>
      </c>
      <c r="BI349">
        <v>21</v>
      </c>
      <c r="BJ349" t="s">
        <v>5728</v>
      </c>
      <c r="BK349" t="s">
        <v>101</v>
      </c>
      <c r="BL349" t="s">
        <v>5729</v>
      </c>
      <c r="BM349" t="s">
        <v>5730</v>
      </c>
      <c r="BN349" t="s">
        <v>74</v>
      </c>
      <c r="BO349" t="s">
        <v>4821</v>
      </c>
      <c r="BP349" t="s">
        <v>74</v>
      </c>
      <c r="BQ349" t="s">
        <v>74</v>
      </c>
      <c r="BR349" t="s">
        <v>104</v>
      </c>
      <c r="BS349" t="s">
        <v>6972</v>
      </c>
      <c r="BT349" t="str">
        <f>HYPERLINK("https%3A%2F%2Fwww.webofscience.com%2Fwos%2Fwoscc%2Ffull-record%2FWOS:000333866100018","View Full Record in Web of Science")</f>
        <v>View Full Record in Web of Science</v>
      </c>
    </row>
    <row r="350" spans="1:72" x14ac:dyDescent="0.15">
      <c r="A350" t="s">
        <v>72</v>
      </c>
      <c r="B350" t="s">
        <v>6973</v>
      </c>
      <c r="C350" t="s">
        <v>74</v>
      </c>
      <c r="D350" t="s">
        <v>74</v>
      </c>
      <c r="E350" t="s">
        <v>74</v>
      </c>
      <c r="F350" t="s">
        <v>6974</v>
      </c>
      <c r="G350" t="s">
        <v>74</v>
      </c>
      <c r="H350" t="s">
        <v>74</v>
      </c>
      <c r="I350" t="s">
        <v>6975</v>
      </c>
      <c r="J350" t="s">
        <v>5716</v>
      </c>
      <c r="K350" t="s">
        <v>74</v>
      </c>
      <c r="L350" t="s">
        <v>74</v>
      </c>
      <c r="M350" t="s">
        <v>78</v>
      </c>
      <c r="N350" t="s">
        <v>79</v>
      </c>
      <c r="O350" t="s">
        <v>74</v>
      </c>
      <c r="P350" t="s">
        <v>74</v>
      </c>
      <c r="Q350" t="s">
        <v>74</v>
      </c>
      <c r="R350" t="s">
        <v>74</v>
      </c>
      <c r="S350" t="s">
        <v>74</v>
      </c>
      <c r="T350" t="s">
        <v>74</v>
      </c>
      <c r="U350" t="s">
        <v>6976</v>
      </c>
      <c r="V350" t="s">
        <v>6977</v>
      </c>
      <c r="W350" t="s">
        <v>6978</v>
      </c>
      <c r="X350" t="s">
        <v>6979</v>
      </c>
      <c r="Y350" t="s">
        <v>6980</v>
      </c>
      <c r="Z350" t="s">
        <v>6981</v>
      </c>
      <c r="AA350" t="s">
        <v>6982</v>
      </c>
      <c r="AB350" t="s">
        <v>6983</v>
      </c>
      <c r="AC350" t="s">
        <v>6984</v>
      </c>
      <c r="AD350" t="s">
        <v>6984</v>
      </c>
      <c r="AE350" t="s">
        <v>6985</v>
      </c>
      <c r="AF350" t="s">
        <v>74</v>
      </c>
      <c r="AG350">
        <v>68</v>
      </c>
      <c r="AH350">
        <v>21</v>
      </c>
      <c r="AI350">
        <v>25</v>
      </c>
      <c r="AJ350">
        <v>0</v>
      </c>
      <c r="AK350">
        <v>26</v>
      </c>
      <c r="AL350" t="s">
        <v>5746</v>
      </c>
      <c r="AM350" t="s">
        <v>5747</v>
      </c>
      <c r="AN350" t="s">
        <v>5748</v>
      </c>
      <c r="AO350" t="s">
        <v>5723</v>
      </c>
      <c r="AP350" t="s">
        <v>5724</v>
      </c>
      <c r="AQ350" t="s">
        <v>74</v>
      </c>
      <c r="AR350" t="s">
        <v>5725</v>
      </c>
      <c r="AS350" t="s">
        <v>5726</v>
      </c>
      <c r="AT350" t="s">
        <v>5362</v>
      </c>
      <c r="AU350">
        <v>2014</v>
      </c>
      <c r="AV350">
        <v>46</v>
      </c>
      <c r="AW350">
        <v>1</v>
      </c>
      <c r="AX350" t="s">
        <v>74</v>
      </c>
      <c r="AY350" t="s">
        <v>74</v>
      </c>
      <c r="AZ350" t="s">
        <v>660</v>
      </c>
      <c r="BA350" t="s">
        <v>74</v>
      </c>
      <c r="BB350">
        <v>272</v>
      </c>
      <c r="BC350">
        <v>285</v>
      </c>
      <c r="BD350" t="s">
        <v>74</v>
      </c>
      <c r="BE350" t="s">
        <v>6986</v>
      </c>
      <c r="BF350" t="str">
        <f>HYPERLINK("http://dx.doi.org/10.1657/1938-4246-46.1.272","http://dx.doi.org/10.1657/1938-4246-46.1.272")</f>
        <v>http://dx.doi.org/10.1657/1938-4246-46.1.272</v>
      </c>
      <c r="BG350" t="s">
        <v>74</v>
      </c>
      <c r="BH350" t="s">
        <v>74</v>
      </c>
      <c r="BI350">
        <v>14</v>
      </c>
      <c r="BJ350" t="s">
        <v>5728</v>
      </c>
      <c r="BK350" t="s">
        <v>101</v>
      </c>
      <c r="BL350" t="s">
        <v>5729</v>
      </c>
      <c r="BM350" t="s">
        <v>5730</v>
      </c>
      <c r="BN350" t="s">
        <v>74</v>
      </c>
      <c r="BO350" t="s">
        <v>234</v>
      </c>
      <c r="BP350" t="s">
        <v>74</v>
      </c>
      <c r="BQ350" t="s">
        <v>74</v>
      </c>
      <c r="BR350" t="s">
        <v>104</v>
      </c>
      <c r="BS350" t="s">
        <v>6987</v>
      </c>
      <c r="BT350" t="str">
        <f>HYPERLINK("https%3A%2F%2Fwww.webofscience.com%2Fwos%2Fwoscc%2Ffull-record%2FWOS:000333866100019","View Full Record in Web of Science")</f>
        <v>View Full Record in Web of Science</v>
      </c>
    </row>
    <row r="351" spans="1:72" x14ac:dyDescent="0.15">
      <c r="A351" t="s">
        <v>72</v>
      </c>
      <c r="B351" t="s">
        <v>6988</v>
      </c>
      <c r="C351" t="s">
        <v>74</v>
      </c>
      <c r="D351" t="s">
        <v>74</v>
      </c>
      <c r="E351" t="s">
        <v>74</v>
      </c>
      <c r="F351" t="s">
        <v>6989</v>
      </c>
      <c r="G351" t="s">
        <v>74</v>
      </c>
      <c r="H351" t="s">
        <v>74</v>
      </c>
      <c r="I351" t="s">
        <v>6990</v>
      </c>
      <c r="J351" t="s">
        <v>6991</v>
      </c>
      <c r="K351" t="s">
        <v>74</v>
      </c>
      <c r="L351" t="s">
        <v>74</v>
      </c>
      <c r="M351" t="s">
        <v>78</v>
      </c>
      <c r="N351" t="s">
        <v>79</v>
      </c>
      <c r="O351" t="s">
        <v>74</v>
      </c>
      <c r="P351" t="s">
        <v>74</v>
      </c>
      <c r="Q351" t="s">
        <v>74</v>
      </c>
      <c r="R351" t="s">
        <v>74</v>
      </c>
      <c r="S351" t="s">
        <v>74</v>
      </c>
      <c r="T351" t="s">
        <v>6992</v>
      </c>
      <c r="U351" t="s">
        <v>6993</v>
      </c>
      <c r="V351" t="s">
        <v>6994</v>
      </c>
      <c r="W351" t="s">
        <v>6995</v>
      </c>
      <c r="X351" t="s">
        <v>6996</v>
      </c>
      <c r="Y351" t="s">
        <v>6997</v>
      </c>
      <c r="Z351" t="s">
        <v>6998</v>
      </c>
      <c r="AA351" t="s">
        <v>6999</v>
      </c>
      <c r="AB351" t="s">
        <v>7000</v>
      </c>
      <c r="AC351" t="s">
        <v>7001</v>
      </c>
      <c r="AD351" t="s">
        <v>7002</v>
      </c>
      <c r="AE351" t="s">
        <v>7003</v>
      </c>
      <c r="AF351" t="s">
        <v>74</v>
      </c>
      <c r="AG351">
        <v>23</v>
      </c>
      <c r="AH351">
        <v>21</v>
      </c>
      <c r="AI351">
        <v>21</v>
      </c>
      <c r="AJ351">
        <v>0</v>
      </c>
      <c r="AK351">
        <v>4</v>
      </c>
      <c r="AL351" t="s">
        <v>652</v>
      </c>
      <c r="AM351" t="s">
        <v>653</v>
      </c>
      <c r="AN351" t="s">
        <v>654</v>
      </c>
      <c r="AO351" t="s">
        <v>7004</v>
      </c>
      <c r="AP351" t="s">
        <v>7005</v>
      </c>
      <c r="AQ351" t="s">
        <v>74</v>
      </c>
      <c r="AR351" t="s">
        <v>7006</v>
      </c>
      <c r="AS351" t="s">
        <v>7007</v>
      </c>
      <c r="AT351" t="s">
        <v>5362</v>
      </c>
      <c r="AU351">
        <v>2014</v>
      </c>
      <c r="AV351">
        <v>54</v>
      </c>
      <c r="AW351" t="s">
        <v>74</v>
      </c>
      <c r="AX351" t="s">
        <v>74</v>
      </c>
      <c r="AY351" t="s">
        <v>74</v>
      </c>
      <c r="AZ351" t="s">
        <v>74</v>
      </c>
      <c r="BA351" t="s">
        <v>74</v>
      </c>
      <c r="BB351">
        <v>40</v>
      </c>
      <c r="BC351">
        <v>43</v>
      </c>
      <c r="BD351" t="s">
        <v>74</v>
      </c>
      <c r="BE351" t="s">
        <v>7008</v>
      </c>
      <c r="BF351" t="str">
        <f>HYPERLINK("http://dx.doi.org/10.1016/j.astropartphys.2013.11.002","http://dx.doi.org/10.1016/j.astropartphys.2013.11.002")</f>
        <v>http://dx.doi.org/10.1016/j.astropartphys.2013.11.002</v>
      </c>
      <c r="BG351" t="s">
        <v>74</v>
      </c>
      <c r="BH351" t="s">
        <v>74</v>
      </c>
      <c r="BI351">
        <v>4</v>
      </c>
      <c r="BJ351" t="s">
        <v>7009</v>
      </c>
      <c r="BK351" t="s">
        <v>101</v>
      </c>
      <c r="BL351" t="s">
        <v>7010</v>
      </c>
      <c r="BM351" t="s">
        <v>7011</v>
      </c>
      <c r="BN351" t="s">
        <v>74</v>
      </c>
      <c r="BO351" t="s">
        <v>270</v>
      </c>
      <c r="BP351" t="s">
        <v>74</v>
      </c>
      <c r="BQ351" t="s">
        <v>74</v>
      </c>
      <c r="BR351" t="s">
        <v>104</v>
      </c>
      <c r="BS351" t="s">
        <v>7012</v>
      </c>
      <c r="BT351" t="str">
        <f>HYPERLINK("https%3A%2F%2Fwww.webofscience.com%2Fwos%2Fwoscc%2Ffull-record%2FWOS:000332434700005","View Full Record in Web of Science")</f>
        <v>View Full Record in Web of Science</v>
      </c>
    </row>
    <row r="352" spans="1:72" x14ac:dyDescent="0.15">
      <c r="A352" t="s">
        <v>72</v>
      </c>
      <c r="B352" t="s">
        <v>7013</v>
      </c>
      <c r="C352" t="s">
        <v>74</v>
      </c>
      <c r="D352" t="s">
        <v>74</v>
      </c>
      <c r="E352" t="s">
        <v>74</v>
      </c>
      <c r="F352" t="s">
        <v>7014</v>
      </c>
      <c r="G352" t="s">
        <v>74</v>
      </c>
      <c r="H352" t="s">
        <v>74</v>
      </c>
      <c r="I352" t="s">
        <v>7015</v>
      </c>
      <c r="J352" t="s">
        <v>7016</v>
      </c>
      <c r="K352" t="s">
        <v>74</v>
      </c>
      <c r="L352" t="s">
        <v>74</v>
      </c>
      <c r="M352" t="s">
        <v>78</v>
      </c>
      <c r="N352" t="s">
        <v>79</v>
      </c>
      <c r="O352" t="s">
        <v>74</v>
      </c>
      <c r="P352" t="s">
        <v>74</v>
      </c>
      <c r="Q352" t="s">
        <v>74</v>
      </c>
      <c r="R352" t="s">
        <v>74</v>
      </c>
      <c r="S352" t="s">
        <v>74</v>
      </c>
      <c r="T352" t="s">
        <v>7017</v>
      </c>
      <c r="U352" t="s">
        <v>7018</v>
      </c>
      <c r="V352" t="s">
        <v>7019</v>
      </c>
      <c r="W352" t="s">
        <v>7020</v>
      </c>
      <c r="X352" t="s">
        <v>7021</v>
      </c>
      <c r="Y352" t="s">
        <v>7022</v>
      </c>
      <c r="Z352" t="s">
        <v>7023</v>
      </c>
      <c r="AA352" t="s">
        <v>74</v>
      </c>
      <c r="AB352" t="s">
        <v>74</v>
      </c>
      <c r="AC352" t="s">
        <v>7024</v>
      </c>
      <c r="AD352" t="s">
        <v>7025</v>
      </c>
      <c r="AE352" t="s">
        <v>7026</v>
      </c>
      <c r="AF352" t="s">
        <v>74</v>
      </c>
      <c r="AG352">
        <v>65</v>
      </c>
      <c r="AH352">
        <v>22</v>
      </c>
      <c r="AI352">
        <v>27</v>
      </c>
      <c r="AJ352">
        <v>14</v>
      </c>
      <c r="AK352">
        <v>130</v>
      </c>
      <c r="AL352" t="s">
        <v>946</v>
      </c>
      <c r="AM352" t="s">
        <v>522</v>
      </c>
      <c r="AN352" t="s">
        <v>947</v>
      </c>
      <c r="AO352" t="s">
        <v>7027</v>
      </c>
      <c r="AP352" t="s">
        <v>7028</v>
      </c>
      <c r="AQ352" t="s">
        <v>74</v>
      </c>
      <c r="AR352" t="s">
        <v>7029</v>
      </c>
      <c r="AS352" t="s">
        <v>7030</v>
      </c>
      <c r="AT352" t="s">
        <v>5362</v>
      </c>
      <c r="AU352">
        <v>2014</v>
      </c>
      <c r="AV352">
        <v>83</v>
      </c>
      <c r="AW352" t="s">
        <v>74</v>
      </c>
      <c r="AX352" t="s">
        <v>74</v>
      </c>
      <c r="AY352" t="s">
        <v>74</v>
      </c>
      <c r="AZ352" t="s">
        <v>74</v>
      </c>
      <c r="BA352" t="s">
        <v>74</v>
      </c>
      <c r="BB352">
        <v>269</v>
      </c>
      <c r="BC352">
        <v>281</v>
      </c>
      <c r="BD352" t="s">
        <v>74</v>
      </c>
      <c r="BE352" t="s">
        <v>7031</v>
      </c>
      <c r="BF352" t="str">
        <f>HYPERLINK("http://dx.doi.org/10.1016/j.atmosenv.2013.11.017","http://dx.doi.org/10.1016/j.atmosenv.2013.11.017")</f>
        <v>http://dx.doi.org/10.1016/j.atmosenv.2013.11.017</v>
      </c>
      <c r="BG352" t="s">
        <v>74</v>
      </c>
      <c r="BH352" t="s">
        <v>74</v>
      </c>
      <c r="BI352">
        <v>13</v>
      </c>
      <c r="BJ352" t="s">
        <v>3817</v>
      </c>
      <c r="BK352" t="s">
        <v>101</v>
      </c>
      <c r="BL352" t="s">
        <v>1081</v>
      </c>
      <c r="BM352" t="s">
        <v>7032</v>
      </c>
      <c r="BN352" t="s">
        <v>74</v>
      </c>
      <c r="BO352" t="s">
        <v>74</v>
      </c>
      <c r="BP352" t="s">
        <v>74</v>
      </c>
      <c r="BQ352" t="s">
        <v>74</v>
      </c>
      <c r="BR352" t="s">
        <v>104</v>
      </c>
      <c r="BS352" t="s">
        <v>7033</v>
      </c>
      <c r="BT352" t="str">
        <f>HYPERLINK("https%3A%2F%2Fwww.webofscience.com%2Fwos%2Fwoscc%2Ffull-record%2FWOS:000331670400031","View Full Record in Web of Science")</f>
        <v>View Full Record in Web of Science</v>
      </c>
    </row>
    <row r="353" spans="1:72" x14ac:dyDescent="0.15">
      <c r="A353" t="s">
        <v>72</v>
      </c>
      <c r="B353" t="s">
        <v>7034</v>
      </c>
      <c r="C353" t="s">
        <v>74</v>
      </c>
      <c r="D353" t="s">
        <v>74</v>
      </c>
      <c r="E353" t="s">
        <v>74</v>
      </c>
      <c r="F353" t="s">
        <v>7035</v>
      </c>
      <c r="G353" t="s">
        <v>74</v>
      </c>
      <c r="H353" t="s">
        <v>74</v>
      </c>
      <c r="I353" t="s">
        <v>7036</v>
      </c>
      <c r="J353" t="s">
        <v>7037</v>
      </c>
      <c r="K353" t="s">
        <v>74</v>
      </c>
      <c r="L353" t="s">
        <v>74</v>
      </c>
      <c r="M353" t="s">
        <v>78</v>
      </c>
      <c r="N353" t="s">
        <v>79</v>
      </c>
      <c r="O353" t="s">
        <v>74</v>
      </c>
      <c r="P353" t="s">
        <v>74</v>
      </c>
      <c r="Q353" t="s">
        <v>74</v>
      </c>
      <c r="R353" t="s">
        <v>74</v>
      </c>
      <c r="S353" t="s">
        <v>74</v>
      </c>
      <c r="T353" t="s">
        <v>7038</v>
      </c>
      <c r="U353" t="s">
        <v>7039</v>
      </c>
      <c r="V353" t="s">
        <v>7040</v>
      </c>
      <c r="W353" t="s">
        <v>7041</v>
      </c>
      <c r="X353" t="s">
        <v>7042</v>
      </c>
      <c r="Y353" t="s">
        <v>7043</v>
      </c>
      <c r="Z353" t="s">
        <v>7044</v>
      </c>
      <c r="AA353" t="s">
        <v>7045</v>
      </c>
      <c r="AB353" t="s">
        <v>74</v>
      </c>
      <c r="AC353" t="s">
        <v>7046</v>
      </c>
      <c r="AD353" t="s">
        <v>7047</v>
      </c>
      <c r="AE353" t="s">
        <v>7048</v>
      </c>
      <c r="AF353" t="s">
        <v>74</v>
      </c>
      <c r="AG353">
        <v>49</v>
      </c>
      <c r="AH353">
        <v>9</v>
      </c>
      <c r="AI353">
        <v>13</v>
      </c>
      <c r="AJ353">
        <v>6</v>
      </c>
      <c r="AK353">
        <v>96</v>
      </c>
      <c r="AL353" t="s">
        <v>145</v>
      </c>
      <c r="AM353" t="s">
        <v>146</v>
      </c>
      <c r="AN353" t="s">
        <v>147</v>
      </c>
      <c r="AO353" t="s">
        <v>7049</v>
      </c>
      <c r="AP353" t="s">
        <v>7050</v>
      </c>
      <c r="AQ353" t="s">
        <v>74</v>
      </c>
      <c r="AR353" t="s">
        <v>7051</v>
      </c>
      <c r="AS353" t="s">
        <v>7052</v>
      </c>
      <c r="AT353" t="s">
        <v>5362</v>
      </c>
      <c r="AU353">
        <v>2014</v>
      </c>
      <c r="AV353">
        <v>16</v>
      </c>
      <c r="AW353">
        <v>2</v>
      </c>
      <c r="AX353" t="s">
        <v>74</v>
      </c>
      <c r="AY353" t="s">
        <v>74</v>
      </c>
      <c r="AZ353" t="s">
        <v>74</v>
      </c>
      <c r="BA353" t="s">
        <v>74</v>
      </c>
      <c r="BB353">
        <v>341</v>
      </c>
      <c r="BC353">
        <v>352</v>
      </c>
      <c r="BD353" t="s">
        <v>74</v>
      </c>
      <c r="BE353" t="s">
        <v>7053</v>
      </c>
      <c r="BF353" t="str">
        <f>HYPERLINK("http://dx.doi.org/10.1007/s10530-013-0524-x","http://dx.doi.org/10.1007/s10530-013-0524-x")</f>
        <v>http://dx.doi.org/10.1007/s10530-013-0524-x</v>
      </c>
      <c r="BG353" t="s">
        <v>74</v>
      </c>
      <c r="BH353" t="s">
        <v>74</v>
      </c>
      <c r="BI353">
        <v>12</v>
      </c>
      <c r="BJ353" t="s">
        <v>1315</v>
      </c>
      <c r="BK353" t="s">
        <v>101</v>
      </c>
      <c r="BL353" t="s">
        <v>412</v>
      </c>
      <c r="BM353" t="s">
        <v>7054</v>
      </c>
      <c r="BN353" t="s">
        <v>74</v>
      </c>
      <c r="BO353" t="s">
        <v>74</v>
      </c>
      <c r="BP353" t="s">
        <v>74</v>
      </c>
      <c r="BQ353" t="s">
        <v>74</v>
      </c>
      <c r="BR353" t="s">
        <v>104</v>
      </c>
      <c r="BS353" t="s">
        <v>7055</v>
      </c>
      <c r="BT353" t="str">
        <f>HYPERLINK("https%3A%2F%2Fwww.webofscience.com%2Fwos%2Fwoscc%2Ffull-record%2FWOS:000330618700009","View Full Record in Web of Science")</f>
        <v>View Full Record in Web of Science</v>
      </c>
    </row>
    <row r="354" spans="1:72" x14ac:dyDescent="0.15">
      <c r="A354" t="s">
        <v>72</v>
      </c>
      <c r="B354" t="s">
        <v>7056</v>
      </c>
      <c r="C354" t="s">
        <v>74</v>
      </c>
      <c r="D354" t="s">
        <v>74</v>
      </c>
      <c r="E354" t="s">
        <v>74</v>
      </c>
      <c r="F354" t="s">
        <v>7057</v>
      </c>
      <c r="G354" t="s">
        <v>74</v>
      </c>
      <c r="H354" t="s">
        <v>74</v>
      </c>
      <c r="I354" t="s">
        <v>7058</v>
      </c>
      <c r="J354" t="s">
        <v>7059</v>
      </c>
      <c r="K354" t="s">
        <v>74</v>
      </c>
      <c r="L354" t="s">
        <v>74</v>
      </c>
      <c r="M354" t="s">
        <v>78</v>
      </c>
      <c r="N354" t="s">
        <v>79</v>
      </c>
      <c r="O354" t="s">
        <v>74</v>
      </c>
      <c r="P354" t="s">
        <v>74</v>
      </c>
      <c r="Q354" t="s">
        <v>74</v>
      </c>
      <c r="R354" t="s">
        <v>74</v>
      </c>
      <c r="S354" t="s">
        <v>74</v>
      </c>
      <c r="T354" t="s">
        <v>7060</v>
      </c>
      <c r="U354" t="s">
        <v>7061</v>
      </c>
      <c r="V354" t="s">
        <v>7062</v>
      </c>
      <c r="W354" t="s">
        <v>7063</v>
      </c>
      <c r="X354" t="s">
        <v>7064</v>
      </c>
      <c r="Y354" t="s">
        <v>7065</v>
      </c>
      <c r="Z354" t="s">
        <v>7066</v>
      </c>
      <c r="AA354" t="s">
        <v>74</v>
      </c>
      <c r="AB354" t="s">
        <v>74</v>
      </c>
      <c r="AC354" t="s">
        <v>7067</v>
      </c>
      <c r="AD354" t="s">
        <v>7068</v>
      </c>
      <c r="AE354" t="s">
        <v>7069</v>
      </c>
      <c r="AF354" t="s">
        <v>74</v>
      </c>
      <c r="AG354">
        <v>56</v>
      </c>
      <c r="AH354">
        <v>19</v>
      </c>
      <c r="AI354">
        <v>22</v>
      </c>
      <c r="AJ354">
        <v>0</v>
      </c>
      <c r="AK354">
        <v>54</v>
      </c>
      <c r="AL354" t="s">
        <v>2996</v>
      </c>
      <c r="AM354" t="s">
        <v>404</v>
      </c>
      <c r="AN354" t="s">
        <v>405</v>
      </c>
      <c r="AO354" t="s">
        <v>7070</v>
      </c>
      <c r="AP354" t="s">
        <v>7071</v>
      </c>
      <c r="AQ354" t="s">
        <v>74</v>
      </c>
      <c r="AR354" t="s">
        <v>7072</v>
      </c>
      <c r="AS354" t="s">
        <v>7073</v>
      </c>
      <c r="AT354" t="s">
        <v>5362</v>
      </c>
      <c r="AU354">
        <v>2014</v>
      </c>
      <c r="AV354">
        <v>111</v>
      </c>
      <c r="AW354">
        <v>2</v>
      </c>
      <c r="AX354" t="s">
        <v>74</v>
      </c>
      <c r="AY354" t="s">
        <v>74</v>
      </c>
      <c r="AZ354" t="s">
        <v>74</v>
      </c>
      <c r="BA354" t="s">
        <v>74</v>
      </c>
      <c r="BB354">
        <v>320</v>
      </c>
      <c r="BC354">
        <v>335</v>
      </c>
      <c r="BD354" t="s">
        <v>74</v>
      </c>
      <c r="BE354" t="s">
        <v>7074</v>
      </c>
      <c r="BF354" t="str">
        <f>HYPERLINK("http://dx.doi.org/10.1002/bit.25023","http://dx.doi.org/10.1002/bit.25023")</f>
        <v>http://dx.doi.org/10.1002/bit.25023</v>
      </c>
      <c r="BG354" t="s">
        <v>74</v>
      </c>
      <c r="BH354" t="s">
        <v>74</v>
      </c>
      <c r="BI354">
        <v>16</v>
      </c>
      <c r="BJ354" t="s">
        <v>153</v>
      </c>
      <c r="BK354" t="s">
        <v>101</v>
      </c>
      <c r="BL354" t="s">
        <v>153</v>
      </c>
      <c r="BM354" t="s">
        <v>7075</v>
      </c>
      <c r="BN354">
        <v>24026984</v>
      </c>
      <c r="BO354" t="s">
        <v>2298</v>
      </c>
      <c r="BP354" t="s">
        <v>74</v>
      </c>
      <c r="BQ354" t="s">
        <v>74</v>
      </c>
      <c r="BR354" t="s">
        <v>104</v>
      </c>
      <c r="BS354" t="s">
        <v>7076</v>
      </c>
      <c r="BT354" t="str">
        <f>HYPERLINK("https%3A%2F%2Fwww.webofscience.com%2Fwos%2Fwoscc%2Ffull-record%2FWOS:000330969300011","View Full Record in Web of Science")</f>
        <v>View Full Record in Web of Science</v>
      </c>
    </row>
    <row r="355" spans="1:72" x14ac:dyDescent="0.15">
      <c r="A355" t="s">
        <v>72</v>
      </c>
      <c r="B355" t="s">
        <v>7077</v>
      </c>
      <c r="C355" t="s">
        <v>74</v>
      </c>
      <c r="D355" t="s">
        <v>74</v>
      </c>
      <c r="E355" t="s">
        <v>74</v>
      </c>
      <c r="F355" t="s">
        <v>7078</v>
      </c>
      <c r="G355" t="s">
        <v>74</v>
      </c>
      <c r="H355" t="s">
        <v>74</v>
      </c>
      <c r="I355" t="s">
        <v>7079</v>
      </c>
      <c r="J355" t="s">
        <v>7080</v>
      </c>
      <c r="K355" t="s">
        <v>74</v>
      </c>
      <c r="L355" t="s">
        <v>74</v>
      </c>
      <c r="M355" t="s">
        <v>78</v>
      </c>
      <c r="N355" t="s">
        <v>79</v>
      </c>
      <c r="O355" t="s">
        <v>74</v>
      </c>
      <c r="P355" t="s">
        <v>74</v>
      </c>
      <c r="Q355" t="s">
        <v>74</v>
      </c>
      <c r="R355" t="s">
        <v>74</v>
      </c>
      <c r="S355" t="s">
        <v>74</v>
      </c>
      <c r="T355" t="s">
        <v>7081</v>
      </c>
      <c r="U355" t="s">
        <v>7082</v>
      </c>
      <c r="V355" t="s">
        <v>7083</v>
      </c>
      <c r="W355" t="s">
        <v>7084</v>
      </c>
      <c r="X355" t="s">
        <v>7085</v>
      </c>
      <c r="Y355" t="s">
        <v>7086</v>
      </c>
      <c r="Z355" t="s">
        <v>7087</v>
      </c>
      <c r="AA355" t="s">
        <v>7088</v>
      </c>
      <c r="AB355" t="s">
        <v>7089</v>
      </c>
      <c r="AC355" t="s">
        <v>7090</v>
      </c>
      <c r="AD355" t="s">
        <v>7091</v>
      </c>
      <c r="AE355" t="s">
        <v>7092</v>
      </c>
      <c r="AF355" t="s">
        <v>74</v>
      </c>
      <c r="AG355">
        <v>34</v>
      </c>
      <c r="AH355">
        <v>18</v>
      </c>
      <c r="AI355">
        <v>19</v>
      </c>
      <c r="AJ355">
        <v>3</v>
      </c>
      <c r="AK355">
        <v>19</v>
      </c>
      <c r="AL355" t="s">
        <v>7093</v>
      </c>
      <c r="AM355" t="s">
        <v>7094</v>
      </c>
      <c r="AN355" t="s">
        <v>7095</v>
      </c>
      <c r="AO355" t="s">
        <v>7096</v>
      </c>
      <c r="AP355" t="s">
        <v>7097</v>
      </c>
      <c r="AQ355" t="s">
        <v>74</v>
      </c>
      <c r="AR355" t="s">
        <v>7098</v>
      </c>
      <c r="AS355" t="s">
        <v>7099</v>
      </c>
      <c r="AT355" t="s">
        <v>5362</v>
      </c>
      <c r="AU355">
        <v>2014</v>
      </c>
      <c r="AV355">
        <v>74</v>
      </c>
      <c r="AW355">
        <v>1</v>
      </c>
      <c r="AX355" t="s">
        <v>74</v>
      </c>
      <c r="AY355" t="s">
        <v>74</v>
      </c>
      <c r="AZ355" t="s">
        <v>74</v>
      </c>
      <c r="BA355" t="s">
        <v>74</v>
      </c>
      <c r="BB355">
        <v>137</v>
      </c>
      <c r="BC355">
        <v>144</v>
      </c>
      <c r="BD355" t="s">
        <v>74</v>
      </c>
      <c r="BE355" t="s">
        <v>7100</v>
      </c>
      <c r="BF355" t="str">
        <f>HYPERLINK("http://dx.doi.org/10.1590/1519-6984.21812","http://dx.doi.org/10.1590/1519-6984.21812")</f>
        <v>http://dx.doi.org/10.1590/1519-6984.21812</v>
      </c>
      <c r="BG355" t="s">
        <v>74</v>
      </c>
      <c r="BH355" t="s">
        <v>74</v>
      </c>
      <c r="BI355">
        <v>8</v>
      </c>
      <c r="BJ355" t="s">
        <v>2474</v>
      </c>
      <c r="BK355" t="s">
        <v>101</v>
      </c>
      <c r="BL355" t="s">
        <v>2475</v>
      </c>
      <c r="BM355" t="s">
        <v>7101</v>
      </c>
      <c r="BN355">
        <v>25055095</v>
      </c>
      <c r="BO355" t="s">
        <v>6156</v>
      </c>
      <c r="BP355" t="s">
        <v>74</v>
      </c>
      <c r="BQ355" t="s">
        <v>74</v>
      </c>
      <c r="BR355" t="s">
        <v>104</v>
      </c>
      <c r="BS355" t="s">
        <v>7102</v>
      </c>
      <c r="BT355" t="str">
        <f>HYPERLINK("https%3A%2F%2Fwww.webofscience.com%2Fwos%2Fwoscc%2Ffull-record%2FWOS:000340836100016","View Full Record in Web of Science")</f>
        <v>View Full Record in Web of Science</v>
      </c>
    </row>
    <row r="356" spans="1:72" x14ac:dyDescent="0.15">
      <c r="A356" t="s">
        <v>72</v>
      </c>
      <c r="B356" t="s">
        <v>7103</v>
      </c>
      <c r="C356" t="s">
        <v>74</v>
      </c>
      <c r="D356" t="s">
        <v>74</v>
      </c>
      <c r="E356" t="s">
        <v>74</v>
      </c>
      <c r="F356" t="s">
        <v>7104</v>
      </c>
      <c r="G356" t="s">
        <v>74</v>
      </c>
      <c r="H356" t="s">
        <v>74</v>
      </c>
      <c r="I356" t="s">
        <v>7105</v>
      </c>
      <c r="J356" t="s">
        <v>7106</v>
      </c>
      <c r="K356" t="s">
        <v>74</v>
      </c>
      <c r="L356" t="s">
        <v>74</v>
      </c>
      <c r="M356" t="s">
        <v>78</v>
      </c>
      <c r="N356" t="s">
        <v>79</v>
      </c>
      <c r="O356" t="s">
        <v>74</v>
      </c>
      <c r="P356" t="s">
        <v>74</v>
      </c>
      <c r="Q356" t="s">
        <v>74</v>
      </c>
      <c r="R356" t="s">
        <v>74</v>
      </c>
      <c r="S356" t="s">
        <v>74</v>
      </c>
      <c r="T356" t="s">
        <v>74</v>
      </c>
      <c r="U356" t="s">
        <v>7107</v>
      </c>
      <c r="V356" t="s">
        <v>7108</v>
      </c>
      <c r="W356" t="s">
        <v>7109</v>
      </c>
      <c r="X356" t="s">
        <v>7110</v>
      </c>
      <c r="Y356" t="s">
        <v>7111</v>
      </c>
      <c r="Z356" t="s">
        <v>7112</v>
      </c>
      <c r="AA356" t="s">
        <v>7113</v>
      </c>
      <c r="AB356" t="s">
        <v>7114</v>
      </c>
      <c r="AC356" t="s">
        <v>7115</v>
      </c>
      <c r="AD356" t="s">
        <v>7116</v>
      </c>
      <c r="AE356" t="s">
        <v>7117</v>
      </c>
      <c r="AF356" t="s">
        <v>74</v>
      </c>
      <c r="AG356">
        <v>28</v>
      </c>
      <c r="AH356">
        <v>37</v>
      </c>
      <c r="AI356">
        <v>44</v>
      </c>
      <c r="AJ356">
        <v>0</v>
      </c>
      <c r="AK356">
        <v>33</v>
      </c>
      <c r="AL356" t="s">
        <v>145</v>
      </c>
      <c r="AM356" t="s">
        <v>92</v>
      </c>
      <c r="AN356" t="s">
        <v>3045</v>
      </c>
      <c r="AO356" t="s">
        <v>7118</v>
      </c>
      <c r="AP356" t="s">
        <v>7119</v>
      </c>
      <c r="AQ356" t="s">
        <v>74</v>
      </c>
      <c r="AR356" t="s">
        <v>7120</v>
      </c>
      <c r="AS356" t="s">
        <v>7121</v>
      </c>
      <c r="AT356" t="s">
        <v>5362</v>
      </c>
      <c r="AU356">
        <v>2014</v>
      </c>
      <c r="AV356">
        <v>68</v>
      </c>
      <c r="AW356">
        <v>2</v>
      </c>
      <c r="AX356" t="s">
        <v>74</v>
      </c>
      <c r="AY356" t="s">
        <v>74</v>
      </c>
      <c r="AZ356" t="s">
        <v>74</v>
      </c>
      <c r="BA356" t="s">
        <v>74</v>
      </c>
      <c r="BB356">
        <v>233</v>
      </c>
      <c r="BC356">
        <v>238</v>
      </c>
      <c r="BD356" t="s">
        <v>74</v>
      </c>
      <c r="BE356" t="s">
        <v>7122</v>
      </c>
      <c r="BF356" t="str">
        <f>HYPERLINK("http://dx.doi.org/10.1007/s00284-013-0467-6","http://dx.doi.org/10.1007/s00284-013-0467-6")</f>
        <v>http://dx.doi.org/10.1007/s00284-013-0467-6</v>
      </c>
      <c r="BG356" t="s">
        <v>74</v>
      </c>
      <c r="BH356" t="s">
        <v>74</v>
      </c>
      <c r="BI356">
        <v>6</v>
      </c>
      <c r="BJ356" t="s">
        <v>3624</v>
      </c>
      <c r="BK356" t="s">
        <v>101</v>
      </c>
      <c r="BL356" t="s">
        <v>3624</v>
      </c>
      <c r="BM356" t="s">
        <v>7123</v>
      </c>
      <c r="BN356">
        <v>24121613</v>
      </c>
      <c r="BO356" t="s">
        <v>74</v>
      </c>
      <c r="BP356" t="s">
        <v>74</v>
      </c>
      <c r="BQ356" t="s">
        <v>74</v>
      </c>
      <c r="BR356" t="s">
        <v>104</v>
      </c>
      <c r="BS356" t="s">
        <v>7124</v>
      </c>
      <c r="BT356" t="str">
        <f>HYPERLINK("https%3A%2F%2Fwww.webofscience.com%2Fwos%2Fwoscc%2Ffull-record%2FWOS:000329994500016","View Full Record in Web of Science")</f>
        <v>View Full Record in Web of Science</v>
      </c>
    </row>
    <row r="357" spans="1:72" x14ac:dyDescent="0.15">
      <c r="A357" t="s">
        <v>72</v>
      </c>
      <c r="B357" t="s">
        <v>7125</v>
      </c>
      <c r="C357" t="s">
        <v>74</v>
      </c>
      <c r="D357" t="s">
        <v>74</v>
      </c>
      <c r="E357" t="s">
        <v>74</v>
      </c>
      <c r="F357" t="s">
        <v>7126</v>
      </c>
      <c r="G357" t="s">
        <v>74</v>
      </c>
      <c r="H357" t="s">
        <v>74</v>
      </c>
      <c r="I357" t="s">
        <v>7127</v>
      </c>
      <c r="J357" t="s">
        <v>6658</v>
      </c>
      <c r="K357" t="s">
        <v>74</v>
      </c>
      <c r="L357" t="s">
        <v>74</v>
      </c>
      <c r="M357" t="s">
        <v>78</v>
      </c>
      <c r="N357" t="s">
        <v>79</v>
      </c>
      <c r="O357" t="s">
        <v>74</v>
      </c>
      <c r="P357" t="s">
        <v>74</v>
      </c>
      <c r="Q357" t="s">
        <v>74</v>
      </c>
      <c r="R357" t="s">
        <v>74</v>
      </c>
      <c r="S357" t="s">
        <v>74</v>
      </c>
      <c r="T357" t="s">
        <v>7128</v>
      </c>
      <c r="U357" t="s">
        <v>7129</v>
      </c>
      <c r="V357" t="s">
        <v>7130</v>
      </c>
      <c r="W357" t="s">
        <v>7131</v>
      </c>
      <c r="X357" t="s">
        <v>7132</v>
      </c>
      <c r="Y357" t="s">
        <v>7133</v>
      </c>
      <c r="Z357" t="s">
        <v>7134</v>
      </c>
      <c r="AA357" t="s">
        <v>7135</v>
      </c>
      <c r="AB357" t="s">
        <v>7136</v>
      </c>
      <c r="AC357" t="s">
        <v>7137</v>
      </c>
      <c r="AD357" t="s">
        <v>7138</v>
      </c>
      <c r="AE357" t="s">
        <v>7139</v>
      </c>
      <c r="AF357" t="s">
        <v>74</v>
      </c>
      <c r="AG357">
        <v>95</v>
      </c>
      <c r="AH357">
        <v>24</v>
      </c>
      <c r="AI357">
        <v>24</v>
      </c>
      <c r="AJ357">
        <v>0</v>
      </c>
      <c r="AK357">
        <v>22</v>
      </c>
      <c r="AL357" t="s">
        <v>946</v>
      </c>
      <c r="AM357" t="s">
        <v>522</v>
      </c>
      <c r="AN357" t="s">
        <v>947</v>
      </c>
      <c r="AO357" t="s">
        <v>6670</v>
      </c>
      <c r="AP357" t="s">
        <v>6671</v>
      </c>
      <c r="AQ357" t="s">
        <v>74</v>
      </c>
      <c r="AR357" t="s">
        <v>6672</v>
      </c>
      <c r="AS357" t="s">
        <v>6673</v>
      </c>
      <c r="AT357" t="s">
        <v>5362</v>
      </c>
      <c r="AU357">
        <v>2014</v>
      </c>
      <c r="AV357">
        <v>84</v>
      </c>
      <c r="AW357" t="s">
        <v>74</v>
      </c>
      <c r="AX357" t="s">
        <v>74</v>
      </c>
      <c r="AY357" t="s">
        <v>74</v>
      </c>
      <c r="AZ357" t="s">
        <v>74</v>
      </c>
      <c r="BA357" t="s">
        <v>74</v>
      </c>
      <c r="BB357">
        <v>142</v>
      </c>
      <c r="BC357">
        <v>155</v>
      </c>
      <c r="BD357" t="s">
        <v>74</v>
      </c>
      <c r="BE357" t="s">
        <v>7140</v>
      </c>
      <c r="BF357" t="str">
        <f>HYPERLINK("http://dx.doi.org/10.1016/j.dsr.2013.11.004","http://dx.doi.org/10.1016/j.dsr.2013.11.004")</f>
        <v>http://dx.doi.org/10.1016/j.dsr.2013.11.004</v>
      </c>
      <c r="BG357" t="s">
        <v>74</v>
      </c>
      <c r="BH357" t="s">
        <v>74</v>
      </c>
      <c r="BI357">
        <v>14</v>
      </c>
      <c r="BJ357" t="s">
        <v>785</v>
      </c>
      <c r="BK357" t="s">
        <v>101</v>
      </c>
      <c r="BL357" t="s">
        <v>785</v>
      </c>
      <c r="BM357" t="s">
        <v>6675</v>
      </c>
      <c r="BN357" t="s">
        <v>74</v>
      </c>
      <c r="BO357" t="s">
        <v>74</v>
      </c>
      <c r="BP357" t="s">
        <v>74</v>
      </c>
      <c r="BQ357" t="s">
        <v>74</v>
      </c>
      <c r="BR357" t="s">
        <v>104</v>
      </c>
      <c r="BS357" t="s">
        <v>7141</v>
      </c>
      <c r="BT357" t="str">
        <f>HYPERLINK("https%3A%2F%2Fwww.webofscience.com%2Fwos%2Fwoscc%2Ffull-record%2FWOS:000329960000012","View Full Record in Web of Science")</f>
        <v>View Full Record in Web of Science</v>
      </c>
    </row>
    <row r="358" spans="1:72" x14ac:dyDescent="0.15">
      <c r="A358" t="s">
        <v>72</v>
      </c>
      <c r="B358" t="s">
        <v>7142</v>
      </c>
      <c r="C358" t="s">
        <v>74</v>
      </c>
      <c r="D358" t="s">
        <v>74</v>
      </c>
      <c r="E358" t="s">
        <v>74</v>
      </c>
      <c r="F358" t="s">
        <v>7143</v>
      </c>
      <c r="G358" t="s">
        <v>74</v>
      </c>
      <c r="H358" t="s">
        <v>74</v>
      </c>
      <c r="I358" t="s">
        <v>7144</v>
      </c>
      <c r="J358" t="s">
        <v>7145</v>
      </c>
      <c r="K358" t="s">
        <v>74</v>
      </c>
      <c r="L358" t="s">
        <v>74</v>
      </c>
      <c r="M358" t="s">
        <v>78</v>
      </c>
      <c r="N358" t="s">
        <v>933</v>
      </c>
      <c r="O358" t="s">
        <v>74</v>
      </c>
      <c r="P358" t="s">
        <v>74</v>
      </c>
      <c r="Q358" t="s">
        <v>74</v>
      </c>
      <c r="R358" t="s">
        <v>74</v>
      </c>
      <c r="S358" t="s">
        <v>74</v>
      </c>
      <c r="T358" t="s">
        <v>7146</v>
      </c>
      <c r="U358" t="s">
        <v>7147</v>
      </c>
      <c r="V358" t="s">
        <v>7148</v>
      </c>
      <c r="W358" t="s">
        <v>7149</v>
      </c>
      <c r="X358" t="s">
        <v>7150</v>
      </c>
      <c r="Y358" t="s">
        <v>7151</v>
      </c>
      <c r="Z358" t="s">
        <v>7152</v>
      </c>
      <c r="AA358" t="s">
        <v>74</v>
      </c>
      <c r="AB358" t="s">
        <v>7153</v>
      </c>
      <c r="AC358" t="s">
        <v>7154</v>
      </c>
      <c r="AD358" t="s">
        <v>7155</v>
      </c>
      <c r="AE358" t="s">
        <v>7156</v>
      </c>
      <c r="AF358" t="s">
        <v>74</v>
      </c>
      <c r="AG358">
        <v>98</v>
      </c>
      <c r="AH358">
        <v>148</v>
      </c>
      <c r="AI358">
        <v>164</v>
      </c>
      <c r="AJ358">
        <v>3</v>
      </c>
      <c r="AK358">
        <v>56</v>
      </c>
      <c r="AL358" t="s">
        <v>7157</v>
      </c>
      <c r="AM358" t="s">
        <v>1948</v>
      </c>
      <c r="AN358" t="s">
        <v>7158</v>
      </c>
      <c r="AO358" t="s">
        <v>7159</v>
      </c>
      <c r="AP358" t="s">
        <v>7160</v>
      </c>
      <c r="AQ358" t="s">
        <v>74</v>
      </c>
      <c r="AR358" t="s">
        <v>7161</v>
      </c>
      <c r="AS358" t="s">
        <v>7162</v>
      </c>
      <c r="AT358" t="s">
        <v>5362</v>
      </c>
      <c r="AU358">
        <v>2014</v>
      </c>
      <c r="AV358">
        <v>7</v>
      </c>
      <c r="AW358">
        <v>2</v>
      </c>
      <c r="AX358" t="s">
        <v>74</v>
      </c>
      <c r="AY358" t="s">
        <v>74</v>
      </c>
      <c r="AZ358" t="s">
        <v>74</v>
      </c>
      <c r="BA358" t="s">
        <v>74</v>
      </c>
      <c r="BB358">
        <v>181</v>
      </c>
      <c r="BC358">
        <v>192</v>
      </c>
      <c r="BD358" t="s">
        <v>74</v>
      </c>
      <c r="BE358" t="s">
        <v>7163</v>
      </c>
      <c r="BF358" t="str">
        <f>HYPERLINK("http://dx.doi.org/10.1242/dmm.012245","http://dx.doi.org/10.1242/dmm.012245")</f>
        <v>http://dx.doi.org/10.1242/dmm.012245</v>
      </c>
      <c r="BG358" t="s">
        <v>74</v>
      </c>
      <c r="BH358" t="s">
        <v>74</v>
      </c>
      <c r="BI358">
        <v>12</v>
      </c>
      <c r="BJ358" t="s">
        <v>7164</v>
      </c>
      <c r="BK358" t="s">
        <v>101</v>
      </c>
      <c r="BL358" t="s">
        <v>7164</v>
      </c>
      <c r="BM358" t="s">
        <v>7165</v>
      </c>
      <c r="BN358">
        <v>24271780</v>
      </c>
      <c r="BO358" t="s">
        <v>2318</v>
      </c>
      <c r="BP358" t="s">
        <v>74</v>
      </c>
      <c r="BQ358" t="s">
        <v>74</v>
      </c>
      <c r="BR358" t="s">
        <v>104</v>
      </c>
      <c r="BS358" t="s">
        <v>7166</v>
      </c>
      <c r="BT358" t="str">
        <f>HYPERLINK("https%3A%2F%2Fwww.webofscience.com%2Fwos%2Fwoscc%2Ffull-record%2FWOS:000337619300005","View Full Record in Web of Science")</f>
        <v>View Full Record in Web of Science</v>
      </c>
    </row>
    <row r="359" spans="1:72" x14ac:dyDescent="0.15">
      <c r="A359" t="s">
        <v>72</v>
      </c>
      <c r="B359" t="s">
        <v>7167</v>
      </c>
      <c r="C359" t="s">
        <v>74</v>
      </c>
      <c r="D359" t="s">
        <v>74</v>
      </c>
      <c r="E359" t="s">
        <v>74</v>
      </c>
      <c r="F359" t="s">
        <v>7168</v>
      </c>
      <c r="G359" t="s">
        <v>74</v>
      </c>
      <c r="H359" t="s">
        <v>74</v>
      </c>
      <c r="I359" t="s">
        <v>7169</v>
      </c>
      <c r="J359" t="s">
        <v>7170</v>
      </c>
      <c r="K359" t="s">
        <v>74</v>
      </c>
      <c r="L359" t="s">
        <v>74</v>
      </c>
      <c r="M359" t="s">
        <v>78</v>
      </c>
      <c r="N359" t="s">
        <v>79</v>
      </c>
      <c r="O359" t="s">
        <v>74</v>
      </c>
      <c r="P359" t="s">
        <v>74</v>
      </c>
      <c r="Q359" t="s">
        <v>74</v>
      </c>
      <c r="R359" t="s">
        <v>74</v>
      </c>
      <c r="S359" t="s">
        <v>74</v>
      </c>
      <c r="T359" t="s">
        <v>74</v>
      </c>
      <c r="U359" t="s">
        <v>7171</v>
      </c>
      <c r="V359" t="s">
        <v>74</v>
      </c>
      <c r="W359" t="s">
        <v>7172</v>
      </c>
      <c r="X359" t="s">
        <v>7173</v>
      </c>
      <c r="Y359" t="s">
        <v>7174</v>
      </c>
      <c r="Z359" t="s">
        <v>7175</v>
      </c>
      <c r="AA359" t="s">
        <v>7176</v>
      </c>
      <c r="AB359" t="s">
        <v>7177</v>
      </c>
      <c r="AC359" t="s">
        <v>7178</v>
      </c>
      <c r="AD359" t="s">
        <v>7179</v>
      </c>
      <c r="AE359" t="s">
        <v>7180</v>
      </c>
      <c r="AF359" t="s">
        <v>74</v>
      </c>
      <c r="AG359">
        <v>66</v>
      </c>
      <c r="AH359">
        <v>11</v>
      </c>
      <c r="AI359">
        <v>11</v>
      </c>
      <c r="AJ359">
        <v>0</v>
      </c>
      <c r="AK359">
        <v>39</v>
      </c>
      <c r="AL359" t="s">
        <v>403</v>
      </c>
      <c r="AM359" t="s">
        <v>404</v>
      </c>
      <c r="AN359" t="s">
        <v>405</v>
      </c>
      <c r="AO359" t="s">
        <v>7181</v>
      </c>
      <c r="AP359" t="s">
        <v>74</v>
      </c>
      <c r="AQ359" t="s">
        <v>74</v>
      </c>
      <c r="AR359" t="s">
        <v>7182</v>
      </c>
      <c r="AS359" t="s">
        <v>7183</v>
      </c>
      <c r="AT359" t="s">
        <v>5362</v>
      </c>
      <c r="AU359">
        <v>2014</v>
      </c>
      <c r="AV359">
        <v>4</v>
      </c>
      <c r="AW359">
        <v>4</v>
      </c>
      <c r="AX359" t="s">
        <v>74</v>
      </c>
      <c r="AY359" t="s">
        <v>74</v>
      </c>
      <c r="AZ359" t="s">
        <v>74</v>
      </c>
      <c r="BA359" t="s">
        <v>74</v>
      </c>
      <c r="BB359">
        <v>474</v>
      </c>
      <c r="BC359">
        <v>487</v>
      </c>
      <c r="BD359" t="s">
        <v>74</v>
      </c>
      <c r="BE359" t="s">
        <v>7184</v>
      </c>
      <c r="BF359" t="str">
        <f>HYPERLINK("http://dx.doi.org/10.1002/ece3.882","http://dx.doi.org/10.1002/ece3.882")</f>
        <v>http://dx.doi.org/10.1002/ece3.882</v>
      </c>
      <c r="BG359" t="s">
        <v>74</v>
      </c>
      <c r="BH359" t="s">
        <v>74</v>
      </c>
      <c r="BI359">
        <v>14</v>
      </c>
      <c r="BJ359" t="s">
        <v>7185</v>
      </c>
      <c r="BK359" t="s">
        <v>101</v>
      </c>
      <c r="BL359" t="s">
        <v>7186</v>
      </c>
      <c r="BM359" t="s">
        <v>7187</v>
      </c>
      <c r="BN359">
        <v>24634731</v>
      </c>
      <c r="BO359" t="s">
        <v>7188</v>
      </c>
      <c r="BP359" t="s">
        <v>74</v>
      </c>
      <c r="BQ359" t="s">
        <v>74</v>
      </c>
      <c r="BR359" t="s">
        <v>104</v>
      </c>
      <c r="BS359" t="s">
        <v>7189</v>
      </c>
      <c r="BT359" t="str">
        <f>HYPERLINK("https%3A%2F%2Fwww.webofscience.com%2Fwos%2Fwoscc%2Ffull-record%2FWOS:000331354500014","View Full Record in Web of Science")</f>
        <v>View Full Record in Web of Science</v>
      </c>
    </row>
    <row r="360" spans="1:72" x14ac:dyDescent="0.15">
      <c r="A360" t="s">
        <v>72</v>
      </c>
      <c r="B360" t="s">
        <v>7190</v>
      </c>
      <c r="C360" t="s">
        <v>74</v>
      </c>
      <c r="D360" t="s">
        <v>74</v>
      </c>
      <c r="E360" t="s">
        <v>74</v>
      </c>
      <c r="F360" t="s">
        <v>7191</v>
      </c>
      <c r="G360" t="s">
        <v>74</v>
      </c>
      <c r="H360" t="s">
        <v>74</v>
      </c>
      <c r="I360" t="s">
        <v>7192</v>
      </c>
      <c r="J360" t="s">
        <v>7193</v>
      </c>
      <c r="K360" t="s">
        <v>74</v>
      </c>
      <c r="L360" t="s">
        <v>74</v>
      </c>
      <c r="M360" t="s">
        <v>78</v>
      </c>
      <c r="N360" t="s">
        <v>79</v>
      </c>
      <c r="O360" t="s">
        <v>74</v>
      </c>
      <c r="P360" t="s">
        <v>74</v>
      </c>
      <c r="Q360" t="s">
        <v>74</v>
      </c>
      <c r="R360" t="s">
        <v>74</v>
      </c>
      <c r="S360" t="s">
        <v>74</v>
      </c>
      <c r="T360" t="s">
        <v>7194</v>
      </c>
      <c r="U360" t="s">
        <v>7195</v>
      </c>
      <c r="V360" t="s">
        <v>7196</v>
      </c>
      <c r="W360" t="s">
        <v>7197</v>
      </c>
      <c r="X360" t="s">
        <v>7198</v>
      </c>
      <c r="Y360" t="s">
        <v>3829</v>
      </c>
      <c r="Z360" t="s">
        <v>3830</v>
      </c>
      <c r="AA360" t="s">
        <v>7199</v>
      </c>
      <c r="AB360" t="s">
        <v>7200</v>
      </c>
      <c r="AC360" t="s">
        <v>7201</v>
      </c>
      <c r="AD360" t="s">
        <v>7202</v>
      </c>
      <c r="AE360" t="s">
        <v>7203</v>
      </c>
      <c r="AF360" t="s">
        <v>74</v>
      </c>
      <c r="AG360">
        <v>67</v>
      </c>
      <c r="AH360">
        <v>43</v>
      </c>
      <c r="AI360">
        <v>52</v>
      </c>
      <c r="AJ360">
        <v>4</v>
      </c>
      <c r="AK360">
        <v>50</v>
      </c>
      <c r="AL360" t="s">
        <v>1048</v>
      </c>
      <c r="AM360" t="s">
        <v>522</v>
      </c>
      <c r="AN360" t="s">
        <v>1049</v>
      </c>
      <c r="AO360" t="s">
        <v>7204</v>
      </c>
      <c r="AP360" t="s">
        <v>7205</v>
      </c>
      <c r="AQ360" t="s">
        <v>74</v>
      </c>
      <c r="AR360" t="s">
        <v>7206</v>
      </c>
      <c r="AS360" t="s">
        <v>7207</v>
      </c>
      <c r="AT360" t="s">
        <v>5362</v>
      </c>
      <c r="AU360">
        <v>2014</v>
      </c>
      <c r="AV360">
        <v>351</v>
      </c>
      <c r="AW360">
        <v>1</v>
      </c>
      <c r="AX360" t="s">
        <v>74</v>
      </c>
      <c r="AY360" t="s">
        <v>74</v>
      </c>
      <c r="AZ360" t="s">
        <v>74</v>
      </c>
      <c r="BA360" t="s">
        <v>74</v>
      </c>
      <c r="BB360">
        <v>14</v>
      </c>
      <c r="BC360">
        <v>22</v>
      </c>
      <c r="BD360" t="s">
        <v>74</v>
      </c>
      <c r="BE360" t="s">
        <v>7208</v>
      </c>
      <c r="BF360" t="str">
        <f>HYPERLINK("http://dx.doi.org/10.1111/1574-6968.12345","http://dx.doi.org/10.1111/1574-6968.12345")</f>
        <v>http://dx.doi.org/10.1111/1574-6968.12345</v>
      </c>
      <c r="BG360" t="s">
        <v>74</v>
      </c>
      <c r="BH360" t="s">
        <v>74</v>
      </c>
      <c r="BI360">
        <v>9</v>
      </c>
      <c r="BJ360" t="s">
        <v>3624</v>
      </c>
      <c r="BK360" t="s">
        <v>101</v>
      </c>
      <c r="BL360" t="s">
        <v>3624</v>
      </c>
      <c r="BM360" t="s">
        <v>7209</v>
      </c>
      <c r="BN360">
        <v>24283367</v>
      </c>
      <c r="BO360" t="s">
        <v>200</v>
      </c>
      <c r="BP360" t="s">
        <v>74</v>
      </c>
      <c r="BQ360" t="s">
        <v>74</v>
      </c>
      <c r="BR360" t="s">
        <v>104</v>
      </c>
      <c r="BS360" t="s">
        <v>7210</v>
      </c>
      <c r="BT360" t="str">
        <f>HYPERLINK("https%3A%2F%2Fwww.webofscience.com%2Fwos%2Fwoscc%2Ffull-record%2FWOS:000330676100004","View Full Record in Web of Science")</f>
        <v>View Full Record in Web of Science</v>
      </c>
    </row>
    <row r="361" spans="1:72" x14ac:dyDescent="0.15">
      <c r="A361" t="s">
        <v>72</v>
      </c>
      <c r="B361" t="s">
        <v>7211</v>
      </c>
      <c r="C361" t="s">
        <v>74</v>
      </c>
      <c r="D361" t="s">
        <v>74</v>
      </c>
      <c r="E361" t="s">
        <v>74</v>
      </c>
      <c r="F361" t="s">
        <v>7212</v>
      </c>
      <c r="G361" t="s">
        <v>74</v>
      </c>
      <c r="H361" t="s">
        <v>74</v>
      </c>
      <c r="I361" t="s">
        <v>7213</v>
      </c>
      <c r="J361" t="s">
        <v>7214</v>
      </c>
      <c r="K361" t="s">
        <v>74</v>
      </c>
      <c r="L361" t="s">
        <v>74</v>
      </c>
      <c r="M361" t="s">
        <v>78</v>
      </c>
      <c r="N361" t="s">
        <v>79</v>
      </c>
      <c r="O361" t="s">
        <v>74</v>
      </c>
      <c r="P361" t="s">
        <v>74</v>
      </c>
      <c r="Q361" t="s">
        <v>74</v>
      </c>
      <c r="R361" t="s">
        <v>74</v>
      </c>
      <c r="S361" t="s">
        <v>74</v>
      </c>
      <c r="T361" t="s">
        <v>7215</v>
      </c>
      <c r="U361" t="s">
        <v>7216</v>
      </c>
      <c r="V361" t="s">
        <v>7217</v>
      </c>
      <c r="W361" t="s">
        <v>7218</v>
      </c>
      <c r="X361" t="s">
        <v>7219</v>
      </c>
      <c r="Y361" t="s">
        <v>7220</v>
      </c>
      <c r="Z361" t="s">
        <v>7221</v>
      </c>
      <c r="AA361" t="s">
        <v>7222</v>
      </c>
      <c r="AB361" t="s">
        <v>7223</v>
      </c>
      <c r="AC361" t="s">
        <v>7224</v>
      </c>
      <c r="AD361" t="s">
        <v>7225</v>
      </c>
      <c r="AE361" t="s">
        <v>7226</v>
      </c>
      <c r="AF361" t="s">
        <v>74</v>
      </c>
      <c r="AG361">
        <v>66</v>
      </c>
      <c r="AH361">
        <v>107</v>
      </c>
      <c r="AI361">
        <v>120</v>
      </c>
      <c r="AJ361">
        <v>2</v>
      </c>
      <c r="AK361">
        <v>97</v>
      </c>
      <c r="AL361" t="s">
        <v>403</v>
      </c>
      <c r="AM361" t="s">
        <v>404</v>
      </c>
      <c r="AN361" t="s">
        <v>405</v>
      </c>
      <c r="AO361" t="s">
        <v>7227</v>
      </c>
      <c r="AP361" t="s">
        <v>7228</v>
      </c>
      <c r="AQ361" t="s">
        <v>74</v>
      </c>
      <c r="AR361" t="s">
        <v>7229</v>
      </c>
      <c r="AS361" t="s">
        <v>7230</v>
      </c>
      <c r="AT361" t="s">
        <v>5362</v>
      </c>
      <c r="AU361">
        <v>2014</v>
      </c>
      <c r="AV361">
        <v>28</v>
      </c>
      <c r="AW361">
        <v>1</v>
      </c>
      <c r="AX361" t="s">
        <v>74</v>
      </c>
      <c r="AY361" t="s">
        <v>74</v>
      </c>
      <c r="AZ361" t="s">
        <v>660</v>
      </c>
      <c r="BA361" t="s">
        <v>74</v>
      </c>
      <c r="BB361">
        <v>270</v>
      </c>
      <c r="BC361">
        <v>282</v>
      </c>
      <c r="BD361" t="s">
        <v>74</v>
      </c>
      <c r="BE361" t="s">
        <v>7231</v>
      </c>
      <c r="BF361" t="str">
        <f>HYPERLINK("http://dx.doi.org/10.1111/1365-2435.12155","http://dx.doi.org/10.1111/1365-2435.12155")</f>
        <v>http://dx.doi.org/10.1111/1365-2435.12155</v>
      </c>
      <c r="BG361" t="s">
        <v>74</v>
      </c>
      <c r="BH361" t="s">
        <v>74</v>
      </c>
      <c r="BI361">
        <v>13</v>
      </c>
      <c r="BJ361" t="s">
        <v>451</v>
      </c>
      <c r="BK361" t="s">
        <v>101</v>
      </c>
      <c r="BL361" t="s">
        <v>102</v>
      </c>
      <c r="BM361" t="s">
        <v>7232</v>
      </c>
      <c r="BN361" t="s">
        <v>74</v>
      </c>
      <c r="BO361" t="s">
        <v>200</v>
      </c>
      <c r="BP361" t="s">
        <v>74</v>
      </c>
      <c r="BQ361" t="s">
        <v>74</v>
      </c>
      <c r="BR361" t="s">
        <v>104</v>
      </c>
      <c r="BS361" t="s">
        <v>7233</v>
      </c>
      <c r="BT361" t="str">
        <f>HYPERLINK("https%3A%2F%2Fwww.webofscience.com%2Fwos%2Fwoscc%2Ffull-record%2FWOS:000331083900027","View Full Record in Web of Science")</f>
        <v>View Full Record in Web of Science</v>
      </c>
    </row>
    <row r="362" spans="1:72" x14ac:dyDescent="0.15">
      <c r="A362" t="s">
        <v>72</v>
      </c>
      <c r="B362" t="s">
        <v>7234</v>
      </c>
      <c r="C362" t="s">
        <v>74</v>
      </c>
      <c r="D362" t="s">
        <v>74</v>
      </c>
      <c r="E362" t="s">
        <v>74</v>
      </c>
      <c r="F362" t="s">
        <v>7235</v>
      </c>
      <c r="G362" t="s">
        <v>74</v>
      </c>
      <c r="H362" t="s">
        <v>74</v>
      </c>
      <c r="I362" t="s">
        <v>7236</v>
      </c>
      <c r="J362" t="s">
        <v>3567</v>
      </c>
      <c r="K362" t="s">
        <v>74</v>
      </c>
      <c r="L362" t="s">
        <v>74</v>
      </c>
      <c r="M362" t="s">
        <v>78</v>
      </c>
      <c r="N362" t="s">
        <v>79</v>
      </c>
      <c r="O362" t="s">
        <v>74</v>
      </c>
      <c r="P362" t="s">
        <v>74</v>
      </c>
      <c r="Q362" t="s">
        <v>74</v>
      </c>
      <c r="R362" t="s">
        <v>74</v>
      </c>
      <c r="S362" t="s">
        <v>74</v>
      </c>
      <c r="T362" t="s">
        <v>74</v>
      </c>
      <c r="U362" t="s">
        <v>7237</v>
      </c>
      <c r="V362" t="s">
        <v>7238</v>
      </c>
      <c r="W362" t="s">
        <v>7239</v>
      </c>
      <c r="X362" t="s">
        <v>7240</v>
      </c>
      <c r="Y362" t="s">
        <v>7241</v>
      </c>
      <c r="Z362" t="s">
        <v>7242</v>
      </c>
      <c r="AA362" t="s">
        <v>74</v>
      </c>
      <c r="AB362" t="s">
        <v>7243</v>
      </c>
      <c r="AC362" t="s">
        <v>7244</v>
      </c>
      <c r="AD362" t="s">
        <v>7245</v>
      </c>
      <c r="AE362" t="s">
        <v>7246</v>
      </c>
      <c r="AF362" t="s">
        <v>74</v>
      </c>
      <c r="AG362">
        <v>71</v>
      </c>
      <c r="AH362">
        <v>128</v>
      </c>
      <c r="AI362">
        <v>134</v>
      </c>
      <c r="AJ362">
        <v>1</v>
      </c>
      <c r="AK362">
        <v>37</v>
      </c>
      <c r="AL362" t="s">
        <v>946</v>
      </c>
      <c r="AM362" t="s">
        <v>522</v>
      </c>
      <c r="AN362" t="s">
        <v>947</v>
      </c>
      <c r="AO362" t="s">
        <v>3579</v>
      </c>
      <c r="AP362" t="s">
        <v>3580</v>
      </c>
      <c r="AQ362" t="s">
        <v>74</v>
      </c>
      <c r="AR362" t="s">
        <v>3581</v>
      </c>
      <c r="AS362" t="s">
        <v>3582</v>
      </c>
      <c r="AT362" t="s">
        <v>5936</v>
      </c>
      <c r="AU362">
        <v>2014</v>
      </c>
      <c r="AV362">
        <v>126</v>
      </c>
      <c r="AW362" t="s">
        <v>74</v>
      </c>
      <c r="AX362" t="s">
        <v>74</v>
      </c>
      <c r="AY362" t="s">
        <v>74</v>
      </c>
      <c r="AZ362" t="s">
        <v>74</v>
      </c>
      <c r="BA362" t="s">
        <v>74</v>
      </c>
      <c r="BB362">
        <v>284</v>
      </c>
      <c r="BC362">
        <v>306</v>
      </c>
      <c r="BD362" t="s">
        <v>74</v>
      </c>
      <c r="BE362" t="s">
        <v>7247</v>
      </c>
      <c r="BF362" t="str">
        <f>HYPERLINK("http://dx.doi.org/10.1016/j.gca.2013.10.053","http://dx.doi.org/10.1016/j.gca.2013.10.053")</f>
        <v>http://dx.doi.org/10.1016/j.gca.2013.10.053</v>
      </c>
      <c r="BG362" t="s">
        <v>74</v>
      </c>
      <c r="BH362" t="s">
        <v>74</v>
      </c>
      <c r="BI362">
        <v>23</v>
      </c>
      <c r="BJ362" t="s">
        <v>574</v>
      </c>
      <c r="BK362" t="s">
        <v>101</v>
      </c>
      <c r="BL362" t="s">
        <v>574</v>
      </c>
      <c r="BM362" t="s">
        <v>7248</v>
      </c>
      <c r="BN362" t="s">
        <v>74</v>
      </c>
      <c r="BO362" t="s">
        <v>74</v>
      </c>
      <c r="BP362" t="s">
        <v>74</v>
      </c>
      <c r="BQ362" t="s">
        <v>74</v>
      </c>
      <c r="BR362" t="s">
        <v>104</v>
      </c>
      <c r="BS362" t="s">
        <v>7249</v>
      </c>
      <c r="BT362" t="str">
        <f>HYPERLINK("https%3A%2F%2Fwww.webofscience.com%2Fwos%2Fwoscc%2Ffull-record%2FWOS:000329504800017","View Full Record in Web of Science")</f>
        <v>View Full Record in Web of Science</v>
      </c>
    </row>
    <row r="363" spans="1:72" x14ac:dyDescent="0.15">
      <c r="A363" t="s">
        <v>72</v>
      </c>
      <c r="B363" t="s">
        <v>7250</v>
      </c>
      <c r="C363" t="s">
        <v>74</v>
      </c>
      <c r="D363" t="s">
        <v>74</v>
      </c>
      <c r="E363" t="s">
        <v>74</v>
      </c>
      <c r="F363" t="s">
        <v>7251</v>
      </c>
      <c r="G363" t="s">
        <v>74</v>
      </c>
      <c r="H363" t="s">
        <v>74</v>
      </c>
      <c r="I363" t="s">
        <v>7252</v>
      </c>
      <c r="J363" t="s">
        <v>3567</v>
      </c>
      <c r="K363" t="s">
        <v>74</v>
      </c>
      <c r="L363" t="s">
        <v>74</v>
      </c>
      <c r="M363" t="s">
        <v>78</v>
      </c>
      <c r="N363" t="s">
        <v>79</v>
      </c>
      <c r="O363" t="s">
        <v>74</v>
      </c>
      <c r="P363" t="s">
        <v>74</v>
      </c>
      <c r="Q363" t="s">
        <v>74</v>
      </c>
      <c r="R363" t="s">
        <v>74</v>
      </c>
      <c r="S363" t="s">
        <v>74</v>
      </c>
      <c r="T363" t="s">
        <v>74</v>
      </c>
      <c r="U363" t="s">
        <v>7253</v>
      </c>
      <c r="V363" t="s">
        <v>7254</v>
      </c>
      <c r="W363" t="s">
        <v>7255</v>
      </c>
      <c r="X363" t="s">
        <v>7256</v>
      </c>
      <c r="Y363" t="s">
        <v>7257</v>
      </c>
      <c r="Z363" t="s">
        <v>7258</v>
      </c>
      <c r="AA363" t="s">
        <v>7259</v>
      </c>
      <c r="AB363" t="s">
        <v>7260</v>
      </c>
      <c r="AC363" t="s">
        <v>7261</v>
      </c>
      <c r="AD363" t="s">
        <v>7262</v>
      </c>
      <c r="AE363" t="s">
        <v>7263</v>
      </c>
      <c r="AF363" t="s">
        <v>74</v>
      </c>
      <c r="AG363">
        <v>110</v>
      </c>
      <c r="AH363">
        <v>219</v>
      </c>
      <c r="AI363">
        <v>236</v>
      </c>
      <c r="AJ363">
        <v>23</v>
      </c>
      <c r="AK363">
        <v>274</v>
      </c>
      <c r="AL363" t="s">
        <v>946</v>
      </c>
      <c r="AM363" t="s">
        <v>522</v>
      </c>
      <c r="AN363" t="s">
        <v>947</v>
      </c>
      <c r="AO363" t="s">
        <v>3579</v>
      </c>
      <c r="AP363" t="s">
        <v>3580</v>
      </c>
      <c r="AQ363" t="s">
        <v>74</v>
      </c>
      <c r="AR363" t="s">
        <v>3581</v>
      </c>
      <c r="AS363" t="s">
        <v>3582</v>
      </c>
      <c r="AT363" t="s">
        <v>5936</v>
      </c>
      <c r="AU363">
        <v>2014</v>
      </c>
      <c r="AV363">
        <v>126</v>
      </c>
      <c r="AW363" t="s">
        <v>74</v>
      </c>
      <c r="AX363" t="s">
        <v>74</v>
      </c>
      <c r="AY363" t="s">
        <v>74</v>
      </c>
      <c r="AZ363" t="s">
        <v>74</v>
      </c>
      <c r="BA363" t="s">
        <v>74</v>
      </c>
      <c r="BB363">
        <v>321</v>
      </c>
      <c r="BC363">
        <v>337</v>
      </c>
      <c r="BD363" t="s">
        <v>74</v>
      </c>
      <c r="BE363" t="s">
        <v>7264</v>
      </c>
      <c r="BF363" t="str">
        <f>HYPERLINK("http://dx.doi.org/10.1016/j.gca.2013.11.009","http://dx.doi.org/10.1016/j.gca.2013.11.009")</f>
        <v>http://dx.doi.org/10.1016/j.gca.2013.11.009</v>
      </c>
      <c r="BG363" t="s">
        <v>74</v>
      </c>
      <c r="BH363" t="s">
        <v>74</v>
      </c>
      <c r="BI363">
        <v>17</v>
      </c>
      <c r="BJ363" t="s">
        <v>574</v>
      </c>
      <c r="BK363" t="s">
        <v>101</v>
      </c>
      <c r="BL363" t="s">
        <v>574</v>
      </c>
      <c r="BM363" t="s">
        <v>7248</v>
      </c>
      <c r="BN363" t="s">
        <v>74</v>
      </c>
      <c r="BO363" t="s">
        <v>7265</v>
      </c>
      <c r="BP363" t="s">
        <v>74</v>
      </c>
      <c r="BQ363" t="s">
        <v>74</v>
      </c>
      <c r="BR363" t="s">
        <v>104</v>
      </c>
      <c r="BS363" t="s">
        <v>7266</v>
      </c>
      <c r="BT363" t="str">
        <f>HYPERLINK("https%3A%2F%2Fwww.webofscience.com%2Fwos%2Fwoscc%2Ffull-record%2FWOS:000329504800019","View Full Record in Web of Science")</f>
        <v>View Full Record in Web of Science</v>
      </c>
    </row>
    <row r="364" spans="1:72" x14ac:dyDescent="0.15">
      <c r="A364" t="s">
        <v>72</v>
      </c>
      <c r="B364" t="s">
        <v>7267</v>
      </c>
      <c r="C364" t="s">
        <v>74</v>
      </c>
      <c r="D364" t="s">
        <v>74</v>
      </c>
      <c r="E364" t="s">
        <v>74</v>
      </c>
      <c r="F364" t="s">
        <v>7268</v>
      </c>
      <c r="G364" t="s">
        <v>74</v>
      </c>
      <c r="H364" t="s">
        <v>74</v>
      </c>
      <c r="I364" t="s">
        <v>7269</v>
      </c>
      <c r="J364" t="s">
        <v>7270</v>
      </c>
      <c r="K364" t="s">
        <v>74</v>
      </c>
      <c r="L364" t="s">
        <v>74</v>
      </c>
      <c r="M364" t="s">
        <v>78</v>
      </c>
      <c r="N364" t="s">
        <v>79</v>
      </c>
      <c r="O364" t="s">
        <v>74</v>
      </c>
      <c r="P364" t="s">
        <v>74</v>
      </c>
      <c r="Q364" t="s">
        <v>74</v>
      </c>
      <c r="R364" t="s">
        <v>74</v>
      </c>
      <c r="S364" t="s">
        <v>74</v>
      </c>
      <c r="T364" t="s">
        <v>7271</v>
      </c>
      <c r="U364" t="s">
        <v>7272</v>
      </c>
      <c r="V364" t="s">
        <v>7273</v>
      </c>
      <c r="W364" t="s">
        <v>7274</v>
      </c>
      <c r="X364" t="s">
        <v>7275</v>
      </c>
      <c r="Y364" t="s">
        <v>7276</v>
      </c>
      <c r="Z364" t="s">
        <v>7277</v>
      </c>
      <c r="AA364" t="s">
        <v>7278</v>
      </c>
      <c r="AB364" t="s">
        <v>7279</v>
      </c>
      <c r="AC364" t="s">
        <v>7280</v>
      </c>
      <c r="AD364" t="s">
        <v>7281</v>
      </c>
      <c r="AE364" t="s">
        <v>7282</v>
      </c>
      <c r="AF364" t="s">
        <v>74</v>
      </c>
      <c r="AG364">
        <v>91</v>
      </c>
      <c r="AH364">
        <v>14</v>
      </c>
      <c r="AI364">
        <v>16</v>
      </c>
      <c r="AJ364">
        <v>1</v>
      </c>
      <c r="AK364">
        <v>44</v>
      </c>
      <c r="AL364" t="s">
        <v>7283</v>
      </c>
      <c r="AM364" t="s">
        <v>704</v>
      </c>
      <c r="AN364" t="s">
        <v>7284</v>
      </c>
      <c r="AO364" t="s">
        <v>7285</v>
      </c>
      <c r="AP364" t="s">
        <v>7286</v>
      </c>
      <c r="AQ364" t="s">
        <v>74</v>
      </c>
      <c r="AR364" t="s">
        <v>7270</v>
      </c>
      <c r="AS364" t="s">
        <v>7287</v>
      </c>
      <c r="AT364" t="s">
        <v>5362</v>
      </c>
      <c r="AU364">
        <v>2014</v>
      </c>
      <c r="AV364">
        <v>24</v>
      </c>
      <c r="AW364">
        <v>2</v>
      </c>
      <c r="AX364" t="s">
        <v>74</v>
      </c>
      <c r="AY364" t="s">
        <v>74</v>
      </c>
      <c r="AZ364" t="s">
        <v>74</v>
      </c>
      <c r="BA364" t="s">
        <v>74</v>
      </c>
      <c r="BB364">
        <v>176</v>
      </c>
      <c r="BC364">
        <v>187</v>
      </c>
      <c r="BD364" t="s">
        <v>74</v>
      </c>
      <c r="BE364" t="s">
        <v>7288</v>
      </c>
      <c r="BF364" t="str">
        <f>HYPERLINK("http://dx.doi.org/10.1177/0959683613516818","http://dx.doi.org/10.1177/0959683613516818")</f>
        <v>http://dx.doi.org/10.1177/0959683613516818</v>
      </c>
      <c r="BG364" t="s">
        <v>74</v>
      </c>
      <c r="BH364" t="s">
        <v>74</v>
      </c>
      <c r="BI364">
        <v>12</v>
      </c>
      <c r="BJ364" t="s">
        <v>1415</v>
      </c>
      <c r="BK364" t="s">
        <v>101</v>
      </c>
      <c r="BL364" t="s">
        <v>1416</v>
      </c>
      <c r="BM364" t="s">
        <v>7289</v>
      </c>
      <c r="BN364" t="s">
        <v>74</v>
      </c>
      <c r="BO364" t="s">
        <v>74</v>
      </c>
      <c r="BP364" t="s">
        <v>74</v>
      </c>
      <c r="BQ364" t="s">
        <v>74</v>
      </c>
      <c r="BR364" t="s">
        <v>104</v>
      </c>
      <c r="BS364" t="s">
        <v>7290</v>
      </c>
      <c r="BT364" t="str">
        <f>HYPERLINK("https%3A%2F%2Fwww.webofscience.com%2Fwos%2Fwoscc%2Ffull-record%2FWOS:000329828000005","View Full Record in Web of Science")</f>
        <v>View Full Record in Web of Science</v>
      </c>
    </row>
    <row r="365" spans="1:72" x14ac:dyDescent="0.15">
      <c r="A365" t="s">
        <v>72</v>
      </c>
      <c r="B365" t="s">
        <v>7291</v>
      </c>
      <c r="C365" t="s">
        <v>74</v>
      </c>
      <c r="D365" t="s">
        <v>74</v>
      </c>
      <c r="E365" t="s">
        <v>74</v>
      </c>
      <c r="F365" t="s">
        <v>7292</v>
      </c>
      <c r="G365" t="s">
        <v>74</v>
      </c>
      <c r="H365" t="s">
        <v>74</v>
      </c>
      <c r="I365" t="s">
        <v>7293</v>
      </c>
      <c r="J365" t="s">
        <v>3110</v>
      </c>
      <c r="K365" t="s">
        <v>74</v>
      </c>
      <c r="L365" t="s">
        <v>74</v>
      </c>
      <c r="M365" t="s">
        <v>78</v>
      </c>
      <c r="N365" t="s">
        <v>79</v>
      </c>
      <c r="O365" t="s">
        <v>74</v>
      </c>
      <c r="P365" t="s">
        <v>74</v>
      </c>
      <c r="Q365" t="s">
        <v>74</v>
      </c>
      <c r="R365" t="s">
        <v>74</v>
      </c>
      <c r="S365" t="s">
        <v>74</v>
      </c>
      <c r="T365" t="s">
        <v>7294</v>
      </c>
      <c r="U365" t="s">
        <v>7295</v>
      </c>
      <c r="V365" t="s">
        <v>7296</v>
      </c>
      <c r="W365" t="s">
        <v>7297</v>
      </c>
      <c r="X365" t="s">
        <v>7298</v>
      </c>
      <c r="Y365" t="s">
        <v>7299</v>
      </c>
      <c r="Z365" t="s">
        <v>7300</v>
      </c>
      <c r="AA365" t="s">
        <v>7301</v>
      </c>
      <c r="AB365" t="s">
        <v>7302</v>
      </c>
      <c r="AC365" t="s">
        <v>7303</v>
      </c>
      <c r="AD365" t="s">
        <v>7304</v>
      </c>
      <c r="AE365" t="s">
        <v>7305</v>
      </c>
      <c r="AF365" t="s">
        <v>74</v>
      </c>
      <c r="AG365">
        <v>92</v>
      </c>
      <c r="AH365">
        <v>22</v>
      </c>
      <c r="AI365">
        <v>25</v>
      </c>
      <c r="AJ365">
        <v>0</v>
      </c>
      <c r="AK365">
        <v>53</v>
      </c>
      <c r="AL365" t="s">
        <v>876</v>
      </c>
      <c r="AM365" t="s">
        <v>877</v>
      </c>
      <c r="AN365" t="s">
        <v>878</v>
      </c>
      <c r="AO365" t="s">
        <v>3123</v>
      </c>
      <c r="AP365" t="s">
        <v>3124</v>
      </c>
      <c r="AQ365" t="s">
        <v>74</v>
      </c>
      <c r="AR365" t="s">
        <v>3125</v>
      </c>
      <c r="AS365" t="s">
        <v>3126</v>
      </c>
      <c r="AT365" t="s">
        <v>5362</v>
      </c>
      <c r="AU365">
        <v>2014</v>
      </c>
      <c r="AV365">
        <v>27</v>
      </c>
      <c r="AW365">
        <v>3</v>
      </c>
      <c r="AX365" t="s">
        <v>74</v>
      </c>
      <c r="AY365" t="s">
        <v>74</v>
      </c>
      <c r="AZ365" t="s">
        <v>74</v>
      </c>
      <c r="BA365" t="s">
        <v>74</v>
      </c>
      <c r="BB365">
        <v>1343</v>
      </c>
      <c r="BC365">
        <v>1363</v>
      </c>
      <c r="BD365" t="s">
        <v>74</v>
      </c>
      <c r="BE365" t="s">
        <v>7306</v>
      </c>
      <c r="BF365" t="str">
        <f>HYPERLINK("http://dx.doi.org/10.1175/JCLI-D-13-00148.1","http://dx.doi.org/10.1175/JCLI-D-13-00148.1")</f>
        <v>http://dx.doi.org/10.1175/JCLI-D-13-00148.1</v>
      </c>
      <c r="BG365" t="s">
        <v>74</v>
      </c>
      <c r="BH365" t="s">
        <v>74</v>
      </c>
      <c r="BI365">
        <v>21</v>
      </c>
      <c r="BJ365" t="s">
        <v>1391</v>
      </c>
      <c r="BK365" t="s">
        <v>101</v>
      </c>
      <c r="BL365" t="s">
        <v>1391</v>
      </c>
      <c r="BM365" t="s">
        <v>6633</v>
      </c>
      <c r="BN365" t="s">
        <v>74</v>
      </c>
      <c r="BO365" t="s">
        <v>7307</v>
      </c>
      <c r="BP365" t="s">
        <v>74</v>
      </c>
      <c r="BQ365" t="s">
        <v>74</v>
      </c>
      <c r="BR365" t="s">
        <v>104</v>
      </c>
      <c r="BS365" t="s">
        <v>7308</v>
      </c>
      <c r="BT365" t="str">
        <f>HYPERLINK("https%3A%2F%2Fwww.webofscience.com%2Fwos%2Fwoscc%2Ffull-record%2FWOS:000330085000023","View Full Record in Web of Science")</f>
        <v>View Full Record in Web of Science</v>
      </c>
    </row>
    <row r="366" spans="1:72" x14ac:dyDescent="0.15">
      <c r="A366" t="s">
        <v>72</v>
      </c>
      <c r="B366" t="s">
        <v>7309</v>
      </c>
      <c r="C366" t="s">
        <v>74</v>
      </c>
      <c r="D366" t="s">
        <v>74</v>
      </c>
      <c r="E366" t="s">
        <v>74</v>
      </c>
      <c r="F366" t="s">
        <v>7310</v>
      </c>
      <c r="G366" t="s">
        <v>74</v>
      </c>
      <c r="H366" t="s">
        <v>74</v>
      </c>
      <c r="I366" t="s">
        <v>7311</v>
      </c>
      <c r="J366" t="s">
        <v>3110</v>
      </c>
      <c r="K366" t="s">
        <v>74</v>
      </c>
      <c r="L366" t="s">
        <v>74</v>
      </c>
      <c r="M366" t="s">
        <v>78</v>
      </c>
      <c r="N366" t="s">
        <v>79</v>
      </c>
      <c r="O366" t="s">
        <v>74</v>
      </c>
      <c r="P366" t="s">
        <v>74</v>
      </c>
      <c r="Q366" t="s">
        <v>74</v>
      </c>
      <c r="R366" t="s">
        <v>74</v>
      </c>
      <c r="S366" t="s">
        <v>74</v>
      </c>
      <c r="T366" t="s">
        <v>7312</v>
      </c>
      <c r="U366" t="s">
        <v>7313</v>
      </c>
      <c r="V366" t="s">
        <v>7314</v>
      </c>
      <c r="W366" t="s">
        <v>7315</v>
      </c>
      <c r="X366" t="s">
        <v>7316</v>
      </c>
      <c r="Y366" t="s">
        <v>7317</v>
      </c>
      <c r="Z366" t="s">
        <v>7318</v>
      </c>
      <c r="AA366" t="s">
        <v>7319</v>
      </c>
      <c r="AB366" t="s">
        <v>7320</v>
      </c>
      <c r="AC366" t="s">
        <v>7321</v>
      </c>
      <c r="AD366" t="s">
        <v>7322</v>
      </c>
      <c r="AE366" t="s">
        <v>7323</v>
      </c>
      <c r="AF366" t="s">
        <v>74</v>
      </c>
      <c r="AG366">
        <v>71</v>
      </c>
      <c r="AH366">
        <v>12</v>
      </c>
      <c r="AI366">
        <v>13</v>
      </c>
      <c r="AJ366">
        <v>0</v>
      </c>
      <c r="AK366">
        <v>31</v>
      </c>
      <c r="AL366" t="s">
        <v>876</v>
      </c>
      <c r="AM366" t="s">
        <v>877</v>
      </c>
      <c r="AN366" t="s">
        <v>878</v>
      </c>
      <c r="AO366" t="s">
        <v>3123</v>
      </c>
      <c r="AP366" t="s">
        <v>3124</v>
      </c>
      <c r="AQ366" t="s">
        <v>74</v>
      </c>
      <c r="AR366" t="s">
        <v>3125</v>
      </c>
      <c r="AS366" t="s">
        <v>3126</v>
      </c>
      <c r="AT366" t="s">
        <v>5362</v>
      </c>
      <c r="AU366">
        <v>2014</v>
      </c>
      <c r="AV366">
        <v>27</v>
      </c>
      <c r="AW366">
        <v>4</v>
      </c>
      <c r="AX366" t="s">
        <v>74</v>
      </c>
      <c r="AY366" t="s">
        <v>74</v>
      </c>
      <c r="AZ366" t="s">
        <v>74</v>
      </c>
      <c r="BA366" t="s">
        <v>74</v>
      </c>
      <c r="BB366">
        <v>1395</v>
      </c>
      <c r="BC366">
        <v>1412</v>
      </c>
      <c r="BD366" t="s">
        <v>74</v>
      </c>
      <c r="BE366" t="s">
        <v>7324</v>
      </c>
      <c r="BF366" t="str">
        <f>HYPERLINK("http://dx.doi.org/10.1175/JCLI-D-13-00229.1","http://dx.doi.org/10.1175/JCLI-D-13-00229.1")</f>
        <v>http://dx.doi.org/10.1175/JCLI-D-13-00229.1</v>
      </c>
      <c r="BG366" t="s">
        <v>74</v>
      </c>
      <c r="BH366" t="s">
        <v>74</v>
      </c>
      <c r="BI366">
        <v>18</v>
      </c>
      <c r="BJ366" t="s">
        <v>1391</v>
      </c>
      <c r="BK366" t="s">
        <v>101</v>
      </c>
      <c r="BL366" t="s">
        <v>1391</v>
      </c>
      <c r="BM366" t="s">
        <v>6417</v>
      </c>
      <c r="BN366" t="s">
        <v>74</v>
      </c>
      <c r="BO366" t="s">
        <v>1244</v>
      </c>
      <c r="BP366" t="s">
        <v>74</v>
      </c>
      <c r="BQ366" t="s">
        <v>74</v>
      </c>
      <c r="BR366" t="s">
        <v>104</v>
      </c>
      <c r="BS366" t="s">
        <v>7325</v>
      </c>
      <c r="BT366" t="str">
        <f>HYPERLINK("https%3A%2F%2Fwww.webofscience.com%2Fwos%2Fwoscc%2Ffull-record%2FWOS:000330816100003","View Full Record in Web of Science")</f>
        <v>View Full Record in Web of Science</v>
      </c>
    </row>
    <row r="367" spans="1:72" x14ac:dyDescent="0.15">
      <c r="A367" t="s">
        <v>72</v>
      </c>
      <c r="B367" t="s">
        <v>7326</v>
      </c>
      <c r="C367" t="s">
        <v>74</v>
      </c>
      <c r="D367" t="s">
        <v>74</v>
      </c>
      <c r="E367" t="s">
        <v>74</v>
      </c>
      <c r="F367" t="s">
        <v>7327</v>
      </c>
      <c r="G367" t="s">
        <v>74</v>
      </c>
      <c r="H367" t="s">
        <v>74</v>
      </c>
      <c r="I367" t="s">
        <v>7328</v>
      </c>
      <c r="J367" t="s">
        <v>2678</v>
      </c>
      <c r="K367" t="s">
        <v>74</v>
      </c>
      <c r="L367" t="s">
        <v>74</v>
      </c>
      <c r="M367" t="s">
        <v>78</v>
      </c>
      <c r="N367" t="s">
        <v>79</v>
      </c>
      <c r="O367" t="s">
        <v>74</v>
      </c>
      <c r="P367" t="s">
        <v>74</v>
      </c>
      <c r="Q367" t="s">
        <v>74</v>
      </c>
      <c r="R367" t="s">
        <v>74</v>
      </c>
      <c r="S367" t="s">
        <v>74</v>
      </c>
      <c r="T367" t="s">
        <v>7329</v>
      </c>
      <c r="U367" t="s">
        <v>7330</v>
      </c>
      <c r="V367" t="s">
        <v>7331</v>
      </c>
      <c r="W367" t="s">
        <v>7332</v>
      </c>
      <c r="X367" t="s">
        <v>7333</v>
      </c>
      <c r="Y367" t="s">
        <v>7334</v>
      </c>
      <c r="Z367" t="s">
        <v>7335</v>
      </c>
      <c r="AA367" t="s">
        <v>7336</v>
      </c>
      <c r="AB367" t="s">
        <v>7337</v>
      </c>
      <c r="AC367" t="s">
        <v>7338</v>
      </c>
      <c r="AD367" t="s">
        <v>7339</v>
      </c>
      <c r="AE367" t="s">
        <v>7340</v>
      </c>
      <c r="AF367" t="s">
        <v>74</v>
      </c>
      <c r="AG367">
        <v>36</v>
      </c>
      <c r="AH367">
        <v>37</v>
      </c>
      <c r="AI367">
        <v>46</v>
      </c>
      <c r="AJ367">
        <v>0</v>
      </c>
      <c r="AK367">
        <v>24</v>
      </c>
      <c r="AL367" t="s">
        <v>568</v>
      </c>
      <c r="AM367" t="s">
        <v>447</v>
      </c>
      <c r="AN367" t="s">
        <v>569</v>
      </c>
      <c r="AO367" t="s">
        <v>2691</v>
      </c>
      <c r="AP367" t="s">
        <v>2692</v>
      </c>
      <c r="AQ367" t="s">
        <v>74</v>
      </c>
      <c r="AR367" t="s">
        <v>2693</v>
      </c>
      <c r="AS367" t="s">
        <v>2694</v>
      </c>
      <c r="AT367" t="s">
        <v>5362</v>
      </c>
      <c r="AU367">
        <v>2014</v>
      </c>
      <c r="AV367">
        <v>119</v>
      </c>
      <c r="AW367">
        <v>2</v>
      </c>
      <c r="AX367" t="s">
        <v>74</v>
      </c>
      <c r="AY367" t="s">
        <v>74</v>
      </c>
      <c r="AZ367" t="s">
        <v>74</v>
      </c>
      <c r="BA367" t="s">
        <v>74</v>
      </c>
      <c r="BB367">
        <v>212</v>
      </c>
      <c r="BC367">
        <v>224</v>
      </c>
      <c r="BD367" t="s">
        <v>74</v>
      </c>
      <c r="BE367" t="s">
        <v>7341</v>
      </c>
      <c r="BF367" t="str">
        <f>HYPERLINK("http://dx.doi.org/10.1002/2013JF002958","http://dx.doi.org/10.1002/2013JF002958")</f>
        <v>http://dx.doi.org/10.1002/2013JF002958</v>
      </c>
      <c r="BG367" t="s">
        <v>74</v>
      </c>
      <c r="BH367" t="s">
        <v>74</v>
      </c>
      <c r="BI367">
        <v>13</v>
      </c>
      <c r="BJ367" t="s">
        <v>952</v>
      </c>
      <c r="BK367" t="s">
        <v>101</v>
      </c>
      <c r="BL367" t="s">
        <v>597</v>
      </c>
      <c r="BM367" t="s">
        <v>7342</v>
      </c>
      <c r="BN367" t="s">
        <v>74</v>
      </c>
      <c r="BO367" t="s">
        <v>200</v>
      </c>
      <c r="BP367" t="s">
        <v>74</v>
      </c>
      <c r="BQ367" t="s">
        <v>74</v>
      </c>
      <c r="BR367" t="s">
        <v>104</v>
      </c>
      <c r="BS367" t="s">
        <v>7343</v>
      </c>
      <c r="BT367" t="str">
        <f>HYPERLINK("https%3A%2F%2Fwww.webofscience.com%2Fwos%2Fwoscc%2Ffull-record%2FWOS:000333032300008","View Full Record in Web of Science")</f>
        <v>View Full Record in Web of Science</v>
      </c>
    </row>
    <row r="368" spans="1:72" x14ac:dyDescent="0.15">
      <c r="A368" t="s">
        <v>72</v>
      </c>
      <c r="B368" t="s">
        <v>7344</v>
      </c>
      <c r="C368" t="s">
        <v>74</v>
      </c>
      <c r="D368" t="s">
        <v>74</v>
      </c>
      <c r="E368" t="s">
        <v>74</v>
      </c>
      <c r="F368" t="s">
        <v>7345</v>
      </c>
      <c r="G368" t="s">
        <v>74</v>
      </c>
      <c r="H368" t="s">
        <v>74</v>
      </c>
      <c r="I368" t="s">
        <v>7346</v>
      </c>
      <c r="J368" t="s">
        <v>2678</v>
      </c>
      <c r="K368" t="s">
        <v>74</v>
      </c>
      <c r="L368" t="s">
        <v>74</v>
      </c>
      <c r="M368" t="s">
        <v>78</v>
      </c>
      <c r="N368" t="s">
        <v>79</v>
      </c>
      <c r="O368" t="s">
        <v>74</v>
      </c>
      <c r="P368" t="s">
        <v>74</v>
      </c>
      <c r="Q368" t="s">
        <v>74</v>
      </c>
      <c r="R368" t="s">
        <v>74</v>
      </c>
      <c r="S368" t="s">
        <v>74</v>
      </c>
      <c r="T368" t="s">
        <v>7347</v>
      </c>
      <c r="U368" t="s">
        <v>7348</v>
      </c>
      <c r="V368" t="s">
        <v>7349</v>
      </c>
      <c r="W368" t="s">
        <v>7350</v>
      </c>
      <c r="X368" t="s">
        <v>7351</v>
      </c>
      <c r="Y368" t="s">
        <v>7352</v>
      </c>
      <c r="Z368" t="s">
        <v>7353</v>
      </c>
      <c r="AA368" t="s">
        <v>7354</v>
      </c>
      <c r="AB368" t="s">
        <v>7355</v>
      </c>
      <c r="AC368" t="s">
        <v>7356</v>
      </c>
      <c r="AD368" t="s">
        <v>7357</v>
      </c>
      <c r="AE368" t="s">
        <v>7358</v>
      </c>
      <c r="AF368" t="s">
        <v>74</v>
      </c>
      <c r="AG368">
        <v>77</v>
      </c>
      <c r="AH368">
        <v>36</v>
      </c>
      <c r="AI368">
        <v>38</v>
      </c>
      <c r="AJ368">
        <v>1</v>
      </c>
      <c r="AK368">
        <v>16</v>
      </c>
      <c r="AL368" t="s">
        <v>568</v>
      </c>
      <c r="AM368" t="s">
        <v>447</v>
      </c>
      <c r="AN368" t="s">
        <v>569</v>
      </c>
      <c r="AO368" t="s">
        <v>2691</v>
      </c>
      <c r="AP368" t="s">
        <v>2692</v>
      </c>
      <c r="AQ368" t="s">
        <v>74</v>
      </c>
      <c r="AR368" t="s">
        <v>2693</v>
      </c>
      <c r="AS368" t="s">
        <v>2694</v>
      </c>
      <c r="AT368" t="s">
        <v>5362</v>
      </c>
      <c r="AU368">
        <v>2014</v>
      </c>
      <c r="AV368">
        <v>119</v>
      </c>
      <c r="AW368">
        <v>2</v>
      </c>
      <c r="AX368" t="s">
        <v>74</v>
      </c>
      <c r="AY368" t="s">
        <v>74</v>
      </c>
      <c r="AZ368" t="s">
        <v>74</v>
      </c>
      <c r="BA368" t="s">
        <v>74</v>
      </c>
      <c r="BB368">
        <v>247</v>
      </c>
      <c r="BC368">
        <v>263</v>
      </c>
      <c r="BD368" t="s">
        <v>74</v>
      </c>
      <c r="BE368" t="s">
        <v>7359</v>
      </c>
      <c r="BF368" t="str">
        <f>HYPERLINK("http://dx.doi.org/10.1002/2013JF002934","http://dx.doi.org/10.1002/2013JF002934")</f>
        <v>http://dx.doi.org/10.1002/2013JF002934</v>
      </c>
      <c r="BG368" t="s">
        <v>74</v>
      </c>
      <c r="BH368" t="s">
        <v>74</v>
      </c>
      <c r="BI368">
        <v>17</v>
      </c>
      <c r="BJ368" t="s">
        <v>952</v>
      </c>
      <c r="BK368" t="s">
        <v>101</v>
      </c>
      <c r="BL368" t="s">
        <v>597</v>
      </c>
      <c r="BM368" t="s">
        <v>7342</v>
      </c>
      <c r="BN368" t="s">
        <v>74</v>
      </c>
      <c r="BO368" t="s">
        <v>1418</v>
      </c>
      <c r="BP368" t="s">
        <v>74</v>
      </c>
      <c r="BQ368" t="s">
        <v>74</v>
      </c>
      <c r="BR368" t="s">
        <v>104</v>
      </c>
      <c r="BS368" t="s">
        <v>7360</v>
      </c>
      <c r="BT368" t="str">
        <f>HYPERLINK("https%3A%2F%2Fwww.webofscience.com%2Fwos%2Fwoscc%2Ffull-record%2FWOS:000333032300010","View Full Record in Web of Science")</f>
        <v>View Full Record in Web of Science</v>
      </c>
    </row>
    <row r="369" spans="1:72" x14ac:dyDescent="0.15">
      <c r="A369" t="s">
        <v>72</v>
      </c>
      <c r="B369" t="s">
        <v>7361</v>
      </c>
      <c r="C369" t="s">
        <v>74</v>
      </c>
      <c r="D369" t="s">
        <v>74</v>
      </c>
      <c r="E369" t="s">
        <v>74</v>
      </c>
      <c r="F369" t="s">
        <v>7362</v>
      </c>
      <c r="G369" t="s">
        <v>74</v>
      </c>
      <c r="H369" t="s">
        <v>74</v>
      </c>
      <c r="I369" t="s">
        <v>7363</v>
      </c>
      <c r="J369" t="s">
        <v>2678</v>
      </c>
      <c r="K369" t="s">
        <v>74</v>
      </c>
      <c r="L369" t="s">
        <v>74</v>
      </c>
      <c r="M369" t="s">
        <v>78</v>
      </c>
      <c r="N369" t="s">
        <v>79</v>
      </c>
      <c r="O369" t="s">
        <v>74</v>
      </c>
      <c r="P369" t="s">
        <v>74</v>
      </c>
      <c r="Q369" t="s">
        <v>74</v>
      </c>
      <c r="R369" t="s">
        <v>74</v>
      </c>
      <c r="S369" t="s">
        <v>74</v>
      </c>
      <c r="T369" t="s">
        <v>7364</v>
      </c>
      <c r="U369" t="s">
        <v>7365</v>
      </c>
      <c r="V369" t="s">
        <v>7366</v>
      </c>
      <c r="W369" t="s">
        <v>7367</v>
      </c>
      <c r="X369" t="s">
        <v>7368</v>
      </c>
      <c r="Y369" t="s">
        <v>7369</v>
      </c>
      <c r="Z369" t="s">
        <v>7370</v>
      </c>
      <c r="AA369" t="s">
        <v>7371</v>
      </c>
      <c r="AB369" t="s">
        <v>74</v>
      </c>
      <c r="AC369" t="s">
        <v>7372</v>
      </c>
      <c r="AD369" t="s">
        <v>7373</v>
      </c>
      <c r="AE369" t="s">
        <v>7374</v>
      </c>
      <c r="AF369" t="s">
        <v>74</v>
      </c>
      <c r="AG369">
        <v>25</v>
      </c>
      <c r="AH369">
        <v>34</v>
      </c>
      <c r="AI369">
        <v>41</v>
      </c>
      <c r="AJ369">
        <v>0</v>
      </c>
      <c r="AK369">
        <v>19</v>
      </c>
      <c r="AL369" t="s">
        <v>568</v>
      </c>
      <c r="AM369" t="s">
        <v>447</v>
      </c>
      <c r="AN369" t="s">
        <v>569</v>
      </c>
      <c r="AO369" t="s">
        <v>2691</v>
      </c>
      <c r="AP369" t="s">
        <v>2692</v>
      </c>
      <c r="AQ369" t="s">
        <v>74</v>
      </c>
      <c r="AR369" t="s">
        <v>2693</v>
      </c>
      <c r="AS369" t="s">
        <v>2694</v>
      </c>
      <c r="AT369" t="s">
        <v>5362</v>
      </c>
      <c r="AU369">
        <v>2014</v>
      </c>
      <c r="AV369">
        <v>119</v>
      </c>
      <c r="AW369">
        <v>2</v>
      </c>
      <c r="AX369" t="s">
        <v>74</v>
      </c>
      <c r="AY369" t="s">
        <v>74</v>
      </c>
      <c r="AZ369" t="s">
        <v>74</v>
      </c>
      <c r="BA369" t="s">
        <v>74</v>
      </c>
      <c r="BB369">
        <v>349</v>
      </c>
      <c r="BC369">
        <v>365</v>
      </c>
      <c r="BD369" t="s">
        <v>74</v>
      </c>
      <c r="BE369" t="s">
        <v>7375</v>
      </c>
      <c r="BF369" t="str">
        <f>HYPERLINK("http://dx.doi.org/10.1002/2013JF002898","http://dx.doi.org/10.1002/2013JF002898")</f>
        <v>http://dx.doi.org/10.1002/2013JF002898</v>
      </c>
      <c r="BG369" t="s">
        <v>74</v>
      </c>
      <c r="BH369" t="s">
        <v>74</v>
      </c>
      <c r="BI369">
        <v>17</v>
      </c>
      <c r="BJ369" t="s">
        <v>952</v>
      </c>
      <c r="BK369" t="s">
        <v>101</v>
      </c>
      <c r="BL369" t="s">
        <v>597</v>
      </c>
      <c r="BM369" t="s">
        <v>7342</v>
      </c>
      <c r="BN369" t="s">
        <v>74</v>
      </c>
      <c r="BO369" t="s">
        <v>1244</v>
      </c>
      <c r="BP369" t="s">
        <v>74</v>
      </c>
      <c r="BQ369" t="s">
        <v>74</v>
      </c>
      <c r="BR369" t="s">
        <v>104</v>
      </c>
      <c r="BS369" t="s">
        <v>7376</v>
      </c>
      <c r="BT369" t="str">
        <f>HYPERLINK("https%3A%2F%2Fwww.webofscience.com%2Fwos%2Fwoscc%2Ffull-record%2FWOS:000333032300016","View Full Record in Web of Science")</f>
        <v>View Full Record in Web of Science</v>
      </c>
    </row>
    <row r="370" spans="1:72" x14ac:dyDescent="0.15">
      <c r="A370" t="s">
        <v>72</v>
      </c>
      <c r="B370" t="s">
        <v>7377</v>
      </c>
      <c r="C370" t="s">
        <v>74</v>
      </c>
      <c r="D370" t="s">
        <v>74</v>
      </c>
      <c r="E370" t="s">
        <v>74</v>
      </c>
      <c r="F370" t="s">
        <v>7378</v>
      </c>
      <c r="G370" t="s">
        <v>74</v>
      </c>
      <c r="H370" t="s">
        <v>74</v>
      </c>
      <c r="I370" t="s">
        <v>7379</v>
      </c>
      <c r="J370" t="s">
        <v>768</v>
      </c>
      <c r="K370" t="s">
        <v>74</v>
      </c>
      <c r="L370" t="s">
        <v>74</v>
      </c>
      <c r="M370" t="s">
        <v>78</v>
      </c>
      <c r="N370" t="s">
        <v>79</v>
      </c>
      <c r="O370" t="s">
        <v>74</v>
      </c>
      <c r="P370" t="s">
        <v>74</v>
      </c>
      <c r="Q370" t="s">
        <v>74</v>
      </c>
      <c r="R370" t="s">
        <v>74</v>
      </c>
      <c r="S370" t="s">
        <v>74</v>
      </c>
      <c r="T370" t="s">
        <v>74</v>
      </c>
      <c r="U370" t="s">
        <v>7380</v>
      </c>
      <c r="V370" t="s">
        <v>7381</v>
      </c>
      <c r="W370" t="s">
        <v>7382</v>
      </c>
      <c r="X370" t="s">
        <v>7383</v>
      </c>
      <c r="Y370" t="s">
        <v>7384</v>
      </c>
      <c r="Z370" t="s">
        <v>7385</v>
      </c>
      <c r="AA370" t="s">
        <v>7386</v>
      </c>
      <c r="AB370" t="s">
        <v>7387</v>
      </c>
      <c r="AC370" t="s">
        <v>7388</v>
      </c>
      <c r="AD370" t="s">
        <v>191</v>
      </c>
      <c r="AE370" t="s">
        <v>74</v>
      </c>
      <c r="AF370" t="s">
        <v>74</v>
      </c>
      <c r="AG370">
        <v>38</v>
      </c>
      <c r="AH370">
        <v>17</v>
      </c>
      <c r="AI370">
        <v>18</v>
      </c>
      <c r="AJ370">
        <v>2</v>
      </c>
      <c r="AK370">
        <v>14</v>
      </c>
      <c r="AL370" t="s">
        <v>568</v>
      </c>
      <c r="AM370" t="s">
        <v>447</v>
      </c>
      <c r="AN370" t="s">
        <v>569</v>
      </c>
      <c r="AO370" t="s">
        <v>780</v>
      </c>
      <c r="AP370" t="s">
        <v>781</v>
      </c>
      <c r="AQ370" t="s">
        <v>74</v>
      </c>
      <c r="AR370" t="s">
        <v>782</v>
      </c>
      <c r="AS370" t="s">
        <v>783</v>
      </c>
      <c r="AT370" t="s">
        <v>5362</v>
      </c>
      <c r="AU370">
        <v>2014</v>
      </c>
      <c r="AV370">
        <v>119</v>
      </c>
      <c r="AW370">
        <v>2</v>
      </c>
      <c r="AX370" t="s">
        <v>74</v>
      </c>
      <c r="AY370" t="s">
        <v>74</v>
      </c>
      <c r="AZ370" t="s">
        <v>74</v>
      </c>
      <c r="BA370" t="s">
        <v>74</v>
      </c>
      <c r="BB370">
        <v>995</v>
      </c>
      <c r="BC370">
        <v>1008</v>
      </c>
      <c r="BD370" t="s">
        <v>74</v>
      </c>
      <c r="BE370" t="s">
        <v>7389</v>
      </c>
      <c r="BF370" t="str">
        <f>HYPERLINK("http://dx.doi.org/10.1002/2013JC009208","http://dx.doi.org/10.1002/2013JC009208")</f>
        <v>http://dx.doi.org/10.1002/2013JC009208</v>
      </c>
      <c r="BG370" t="s">
        <v>74</v>
      </c>
      <c r="BH370" t="s">
        <v>74</v>
      </c>
      <c r="BI370">
        <v>14</v>
      </c>
      <c r="BJ370" t="s">
        <v>785</v>
      </c>
      <c r="BK370" t="s">
        <v>101</v>
      </c>
      <c r="BL370" t="s">
        <v>785</v>
      </c>
      <c r="BM370" t="s">
        <v>5407</v>
      </c>
      <c r="BN370" t="s">
        <v>74</v>
      </c>
      <c r="BO370" t="s">
        <v>1855</v>
      </c>
      <c r="BP370" t="s">
        <v>74</v>
      </c>
      <c r="BQ370" t="s">
        <v>74</v>
      </c>
      <c r="BR370" t="s">
        <v>104</v>
      </c>
      <c r="BS370" t="s">
        <v>7390</v>
      </c>
      <c r="BT370" t="str">
        <f>HYPERLINK("https%3A%2F%2Fwww.webofscience.com%2Fwos%2Fwoscc%2Ffull-record%2FWOS:000336261200022","View Full Record in Web of Science")</f>
        <v>View Full Record in Web of Science</v>
      </c>
    </row>
    <row r="371" spans="1:72" x14ac:dyDescent="0.15">
      <c r="A371" t="s">
        <v>72</v>
      </c>
      <c r="B371" t="s">
        <v>7391</v>
      </c>
      <c r="C371" t="s">
        <v>74</v>
      </c>
      <c r="D371" t="s">
        <v>74</v>
      </c>
      <c r="E371" t="s">
        <v>74</v>
      </c>
      <c r="F371" t="s">
        <v>7392</v>
      </c>
      <c r="G371" t="s">
        <v>74</v>
      </c>
      <c r="H371" t="s">
        <v>74</v>
      </c>
      <c r="I371" t="s">
        <v>7393</v>
      </c>
      <c r="J371" t="s">
        <v>768</v>
      </c>
      <c r="K371" t="s">
        <v>74</v>
      </c>
      <c r="L371" t="s">
        <v>74</v>
      </c>
      <c r="M371" t="s">
        <v>78</v>
      </c>
      <c r="N371" t="s">
        <v>79</v>
      </c>
      <c r="O371" t="s">
        <v>74</v>
      </c>
      <c r="P371" t="s">
        <v>74</v>
      </c>
      <c r="Q371" t="s">
        <v>74</v>
      </c>
      <c r="R371" t="s">
        <v>74</v>
      </c>
      <c r="S371" t="s">
        <v>74</v>
      </c>
      <c r="T371" t="s">
        <v>74</v>
      </c>
      <c r="U371" t="s">
        <v>7394</v>
      </c>
      <c r="V371" t="s">
        <v>7395</v>
      </c>
      <c r="W371" t="s">
        <v>7396</v>
      </c>
      <c r="X371" t="s">
        <v>7397</v>
      </c>
      <c r="Y371" t="s">
        <v>7398</v>
      </c>
      <c r="Z371" t="s">
        <v>7399</v>
      </c>
      <c r="AA371" t="s">
        <v>7400</v>
      </c>
      <c r="AB371" t="s">
        <v>7401</v>
      </c>
      <c r="AC371" t="s">
        <v>7402</v>
      </c>
      <c r="AD371" t="s">
        <v>7403</v>
      </c>
      <c r="AE371" t="s">
        <v>7404</v>
      </c>
      <c r="AF371" t="s">
        <v>74</v>
      </c>
      <c r="AG371">
        <v>106</v>
      </c>
      <c r="AH371">
        <v>121</v>
      </c>
      <c r="AI371">
        <v>130</v>
      </c>
      <c r="AJ371">
        <v>0</v>
      </c>
      <c r="AK371">
        <v>38</v>
      </c>
      <c r="AL371" t="s">
        <v>568</v>
      </c>
      <c r="AM371" t="s">
        <v>447</v>
      </c>
      <c r="AN371" t="s">
        <v>569</v>
      </c>
      <c r="AO371" t="s">
        <v>780</v>
      </c>
      <c r="AP371" t="s">
        <v>781</v>
      </c>
      <c r="AQ371" t="s">
        <v>74</v>
      </c>
      <c r="AR371" t="s">
        <v>782</v>
      </c>
      <c r="AS371" t="s">
        <v>783</v>
      </c>
      <c r="AT371" t="s">
        <v>5362</v>
      </c>
      <c r="AU371">
        <v>2014</v>
      </c>
      <c r="AV371">
        <v>119</v>
      </c>
      <c r="AW371">
        <v>2</v>
      </c>
      <c r="AX371" t="s">
        <v>74</v>
      </c>
      <c r="AY371" t="s">
        <v>74</v>
      </c>
      <c r="AZ371" t="s">
        <v>74</v>
      </c>
      <c r="BA371" t="s">
        <v>74</v>
      </c>
      <c r="BB371">
        <v>1383</v>
      </c>
      <c r="BC371">
        <v>1419</v>
      </c>
      <c r="BD371" t="s">
        <v>74</v>
      </c>
      <c r="BE371" t="s">
        <v>7405</v>
      </c>
      <c r="BF371" t="str">
        <f>HYPERLINK("http://dx.doi.org/10.1002/2013JC008979","http://dx.doi.org/10.1002/2013JC008979")</f>
        <v>http://dx.doi.org/10.1002/2013JC008979</v>
      </c>
      <c r="BG371" t="s">
        <v>74</v>
      </c>
      <c r="BH371" t="s">
        <v>74</v>
      </c>
      <c r="BI371">
        <v>37</v>
      </c>
      <c r="BJ371" t="s">
        <v>785</v>
      </c>
      <c r="BK371" t="s">
        <v>101</v>
      </c>
      <c r="BL371" t="s">
        <v>785</v>
      </c>
      <c r="BM371" t="s">
        <v>5407</v>
      </c>
      <c r="BN371" t="s">
        <v>74</v>
      </c>
      <c r="BO371" t="s">
        <v>1855</v>
      </c>
      <c r="BP371" t="s">
        <v>74</v>
      </c>
      <c r="BQ371" t="s">
        <v>74</v>
      </c>
      <c r="BR371" t="s">
        <v>104</v>
      </c>
      <c r="BS371" t="s">
        <v>7406</v>
      </c>
      <c r="BT371" t="str">
        <f>HYPERLINK("https%3A%2F%2Fwww.webofscience.com%2Fwos%2Fwoscc%2Ffull-record%2FWOS:000336261200043","View Full Record in Web of Science")</f>
        <v>View Full Record in Web of Science</v>
      </c>
    </row>
    <row r="372" spans="1:72" x14ac:dyDescent="0.15">
      <c r="A372" t="s">
        <v>72</v>
      </c>
      <c r="B372" t="s">
        <v>7407</v>
      </c>
      <c r="C372" t="s">
        <v>74</v>
      </c>
      <c r="D372" t="s">
        <v>74</v>
      </c>
      <c r="E372" t="s">
        <v>74</v>
      </c>
      <c r="F372" t="s">
        <v>7408</v>
      </c>
      <c r="G372" t="s">
        <v>74</v>
      </c>
      <c r="H372" t="s">
        <v>74</v>
      </c>
      <c r="I372" t="s">
        <v>7409</v>
      </c>
      <c r="J372" t="s">
        <v>817</v>
      </c>
      <c r="K372" t="s">
        <v>74</v>
      </c>
      <c r="L372" t="s">
        <v>74</v>
      </c>
      <c r="M372" t="s">
        <v>78</v>
      </c>
      <c r="N372" t="s">
        <v>79</v>
      </c>
      <c r="O372" t="s">
        <v>74</v>
      </c>
      <c r="P372" t="s">
        <v>74</v>
      </c>
      <c r="Q372" t="s">
        <v>74</v>
      </c>
      <c r="R372" t="s">
        <v>74</v>
      </c>
      <c r="S372" t="s">
        <v>74</v>
      </c>
      <c r="T372" t="s">
        <v>7410</v>
      </c>
      <c r="U372" t="s">
        <v>7411</v>
      </c>
      <c r="V372" t="s">
        <v>7412</v>
      </c>
      <c r="W372" t="s">
        <v>7413</v>
      </c>
      <c r="X372" t="s">
        <v>7414</v>
      </c>
      <c r="Y372" t="s">
        <v>7415</v>
      </c>
      <c r="Z372" t="s">
        <v>7416</v>
      </c>
      <c r="AA372" t="s">
        <v>7417</v>
      </c>
      <c r="AB372" t="s">
        <v>7418</v>
      </c>
      <c r="AC372" t="s">
        <v>7419</v>
      </c>
      <c r="AD372" t="s">
        <v>7420</v>
      </c>
      <c r="AE372" t="s">
        <v>7421</v>
      </c>
      <c r="AF372" t="s">
        <v>74</v>
      </c>
      <c r="AG372">
        <v>27</v>
      </c>
      <c r="AH372">
        <v>4</v>
      </c>
      <c r="AI372">
        <v>4</v>
      </c>
      <c r="AJ372">
        <v>1</v>
      </c>
      <c r="AK372">
        <v>5</v>
      </c>
      <c r="AL372" t="s">
        <v>568</v>
      </c>
      <c r="AM372" t="s">
        <v>447</v>
      </c>
      <c r="AN372" t="s">
        <v>569</v>
      </c>
      <c r="AO372" t="s">
        <v>830</v>
      </c>
      <c r="AP372" t="s">
        <v>831</v>
      </c>
      <c r="AQ372" t="s">
        <v>74</v>
      </c>
      <c r="AR372" t="s">
        <v>832</v>
      </c>
      <c r="AS372" t="s">
        <v>833</v>
      </c>
      <c r="AT372" t="s">
        <v>5362</v>
      </c>
      <c r="AU372">
        <v>2014</v>
      </c>
      <c r="AV372">
        <v>119</v>
      </c>
      <c r="AW372">
        <v>2</v>
      </c>
      <c r="AX372" t="s">
        <v>74</v>
      </c>
      <c r="AY372" t="s">
        <v>74</v>
      </c>
      <c r="AZ372" t="s">
        <v>74</v>
      </c>
      <c r="BA372" t="s">
        <v>74</v>
      </c>
      <c r="BB372">
        <v>761</v>
      </c>
      <c r="BC372">
        <v>769</v>
      </c>
      <c r="BD372" t="s">
        <v>74</v>
      </c>
      <c r="BE372" t="s">
        <v>7422</v>
      </c>
      <c r="BF372" t="str">
        <f>HYPERLINK("http://dx.doi.org/10.1002/2013JA019512","http://dx.doi.org/10.1002/2013JA019512")</f>
        <v>http://dx.doi.org/10.1002/2013JA019512</v>
      </c>
      <c r="BG372" t="s">
        <v>74</v>
      </c>
      <c r="BH372" t="s">
        <v>74</v>
      </c>
      <c r="BI372">
        <v>9</v>
      </c>
      <c r="BJ372" t="s">
        <v>332</v>
      </c>
      <c r="BK372" t="s">
        <v>101</v>
      </c>
      <c r="BL372" t="s">
        <v>332</v>
      </c>
      <c r="BM372" t="s">
        <v>7423</v>
      </c>
      <c r="BN372" t="s">
        <v>74</v>
      </c>
      <c r="BO372" t="s">
        <v>200</v>
      </c>
      <c r="BP372" t="s">
        <v>74</v>
      </c>
      <c r="BQ372" t="s">
        <v>74</v>
      </c>
      <c r="BR372" t="s">
        <v>104</v>
      </c>
      <c r="BS372" t="s">
        <v>7424</v>
      </c>
      <c r="BT372" t="str">
        <f>HYPERLINK("https%3A%2F%2Fwww.webofscience.com%2Fwos%2Fwoscc%2Ffull-record%2FWOS:000333041000010","View Full Record in Web of Science")</f>
        <v>View Full Record in Web of Science</v>
      </c>
    </row>
    <row r="373" spans="1:72" x14ac:dyDescent="0.15">
      <c r="A373" t="s">
        <v>72</v>
      </c>
      <c r="B373" t="s">
        <v>7425</v>
      </c>
      <c r="C373" t="s">
        <v>74</v>
      </c>
      <c r="D373" t="s">
        <v>74</v>
      </c>
      <c r="E373" t="s">
        <v>74</v>
      </c>
      <c r="F373" t="s">
        <v>7426</v>
      </c>
      <c r="G373" t="s">
        <v>74</v>
      </c>
      <c r="H373" t="s">
        <v>74</v>
      </c>
      <c r="I373" t="s">
        <v>7427</v>
      </c>
      <c r="J373" t="s">
        <v>6638</v>
      </c>
      <c r="K373" t="s">
        <v>74</v>
      </c>
      <c r="L373" t="s">
        <v>74</v>
      </c>
      <c r="M373" t="s">
        <v>78</v>
      </c>
      <c r="N373" t="s">
        <v>79</v>
      </c>
      <c r="O373" t="s">
        <v>74</v>
      </c>
      <c r="P373" t="s">
        <v>74</v>
      </c>
      <c r="Q373" t="s">
        <v>74</v>
      </c>
      <c r="R373" t="s">
        <v>74</v>
      </c>
      <c r="S373" t="s">
        <v>74</v>
      </c>
      <c r="T373" t="s">
        <v>7428</v>
      </c>
      <c r="U373" t="s">
        <v>7429</v>
      </c>
      <c r="V373" t="s">
        <v>7430</v>
      </c>
      <c r="W373" t="s">
        <v>7431</v>
      </c>
      <c r="X373" t="s">
        <v>7432</v>
      </c>
      <c r="Y373" t="s">
        <v>7433</v>
      </c>
      <c r="Z373" t="s">
        <v>7434</v>
      </c>
      <c r="AA373" t="s">
        <v>7435</v>
      </c>
      <c r="AB373" t="s">
        <v>7436</v>
      </c>
      <c r="AC373" t="s">
        <v>7437</v>
      </c>
      <c r="AD373" t="s">
        <v>7438</v>
      </c>
      <c r="AE373" t="s">
        <v>7439</v>
      </c>
      <c r="AF373" t="s">
        <v>74</v>
      </c>
      <c r="AG373">
        <v>57</v>
      </c>
      <c r="AH373">
        <v>7</v>
      </c>
      <c r="AI373">
        <v>9</v>
      </c>
      <c r="AJ373">
        <v>0</v>
      </c>
      <c r="AK373">
        <v>45</v>
      </c>
      <c r="AL373" t="s">
        <v>145</v>
      </c>
      <c r="AM373" t="s">
        <v>146</v>
      </c>
      <c r="AN373" t="s">
        <v>147</v>
      </c>
      <c r="AO373" t="s">
        <v>6648</v>
      </c>
      <c r="AP373" t="s">
        <v>6649</v>
      </c>
      <c r="AQ373" t="s">
        <v>74</v>
      </c>
      <c r="AR373" t="s">
        <v>6650</v>
      </c>
      <c r="AS373" t="s">
        <v>6651</v>
      </c>
      <c r="AT373" t="s">
        <v>5362</v>
      </c>
      <c r="AU373">
        <v>2014</v>
      </c>
      <c r="AV373">
        <v>70</v>
      </c>
      <c r="AW373">
        <v>1</v>
      </c>
      <c r="AX373" t="s">
        <v>74</v>
      </c>
      <c r="AY373" t="s">
        <v>74</v>
      </c>
      <c r="AZ373" t="s">
        <v>74</v>
      </c>
      <c r="BA373" t="s">
        <v>74</v>
      </c>
      <c r="BB373">
        <v>1</v>
      </c>
      <c r="BC373">
        <v>10</v>
      </c>
      <c r="BD373" t="s">
        <v>74</v>
      </c>
      <c r="BE373" t="s">
        <v>7440</v>
      </c>
      <c r="BF373" t="str">
        <f>HYPERLINK("http://dx.doi.org/10.1007/s10872-013-0207-3","http://dx.doi.org/10.1007/s10872-013-0207-3")</f>
        <v>http://dx.doi.org/10.1007/s10872-013-0207-3</v>
      </c>
      <c r="BG373" t="s">
        <v>74</v>
      </c>
      <c r="BH373" t="s">
        <v>74</v>
      </c>
      <c r="BI373">
        <v>10</v>
      </c>
      <c r="BJ373" t="s">
        <v>785</v>
      </c>
      <c r="BK373" t="s">
        <v>101</v>
      </c>
      <c r="BL373" t="s">
        <v>785</v>
      </c>
      <c r="BM373" t="s">
        <v>6653</v>
      </c>
      <c r="BN373" t="s">
        <v>74</v>
      </c>
      <c r="BO373" t="s">
        <v>74</v>
      </c>
      <c r="BP373" t="s">
        <v>74</v>
      </c>
      <c r="BQ373" t="s">
        <v>74</v>
      </c>
      <c r="BR373" t="s">
        <v>104</v>
      </c>
      <c r="BS373" t="s">
        <v>7441</v>
      </c>
      <c r="BT373" t="str">
        <f>HYPERLINK("https%3A%2F%2Fwww.webofscience.com%2Fwos%2Fwoscc%2Ffull-record%2FWOS:000330352300001","View Full Record in Web of Science")</f>
        <v>View Full Record in Web of Science</v>
      </c>
    </row>
    <row r="374" spans="1:72" x14ac:dyDescent="0.15">
      <c r="A374" t="s">
        <v>72</v>
      </c>
      <c r="B374" t="s">
        <v>7442</v>
      </c>
      <c r="C374" t="s">
        <v>74</v>
      </c>
      <c r="D374" t="s">
        <v>74</v>
      </c>
      <c r="E374" t="s">
        <v>74</v>
      </c>
      <c r="F374" t="s">
        <v>7443</v>
      </c>
      <c r="G374" t="s">
        <v>74</v>
      </c>
      <c r="H374" t="s">
        <v>74</v>
      </c>
      <c r="I374" t="s">
        <v>7444</v>
      </c>
      <c r="J374" t="s">
        <v>863</v>
      </c>
      <c r="K374" t="s">
        <v>74</v>
      </c>
      <c r="L374" t="s">
        <v>74</v>
      </c>
      <c r="M374" t="s">
        <v>78</v>
      </c>
      <c r="N374" t="s">
        <v>79</v>
      </c>
      <c r="O374" t="s">
        <v>74</v>
      </c>
      <c r="P374" t="s">
        <v>74</v>
      </c>
      <c r="Q374" t="s">
        <v>74</v>
      </c>
      <c r="R374" t="s">
        <v>74</v>
      </c>
      <c r="S374" t="s">
        <v>74</v>
      </c>
      <c r="T374" t="s">
        <v>7445</v>
      </c>
      <c r="U374" t="s">
        <v>7446</v>
      </c>
      <c r="V374" t="s">
        <v>7447</v>
      </c>
      <c r="W374" t="s">
        <v>7448</v>
      </c>
      <c r="X374" t="s">
        <v>7449</v>
      </c>
      <c r="Y374" t="s">
        <v>7450</v>
      </c>
      <c r="Z374" t="s">
        <v>7451</v>
      </c>
      <c r="AA374" t="s">
        <v>7452</v>
      </c>
      <c r="AB374" t="s">
        <v>7453</v>
      </c>
      <c r="AC374" t="s">
        <v>7454</v>
      </c>
      <c r="AD374" t="s">
        <v>7455</v>
      </c>
      <c r="AE374" t="s">
        <v>7456</v>
      </c>
      <c r="AF374" t="s">
        <v>74</v>
      </c>
      <c r="AG374">
        <v>58</v>
      </c>
      <c r="AH374">
        <v>41</v>
      </c>
      <c r="AI374">
        <v>47</v>
      </c>
      <c r="AJ374">
        <v>1</v>
      </c>
      <c r="AK374">
        <v>22</v>
      </c>
      <c r="AL374" t="s">
        <v>876</v>
      </c>
      <c r="AM374" t="s">
        <v>877</v>
      </c>
      <c r="AN374" t="s">
        <v>878</v>
      </c>
      <c r="AO374" t="s">
        <v>879</v>
      </c>
      <c r="AP374" t="s">
        <v>880</v>
      </c>
      <c r="AQ374" t="s">
        <v>74</v>
      </c>
      <c r="AR374" t="s">
        <v>881</v>
      </c>
      <c r="AS374" t="s">
        <v>882</v>
      </c>
      <c r="AT374" t="s">
        <v>5362</v>
      </c>
      <c r="AU374">
        <v>2014</v>
      </c>
      <c r="AV374">
        <v>44</v>
      </c>
      <c r="AW374">
        <v>2</v>
      </c>
      <c r="AX374" t="s">
        <v>74</v>
      </c>
      <c r="AY374" t="s">
        <v>74</v>
      </c>
      <c r="AZ374" t="s">
        <v>74</v>
      </c>
      <c r="BA374" t="s">
        <v>74</v>
      </c>
      <c r="BB374">
        <v>694</v>
      </c>
      <c r="BC374">
        <v>713</v>
      </c>
      <c r="BD374" t="s">
        <v>74</v>
      </c>
      <c r="BE374" t="s">
        <v>7457</v>
      </c>
      <c r="BF374" t="str">
        <f>HYPERLINK("http://dx.doi.org/10.1175/JPO-D-13-0112.1","http://dx.doi.org/10.1175/JPO-D-13-0112.1")</f>
        <v>http://dx.doi.org/10.1175/JPO-D-13-0112.1</v>
      </c>
      <c r="BG374" t="s">
        <v>74</v>
      </c>
      <c r="BH374" t="s">
        <v>74</v>
      </c>
      <c r="BI374">
        <v>20</v>
      </c>
      <c r="BJ374" t="s">
        <v>785</v>
      </c>
      <c r="BK374" t="s">
        <v>101</v>
      </c>
      <c r="BL374" t="s">
        <v>785</v>
      </c>
      <c r="BM374" t="s">
        <v>6282</v>
      </c>
      <c r="BN374" t="s">
        <v>74</v>
      </c>
      <c r="BO374" t="s">
        <v>200</v>
      </c>
      <c r="BP374" t="s">
        <v>74</v>
      </c>
      <c r="BQ374" t="s">
        <v>74</v>
      </c>
      <c r="BR374" t="s">
        <v>104</v>
      </c>
      <c r="BS374" t="s">
        <v>7458</v>
      </c>
      <c r="BT374" t="str">
        <f>HYPERLINK("https%3A%2F%2Fwww.webofscience.com%2Fwos%2Fwoscc%2Ffull-record%2FWOS:000331024500017","View Full Record in Web of Science")</f>
        <v>View Full Record in Web of Science</v>
      </c>
    </row>
    <row r="375" spans="1:72" x14ac:dyDescent="0.15">
      <c r="A375" t="s">
        <v>72</v>
      </c>
      <c r="B375" t="s">
        <v>7459</v>
      </c>
      <c r="C375" t="s">
        <v>74</v>
      </c>
      <c r="D375" t="s">
        <v>74</v>
      </c>
      <c r="E375" t="s">
        <v>74</v>
      </c>
      <c r="F375" t="s">
        <v>7460</v>
      </c>
      <c r="G375" t="s">
        <v>74</v>
      </c>
      <c r="H375" t="s">
        <v>74</v>
      </c>
      <c r="I375" t="s">
        <v>7461</v>
      </c>
      <c r="J375" t="s">
        <v>863</v>
      </c>
      <c r="K375" t="s">
        <v>74</v>
      </c>
      <c r="L375" t="s">
        <v>74</v>
      </c>
      <c r="M375" t="s">
        <v>78</v>
      </c>
      <c r="N375" t="s">
        <v>79</v>
      </c>
      <c r="O375" t="s">
        <v>74</v>
      </c>
      <c r="P375" t="s">
        <v>74</v>
      </c>
      <c r="Q375" t="s">
        <v>74</v>
      </c>
      <c r="R375" t="s">
        <v>74</v>
      </c>
      <c r="S375" t="s">
        <v>74</v>
      </c>
      <c r="T375" t="s">
        <v>7462</v>
      </c>
      <c r="U375" t="s">
        <v>7463</v>
      </c>
      <c r="V375" t="s">
        <v>7464</v>
      </c>
      <c r="W375" t="s">
        <v>7465</v>
      </c>
      <c r="X375" t="s">
        <v>7466</v>
      </c>
      <c r="Y375" t="s">
        <v>7467</v>
      </c>
      <c r="Z375" t="s">
        <v>7468</v>
      </c>
      <c r="AA375" t="s">
        <v>7469</v>
      </c>
      <c r="AB375" t="s">
        <v>7470</v>
      </c>
      <c r="AC375" t="s">
        <v>7471</v>
      </c>
      <c r="AD375" t="s">
        <v>191</v>
      </c>
      <c r="AE375" t="s">
        <v>74</v>
      </c>
      <c r="AF375" t="s">
        <v>74</v>
      </c>
      <c r="AG375">
        <v>24</v>
      </c>
      <c r="AH375">
        <v>4</v>
      </c>
      <c r="AI375">
        <v>5</v>
      </c>
      <c r="AJ375">
        <v>0</v>
      </c>
      <c r="AK375">
        <v>4</v>
      </c>
      <c r="AL375" t="s">
        <v>876</v>
      </c>
      <c r="AM375" t="s">
        <v>877</v>
      </c>
      <c r="AN375" t="s">
        <v>878</v>
      </c>
      <c r="AO375" t="s">
        <v>879</v>
      </c>
      <c r="AP375" t="s">
        <v>880</v>
      </c>
      <c r="AQ375" t="s">
        <v>74</v>
      </c>
      <c r="AR375" t="s">
        <v>881</v>
      </c>
      <c r="AS375" t="s">
        <v>882</v>
      </c>
      <c r="AT375" t="s">
        <v>5362</v>
      </c>
      <c r="AU375">
        <v>2014</v>
      </c>
      <c r="AV375">
        <v>44</v>
      </c>
      <c r="AW375">
        <v>2</v>
      </c>
      <c r="AX375" t="s">
        <v>74</v>
      </c>
      <c r="AY375" t="s">
        <v>74</v>
      </c>
      <c r="AZ375" t="s">
        <v>74</v>
      </c>
      <c r="BA375" t="s">
        <v>74</v>
      </c>
      <c r="BB375">
        <v>790</v>
      </c>
      <c r="BC375">
        <v>800</v>
      </c>
      <c r="BD375" t="s">
        <v>74</v>
      </c>
      <c r="BE375" t="s">
        <v>7472</v>
      </c>
      <c r="BF375" t="str">
        <f>HYPERLINK("http://dx.doi.org/10.1175/JPO-D-13-0110.1","http://dx.doi.org/10.1175/JPO-D-13-0110.1")</f>
        <v>http://dx.doi.org/10.1175/JPO-D-13-0110.1</v>
      </c>
      <c r="BG375" t="s">
        <v>74</v>
      </c>
      <c r="BH375" t="s">
        <v>74</v>
      </c>
      <c r="BI375">
        <v>11</v>
      </c>
      <c r="BJ375" t="s">
        <v>785</v>
      </c>
      <c r="BK375" t="s">
        <v>101</v>
      </c>
      <c r="BL375" t="s">
        <v>785</v>
      </c>
      <c r="BM375" t="s">
        <v>6282</v>
      </c>
      <c r="BN375" t="s">
        <v>74</v>
      </c>
      <c r="BO375" t="s">
        <v>1855</v>
      </c>
      <c r="BP375" t="s">
        <v>74</v>
      </c>
      <c r="BQ375" t="s">
        <v>74</v>
      </c>
      <c r="BR375" t="s">
        <v>104</v>
      </c>
      <c r="BS375" t="s">
        <v>7473</v>
      </c>
      <c r="BT375" t="str">
        <f>HYPERLINK("https%3A%2F%2Fwww.webofscience.com%2Fwos%2Fwoscc%2Ffull-record%2FWOS:000331024500023","View Full Record in Web of Science")</f>
        <v>View Full Record in Web of Science</v>
      </c>
    </row>
    <row r="376" spans="1:72" x14ac:dyDescent="0.15">
      <c r="A376" t="s">
        <v>72</v>
      </c>
      <c r="B376" t="s">
        <v>7474</v>
      </c>
      <c r="C376" t="s">
        <v>74</v>
      </c>
      <c r="D376" t="s">
        <v>74</v>
      </c>
      <c r="E376" t="s">
        <v>74</v>
      </c>
      <c r="F376" t="s">
        <v>7475</v>
      </c>
      <c r="G376" t="s">
        <v>74</v>
      </c>
      <c r="H376" t="s">
        <v>74</v>
      </c>
      <c r="I376" t="s">
        <v>7476</v>
      </c>
      <c r="J376" t="s">
        <v>7477</v>
      </c>
      <c r="K376" t="s">
        <v>74</v>
      </c>
      <c r="L376" t="s">
        <v>74</v>
      </c>
      <c r="M376" t="s">
        <v>78</v>
      </c>
      <c r="N376" t="s">
        <v>79</v>
      </c>
      <c r="O376" t="s">
        <v>74</v>
      </c>
      <c r="P376" t="s">
        <v>74</v>
      </c>
      <c r="Q376" t="s">
        <v>74</v>
      </c>
      <c r="R376" t="s">
        <v>74</v>
      </c>
      <c r="S376" t="s">
        <v>74</v>
      </c>
      <c r="T376" t="s">
        <v>74</v>
      </c>
      <c r="U376" t="s">
        <v>74</v>
      </c>
      <c r="V376" t="s">
        <v>7478</v>
      </c>
      <c r="W376" t="s">
        <v>74</v>
      </c>
      <c r="X376" t="s">
        <v>74</v>
      </c>
      <c r="Y376" t="s">
        <v>7479</v>
      </c>
      <c r="Z376" t="s">
        <v>7480</v>
      </c>
      <c r="AA376" t="s">
        <v>7481</v>
      </c>
      <c r="AB376" t="s">
        <v>74</v>
      </c>
      <c r="AC376" t="s">
        <v>74</v>
      </c>
      <c r="AD376" t="s">
        <v>74</v>
      </c>
      <c r="AE376" t="s">
        <v>74</v>
      </c>
      <c r="AF376" t="s">
        <v>74</v>
      </c>
      <c r="AG376">
        <v>20</v>
      </c>
      <c r="AH376">
        <v>6</v>
      </c>
      <c r="AI376">
        <v>8</v>
      </c>
      <c r="AJ376">
        <v>0</v>
      </c>
      <c r="AK376">
        <v>3</v>
      </c>
      <c r="AL376" t="s">
        <v>7482</v>
      </c>
      <c r="AM376" t="s">
        <v>7483</v>
      </c>
      <c r="AN376" t="s">
        <v>7484</v>
      </c>
      <c r="AO376" t="s">
        <v>7485</v>
      </c>
      <c r="AP376" t="s">
        <v>7486</v>
      </c>
      <c r="AQ376" t="s">
        <v>74</v>
      </c>
      <c r="AR376" t="s">
        <v>7487</v>
      </c>
      <c r="AS376" t="s">
        <v>7488</v>
      </c>
      <c r="AT376" t="s">
        <v>5362</v>
      </c>
      <c r="AU376">
        <v>2014</v>
      </c>
      <c r="AV376">
        <v>8</v>
      </c>
      <c r="AW376">
        <v>1</v>
      </c>
      <c r="AX376" t="s">
        <v>74</v>
      </c>
      <c r="AY376" t="s">
        <v>74</v>
      </c>
      <c r="AZ376" t="s">
        <v>74</v>
      </c>
      <c r="BA376" t="s">
        <v>74</v>
      </c>
      <c r="BB376">
        <v>47</v>
      </c>
      <c r="BC376">
        <v>53</v>
      </c>
      <c r="BD376" t="s">
        <v>74</v>
      </c>
      <c r="BE376" t="s">
        <v>74</v>
      </c>
      <c r="BF376" t="s">
        <v>74</v>
      </c>
      <c r="BG376" t="s">
        <v>74</v>
      </c>
      <c r="BH376" t="s">
        <v>74</v>
      </c>
      <c r="BI376">
        <v>7</v>
      </c>
      <c r="BJ376" t="s">
        <v>3668</v>
      </c>
      <c r="BK376" t="s">
        <v>975</v>
      </c>
      <c r="BL376" t="s">
        <v>3668</v>
      </c>
      <c r="BM376" t="s">
        <v>7489</v>
      </c>
      <c r="BN376" t="s">
        <v>74</v>
      </c>
      <c r="BO376" t="s">
        <v>74</v>
      </c>
      <c r="BP376" t="s">
        <v>74</v>
      </c>
      <c r="BQ376" t="s">
        <v>74</v>
      </c>
      <c r="BR376" t="s">
        <v>104</v>
      </c>
      <c r="BS376" t="s">
        <v>7490</v>
      </c>
      <c r="BT376" t="str">
        <f>HYPERLINK("https%3A%2F%2Fwww.webofscience.com%2Fwos%2Fwoscc%2Ffull-record%2FWOS:000336869500006","View Full Record in Web of Science")</f>
        <v>View Full Record in Web of Science</v>
      </c>
    </row>
    <row r="377" spans="1:72" x14ac:dyDescent="0.15">
      <c r="A377" t="s">
        <v>72</v>
      </c>
      <c r="B377" t="s">
        <v>7491</v>
      </c>
      <c r="C377" t="s">
        <v>74</v>
      </c>
      <c r="D377" t="s">
        <v>74</v>
      </c>
      <c r="E377" t="s">
        <v>74</v>
      </c>
      <c r="F377" t="s">
        <v>7492</v>
      </c>
      <c r="G377" t="s">
        <v>74</v>
      </c>
      <c r="H377" t="s">
        <v>74</v>
      </c>
      <c r="I377" t="s">
        <v>7493</v>
      </c>
      <c r="J377" t="s">
        <v>7494</v>
      </c>
      <c r="K377" t="s">
        <v>74</v>
      </c>
      <c r="L377" t="s">
        <v>74</v>
      </c>
      <c r="M377" t="s">
        <v>78</v>
      </c>
      <c r="N377" t="s">
        <v>79</v>
      </c>
      <c r="O377" t="s">
        <v>74</v>
      </c>
      <c r="P377" t="s">
        <v>74</v>
      </c>
      <c r="Q377" t="s">
        <v>74</v>
      </c>
      <c r="R377" t="s">
        <v>74</v>
      </c>
      <c r="S377" t="s">
        <v>74</v>
      </c>
      <c r="T377" t="s">
        <v>7495</v>
      </c>
      <c r="U377" t="s">
        <v>7496</v>
      </c>
      <c r="V377" t="s">
        <v>7497</v>
      </c>
      <c r="W377" t="s">
        <v>7498</v>
      </c>
      <c r="X377" t="s">
        <v>7499</v>
      </c>
      <c r="Y377" t="s">
        <v>7500</v>
      </c>
      <c r="Z377" t="s">
        <v>7501</v>
      </c>
      <c r="AA377" t="s">
        <v>7502</v>
      </c>
      <c r="AB377" t="s">
        <v>7503</v>
      </c>
      <c r="AC377" t="s">
        <v>7504</v>
      </c>
      <c r="AD377" t="s">
        <v>7505</v>
      </c>
      <c r="AE377" t="s">
        <v>7506</v>
      </c>
      <c r="AF377" t="s">
        <v>74</v>
      </c>
      <c r="AG377">
        <v>55</v>
      </c>
      <c r="AH377">
        <v>233</v>
      </c>
      <c r="AI377">
        <v>273</v>
      </c>
      <c r="AJ377">
        <v>55</v>
      </c>
      <c r="AK377">
        <v>405</v>
      </c>
      <c r="AL377" t="s">
        <v>902</v>
      </c>
      <c r="AM377" t="s">
        <v>653</v>
      </c>
      <c r="AN377" t="s">
        <v>903</v>
      </c>
      <c r="AO377" t="s">
        <v>7507</v>
      </c>
      <c r="AP377" t="s">
        <v>7508</v>
      </c>
      <c r="AQ377" t="s">
        <v>74</v>
      </c>
      <c r="AR377" t="s">
        <v>7509</v>
      </c>
      <c r="AS377" t="s">
        <v>7510</v>
      </c>
      <c r="AT377" t="s">
        <v>5362</v>
      </c>
      <c r="AU377">
        <v>2014</v>
      </c>
      <c r="AV377">
        <v>122</v>
      </c>
      <c r="AW377" t="s">
        <v>74</v>
      </c>
      <c r="AX377" t="s">
        <v>74</v>
      </c>
      <c r="AY377" t="s">
        <v>74</v>
      </c>
      <c r="AZ377" t="s">
        <v>74</v>
      </c>
      <c r="BA377" t="s">
        <v>74</v>
      </c>
      <c r="BB377">
        <v>196</v>
      </c>
      <c r="BC377">
        <v>208</v>
      </c>
      <c r="BD377" t="s">
        <v>74</v>
      </c>
      <c r="BE377" t="s">
        <v>7511</v>
      </c>
      <c r="BF377" t="str">
        <f>HYPERLINK("http://dx.doi.org/10.1016/j.landurbplan.2013.11.007","http://dx.doi.org/10.1016/j.landurbplan.2013.11.007")</f>
        <v>http://dx.doi.org/10.1016/j.landurbplan.2013.11.007</v>
      </c>
      <c r="BG377" t="s">
        <v>74</v>
      </c>
      <c r="BH377" t="s">
        <v>74</v>
      </c>
      <c r="BI377">
        <v>13</v>
      </c>
      <c r="BJ377" t="s">
        <v>7512</v>
      </c>
      <c r="BK377" t="s">
        <v>479</v>
      </c>
      <c r="BL377" t="s">
        <v>7513</v>
      </c>
      <c r="BM377" t="s">
        <v>7514</v>
      </c>
      <c r="BN377" t="s">
        <v>74</v>
      </c>
      <c r="BO377" t="s">
        <v>74</v>
      </c>
      <c r="BP377" t="s">
        <v>811</v>
      </c>
      <c r="BQ377" t="s">
        <v>812</v>
      </c>
      <c r="BR377" t="s">
        <v>104</v>
      </c>
      <c r="BS377" t="s">
        <v>7515</v>
      </c>
      <c r="BT377" t="str">
        <f>HYPERLINK("https%3A%2F%2Fwww.webofscience.com%2Fwos%2Fwoscc%2Ffull-record%2FWOS:000331023100018","View Full Record in Web of Science")</f>
        <v>View Full Record in Web of Science</v>
      </c>
    </row>
    <row r="378" spans="1:72" x14ac:dyDescent="0.15">
      <c r="A378" t="s">
        <v>72</v>
      </c>
      <c r="B378" t="s">
        <v>7516</v>
      </c>
      <c r="C378" t="s">
        <v>74</v>
      </c>
      <c r="D378" t="s">
        <v>74</v>
      </c>
      <c r="E378" t="s">
        <v>74</v>
      </c>
      <c r="F378" t="s">
        <v>7517</v>
      </c>
      <c r="G378" t="s">
        <v>74</v>
      </c>
      <c r="H378" t="s">
        <v>74</v>
      </c>
      <c r="I378" t="s">
        <v>7518</v>
      </c>
      <c r="J378" t="s">
        <v>2627</v>
      </c>
      <c r="K378" t="s">
        <v>74</v>
      </c>
      <c r="L378" t="s">
        <v>74</v>
      </c>
      <c r="M378" t="s">
        <v>78</v>
      </c>
      <c r="N378" t="s">
        <v>79</v>
      </c>
      <c r="O378" t="s">
        <v>74</v>
      </c>
      <c r="P378" t="s">
        <v>74</v>
      </c>
      <c r="Q378" t="s">
        <v>74</v>
      </c>
      <c r="R378" t="s">
        <v>74</v>
      </c>
      <c r="S378" t="s">
        <v>74</v>
      </c>
      <c r="T378" t="s">
        <v>7519</v>
      </c>
      <c r="U378" t="s">
        <v>7520</v>
      </c>
      <c r="V378" t="s">
        <v>7521</v>
      </c>
      <c r="W378" t="s">
        <v>7522</v>
      </c>
      <c r="X378" t="s">
        <v>7523</v>
      </c>
      <c r="Y378" t="s">
        <v>7524</v>
      </c>
      <c r="Z378" t="s">
        <v>7525</v>
      </c>
      <c r="AA378" t="s">
        <v>7526</v>
      </c>
      <c r="AB378" t="s">
        <v>7527</v>
      </c>
      <c r="AC378" t="s">
        <v>7528</v>
      </c>
      <c r="AD378" t="s">
        <v>7529</v>
      </c>
      <c r="AE378" t="s">
        <v>7530</v>
      </c>
      <c r="AF378" t="s">
        <v>74</v>
      </c>
      <c r="AG378">
        <v>90</v>
      </c>
      <c r="AH378">
        <v>31</v>
      </c>
      <c r="AI378">
        <v>36</v>
      </c>
      <c r="AJ378">
        <v>1</v>
      </c>
      <c r="AK378">
        <v>38</v>
      </c>
      <c r="AL378" t="s">
        <v>652</v>
      </c>
      <c r="AM378" t="s">
        <v>653</v>
      </c>
      <c r="AN378" t="s">
        <v>654</v>
      </c>
      <c r="AO378" t="s">
        <v>2640</v>
      </c>
      <c r="AP378" t="s">
        <v>2641</v>
      </c>
      <c r="AQ378" t="s">
        <v>74</v>
      </c>
      <c r="AR378" t="s">
        <v>2642</v>
      </c>
      <c r="AS378" t="s">
        <v>2643</v>
      </c>
      <c r="AT378" t="s">
        <v>5936</v>
      </c>
      <c r="AU378">
        <v>2014</v>
      </c>
      <c r="AV378">
        <v>348</v>
      </c>
      <c r="AW378" t="s">
        <v>74</v>
      </c>
      <c r="AX378" t="s">
        <v>74</v>
      </c>
      <c r="AY378" t="s">
        <v>74</v>
      </c>
      <c r="AZ378" t="s">
        <v>74</v>
      </c>
      <c r="BA378" t="s">
        <v>74</v>
      </c>
      <c r="BB378">
        <v>73</v>
      </c>
      <c r="BC378">
        <v>87</v>
      </c>
      <c r="BD378" t="s">
        <v>74</v>
      </c>
      <c r="BE378" t="s">
        <v>7531</v>
      </c>
      <c r="BF378" t="str">
        <f>HYPERLINK("http://dx.doi.org/10.1016/j.margeo.2013.12.002","http://dx.doi.org/10.1016/j.margeo.2013.12.002")</f>
        <v>http://dx.doi.org/10.1016/j.margeo.2013.12.002</v>
      </c>
      <c r="BG378" t="s">
        <v>74</v>
      </c>
      <c r="BH378" t="s">
        <v>74</v>
      </c>
      <c r="BI378">
        <v>15</v>
      </c>
      <c r="BJ378" t="s">
        <v>2646</v>
      </c>
      <c r="BK378" t="s">
        <v>101</v>
      </c>
      <c r="BL378" t="s">
        <v>2647</v>
      </c>
      <c r="BM378" t="s">
        <v>6333</v>
      </c>
      <c r="BN378" t="s">
        <v>74</v>
      </c>
      <c r="BO378" t="s">
        <v>7532</v>
      </c>
      <c r="BP378" t="s">
        <v>74</v>
      </c>
      <c r="BQ378" t="s">
        <v>74</v>
      </c>
      <c r="BR378" t="s">
        <v>104</v>
      </c>
      <c r="BS378" t="s">
        <v>7533</v>
      </c>
      <c r="BT378" t="str">
        <f>HYPERLINK("https%3A%2F%2Fwww.webofscience.com%2Fwos%2Fwoscc%2Ffull-record%2FWOS:000331681400008","View Full Record in Web of Science")</f>
        <v>View Full Record in Web of Science</v>
      </c>
    </row>
    <row r="379" spans="1:72" x14ac:dyDescent="0.15">
      <c r="A379" t="s">
        <v>72</v>
      </c>
      <c r="B379" t="s">
        <v>7534</v>
      </c>
      <c r="C379" t="s">
        <v>74</v>
      </c>
      <c r="D379" t="s">
        <v>74</v>
      </c>
      <c r="E379" t="s">
        <v>74</v>
      </c>
      <c r="F379" t="s">
        <v>7535</v>
      </c>
      <c r="G379" t="s">
        <v>74</v>
      </c>
      <c r="H379" t="s">
        <v>74</v>
      </c>
      <c r="I379" t="s">
        <v>7536</v>
      </c>
      <c r="J379" t="s">
        <v>7537</v>
      </c>
      <c r="K379" t="s">
        <v>74</v>
      </c>
      <c r="L379" t="s">
        <v>74</v>
      </c>
      <c r="M379" t="s">
        <v>78</v>
      </c>
      <c r="N379" t="s">
        <v>79</v>
      </c>
      <c r="O379" t="s">
        <v>74</v>
      </c>
      <c r="P379" t="s">
        <v>74</v>
      </c>
      <c r="Q379" t="s">
        <v>74</v>
      </c>
      <c r="R379" t="s">
        <v>74</v>
      </c>
      <c r="S379" t="s">
        <v>74</v>
      </c>
      <c r="T379" t="s">
        <v>7538</v>
      </c>
      <c r="U379" t="s">
        <v>7539</v>
      </c>
      <c r="V379" t="s">
        <v>7540</v>
      </c>
      <c r="W379" t="s">
        <v>7541</v>
      </c>
      <c r="X379" t="s">
        <v>7542</v>
      </c>
      <c r="Y379" t="s">
        <v>7543</v>
      </c>
      <c r="Z379" t="s">
        <v>7544</v>
      </c>
      <c r="AA379" t="s">
        <v>7545</v>
      </c>
      <c r="AB379" t="s">
        <v>7546</v>
      </c>
      <c r="AC379" t="s">
        <v>7547</v>
      </c>
      <c r="AD379" t="s">
        <v>7548</v>
      </c>
      <c r="AE379" t="s">
        <v>7549</v>
      </c>
      <c r="AF379" t="s">
        <v>74</v>
      </c>
      <c r="AG379">
        <v>32</v>
      </c>
      <c r="AH379">
        <v>36</v>
      </c>
      <c r="AI379">
        <v>40</v>
      </c>
      <c r="AJ379">
        <v>1</v>
      </c>
      <c r="AK379">
        <v>35</v>
      </c>
      <c r="AL379" t="s">
        <v>145</v>
      </c>
      <c r="AM379" t="s">
        <v>92</v>
      </c>
      <c r="AN379" t="s">
        <v>3045</v>
      </c>
      <c r="AO379" t="s">
        <v>7550</v>
      </c>
      <c r="AP379" t="s">
        <v>7551</v>
      </c>
      <c r="AQ379" t="s">
        <v>74</v>
      </c>
      <c r="AR379" t="s">
        <v>7537</v>
      </c>
      <c r="AS379" t="s">
        <v>7552</v>
      </c>
      <c r="AT379" t="s">
        <v>5362</v>
      </c>
      <c r="AU379">
        <v>2014</v>
      </c>
      <c r="AV379">
        <v>10</v>
      </c>
      <c r="AW379">
        <v>1</v>
      </c>
      <c r="AX379" t="s">
        <v>74</v>
      </c>
      <c r="AY379" t="s">
        <v>74</v>
      </c>
      <c r="AZ379" t="s">
        <v>74</v>
      </c>
      <c r="BA379" t="s">
        <v>74</v>
      </c>
      <c r="BB379">
        <v>42</v>
      </c>
      <c r="BC379">
        <v>51</v>
      </c>
      <c r="BD379" t="s">
        <v>74</v>
      </c>
      <c r="BE379" t="s">
        <v>7553</v>
      </c>
      <c r="BF379" t="str">
        <f>HYPERLINK("http://dx.doi.org/10.1007/s11306-013-0549-2","http://dx.doi.org/10.1007/s11306-013-0549-2")</f>
        <v>http://dx.doi.org/10.1007/s11306-013-0549-2</v>
      </c>
      <c r="BG379" t="s">
        <v>74</v>
      </c>
      <c r="BH379" t="s">
        <v>74</v>
      </c>
      <c r="BI379">
        <v>10</v>
      </c>
      <c r="BJ379" t="s">
        <v>7554</v>
      </c>
      <c r="BK379" t="s">
        <v>101</v>
      </c>
      <c r="BL379" t="s">
        <v>7554</v>
      </c>
      <c r="BM379" t="s">
        <v>7555</v>
      </c>
      <c r="BN379" t="s">
        <v>74</v>
      </c>
      <c r="BO379" t="s">
        <v>74</v>
      </c>
      <c r="BP379" t="s">
        <v>74</v>
      </c>
      <c r="BQ379" t="s">
        <v>74</v>
      </c>
      <c r="BR379" t="s">
        <v>104</v>
      </c>
      <c r="BS379" t="s">
        <v>7556</v>
      </c>
      <c r="BT379" t="str">
        <f>HYPERLINK("https%3A%2F%2Fwww.webofscience.com%2Fwos%2Fwoscc%2Ffull-record%2FWOS:000330622400006","View Full Record in Web of Science")</f>
        <v>View Full Record in Web of Science</v>
      </c>
    </row>
    <row r="380" spans="1:72" x14ac:dyDescent="0.15">
      <c r="A380" t="s">
        <v>72</v>
      </c>
      <c r="B380" t="s">
        <v>7557</v>
      </c>
      <c r="C380" t="s">
        <v>74</v>
      </c>
      <c r="D380" t="s">
        <v>74</v>
      </c>
      <c r="E380" t="s">
        <v>74</v>
      </c>
      <c r="F380" t="s">
        <v>7558</v>
      </c>
      <c r="G380" t="s">
        <v>74</v>
      </c>
      <c r="H380" t="s">
        <v>74</v>
      </c>
      <c r="I380" t="s">
        <v>7559</v>
      </c>
      <c r="J380" t="s">
        <v>1061</v>
      </c>
      <c r="K380" t="s">
        <v>74</v>
      </c>
      <c r="L380" t="s">
        <v>74</v>
      </c>
      <c r="M380" t="s">
        <v>78</v>
      </c>
      <c r="N380" t="s">
        <v>79</v>
      </c>
      <c r="O380" t="s">
        <v>74</v>
      </c>
      <c r="P380" t="s">
        <v>74</v>
      </c>
      <c r="Q380" t="s">
        <v>74</v>
      </c>
      <c r="R380" t="s">
        <v>74</v>
      </c>
      <c r="S380" t="s">
        <v>74</v>
      </c>
      <c r="T380" t="s">
        <v>74</v>
      </c>
      <c r="U380" t="s">
        <v>7560</v>
      </c>
      <c r="V380" t="s">
        <v>7561</v>
      </c>
      <c r="W380" t="s">
        <v>7562</v>
      </c>
      <c r="X380" t="s">
        <v>7563</v>
      </c>
      <c r="Y380" t="s">
        <v>7564</v>
      </c>
      <c r="Z380" t="s">
        <v>7565</v>
      </c>
      <c r="AA380" t="s">
        <v>7566</v>
      </c>
      <c r="AB380" t="s">
        <v>7567</v>
      </c>
      <c r="AC380" t="s">
        <v>7568</v>
      </c>
      <c r="AD380" t="s">
        <v>7569</v>
      </c>
      <c r="AE380" t="s">
        <v>7570</v>
      </c>
      <c r="AF380" t="s">
        <v>74</v>
      </c>
      <c r="AG380">
        <v>30</v>
      </c>
      <c r="AH380">
        <v>329</v>
      </c>
      <c r="AI380">
        <v>344</v>
      </c>
      <c r="AJ380">
        <v>3</v>
      </c>
      <c r="AK380">
        <v>97</v>
      </c>
      <c r="AL380" t="s">
        <v>1073</v>
      </c>
      <c r="AM380" t="s">
        <v>704</v>
      </c>
      <c r="AN380" t="s">
        <v>1074</v>
      </c>
      <c r="AO380" t="s">
        <v>1075</v>
      </c>
      <c r="AP380" t="s">
        <v>1076</v>
      </c>
      <c r="AQ380" t="s">
        <v>74</v>
      </c>
      <c r="AR380" t="s">
        <v>1077</v>
      </c>
      <c r="AS380" t="s">
        <v>1078</v>
      </c>
      <c r="AT380" t="s">
        <v>5362</v>
      </c>
      <c r="AU380">
        <v>2014</v>
      </c>
      <c r="AV380">
        <v>4</v>
      </c>
      <c r="AW380">
        <v>2</v>
      </c>
      <c r="AX380" t="s">
        <v>74</v>
      </c>
      <c r="AY380" t="s">
        <v>74</v>
      </c>
      <c r="AZ380" t="s">
        <v>74</v>
      </c>
      <c r="BA380" t="s">
        <v>74</v>
      </c>
      <c r="BB380">
        <v>117</v>
      </c>
      <c r="BC380">
        <v>121</v>
      </c>
      <c r="BD380" t="s">
        <v>74</v>
      </c>
      <c r="BE380" t="s">
        <v>7571</v>
      </c>
      <c r="BF380" t="str">
        <f>HYPERLINK("http://dx.doi.org/10.1038/NCLIMATE2094","http://dx.doi.org/10.1038/NCLIMATE2094")</f>
        <v>http://dx.doi.org/10.1038/NCLIMATE2094</v>
      </c>
      <c r="BG380" t="s">
        <v>74</v>
      </c>
      <c r="BH380" t="s">
        <v>74</v>
      </c>
      <c r="BI380">
        <v>5</v>
      </c>
      <c r="BJ380" t="s">
        <v>1080</v>
      </c>
      <c r="BK380" t="s">
        <v>479</v>
      </c>
      <c r="BL380" t="s">
        <v>1081</v>
      </c>
      <c r="BM380" t="s">
        <v>7572</v>
      </c>
      <c r="BN380" t="s">
        <v>74</v>
      </c>
      <c r="BO380" t="s">
        <v>270</v>
      </c>
      <c r="BP380" t="s">
        <v>811</v>
      </c>
      <c r="BQ380" t="s">
        <v>812</v>
      </c>
      <c r="BR380" t="s">
        <v>104</v>
      </c>
      <c r="BS380" t="s">
        <v>7573</v>
      </c>
      <c r="BT380" t="str">
        <f>HYPERLINK("https%3A%2F%2Fwww.webofscience.com%2Fwos%2Fwoscc%2Ffull-record%2FWOS:000333667300015","View Full Record in Web of Science")</f>
        <v>View Full Record in Web of Science</v>
      </c>
    </row>
    <row r="381" spans="1:72" x14ac:dyDescent="0.15">
      <c r="A381" t="s">
        <v>72</v>
      </c>
      <c r="B381" t="s">
        <v>7574</v>
      </c>
      <c r="C381" t="s">
        <v>74</v>
      </c>
      <c r="D381" t="s">
        <v>74</v>
      </c>
      <c r="E381" t="s">
        <v>74</v>
      </c>
      <c r="F381" t="s">
        <v>7575</v>
      </c>
      <c r="G381" t="s">
        <v>74</v>
      </c>
      <c r="H381" t="s">
        <v>74</v>
      </c>
      <c r="I381" t="s">
        <v>7576</v>
      </c>
      <c r="J381" t="s">
        <v>1126</v>
      </c>
      <c r="K381" t="s">
        <v>74</v>
      </c>
      <c r="L381" t="s">
        <v>74</v>
      </c>
      <c r="M381" t="s">
        <v>78</v>
      </c>
      <c r="N381" t="s">
        <v>79</v>
      </c>
      <c r="O381" t="s">
        <v>74</v>
      </c>
      <c r="P381" t="s">
        <v>74</v>
      </c>
      <c r="Q381" t="s">
        <v>74</v>
      </c>
      <c r="R381" t="s">
        <v>74</v>
      </c>
      <c r="S381" t="s">
        <v>74</v>
      </c>
      <c r="T381" t="s">
        <v>74</v>
      </c>
      <c r="U381" t="s">
        <v>7577</v>
      </c>
      <c r="V381" t="s">
        <v>7578</v>
      </c>
      <c r="W381" t="s">
        <v>7579</v>
      </c>
      <c r="X381" t="s">
        <v>7580</v>
      </c>
      <c r="Y381" t="s">
        <v>7581</v>
      </c>
      <c r="Z381" t="s">
        <v>7582</v>
      </c>
      <c r="AA381" t="s">
        <v>7583</v>
      </c>
      <c r="AB381" t="s">
        <v>7584</v>
      </c>
      <c r="AC381" t="s">
        <v>7585</v>
      </c>
      <c r="AD381" t="s">
        <v>7586</v>
      </c>
      <c r="AE381" t="s">
        <v>7587</v>
      </c>
      <c r="AF381" t="s">
        <v>74</v>
      </c>
      <c r="AG381">
        <v>29</v>
      </c>
      <c r="AH381">
        <v>45</v>
      </c>
      <c r="AI381">
        <v>50</v>
      </c>
      <c r="AJ381">
        <v>2</v>
      </c>
      <c r="AK381">
        <v>42</v>
      </c>
      <c r="AL381" t="s">
        <v>1073</v>
      </c>
      <c r="AM381" t="s">
        <v>92</v>
      </c>
      <c r="AN381" t="s">
        <v>1135</v>
      </c>
      <c r="AO381" t="s">
        <v>1136</v>
      </c>
      <c r="AP381" t="s">
        <v>1137</v>
      </c>
      <c r="AQ381" t="s">
        <v>74</v>
      </c>
      <c r="AR381" t="s">
        <v>1138</v>
      </c>
      <c r="AS381" t="s">
        <v>1139</v>
      </c>
      <c r="AT381" t="s">
        <v>5362</v>
      </c>
      <c r="AU381">
        <v>2014</v>
      </c>
      <c r="AV381">
        <v>7</v>
      </c>
      <c r="AW381">
        <v>2</v>
      </c>
      <c r="AX381" t="s">
        <v>74</v>
      </c>
      <c r="AY381" t="s">
        <v>74</v>
      </c>
      <c r="AZ381" t="s">
        <v>74</v>
      </c>
      <c r="BA381" t="s">
        <v>74</v>
      </c>
      <c r="BB381">
        <v>113</v>
      </c>
      <c r="BC381">
        <v>116</v>
      </c>
      <c r="BD381" t="s">
        <v>74</v>
      </c>
      <c r="BE381" t="s">
        <v>7588</v>
      </c>
      <c r="BF381" t="str">
        <f>HYPERLINK("http://dx.doi.org/10.1038/NGEO2037","http://dx.doi.org/10.1038/NGEO2037")</f>
        <v>http://dx.doi.org/10.1038/NGEO2037</v>
      </c>
      <c r="BG381" t="s">
        <v>74</v>
      </c>
      <c r="BH381" t="s">
        <v>74</v>
      </c>
      <c r="BI381">
        <v>4</v>
      </c>
      <c r="BJ381" t="s">
        <v>952</v>
      </c>
      <c r="BK381" t="s">
        <v>101</v>
      </c>
      <c r="BL381" t="s">
        <v>597</v>
      </c>
      <c r="BM381" t="s">
        <v>7589</v>
      </c>
      <c r="BN381" t="s">
        <v>74</v>
      </c>
      <c r="BO381" t="s">
        <v>252</v>
      </c>
      <c r="BP381" t="s">
        <v>74</v>
      </c>
      <c r="BQ381" t="s">
        <v>74</v>
      </c>
      <c r="BR381" t="s">
        <v>104</v>
      </c>
      <c r="BS381" t="s">
        <v>7590</v>
      </c>
      <c r="BT381" t="str">
        <f>HYPERLINK("https%3A%2F%2Fwww.webofscience.com%2Fwos%2Fwoscc%2Ffull-record%2FWOS:000331140800015","View Full Record in Web of Science")</f>
        <v>View Full Record in Web of Science</v>
      </c>
    </row>
    <row r="382" spans="1:72" x14ac:dyDescent="0.15">
      <c r="A382" t="s">
        <v>72</v>
      </c>
      <c r="B382" t="s">
        <v>7591</v>
      </c>
      <c r="C382" t="s">
        <v>74</v>
      </c>
      <c r="D382" t="s">
        <v>74</v>
      </c>
      <c r="E382" t="s">
        <v>74</v>
      </c>
      <c r="F382" t="s">
        <v>7592</v>
      </c>
      <c r="G382" t="s">
        <v>74</v>
      </c>
      <c r="H382" t="s">
        <v>74</v>
      </c>
      <c r="I382" t="s">
        <v>7593</v>
      </c>
      <c r="J382" t="s">
        <v>7594</v>
      </c>
      <c r="K382" t="s">
        <v>74</v>
      </c>
      <c r="L382" t="s">
        <v>74</v>
      </c>
      <c r="M382" t="s">
        <v>78</v>
      </c>
      <c r="N382" t="s">
        <v>79</v>
      </c>
      <c r="O382" t="s">
        <v>74</v>
      </c>
      <c r="P382" t="s">
        <v>74</v>
      </c>
      <c r="Q382" t="s">
        <v>74</v>
      </c>
      <c r="R382" t="s">
        <v>74</v>
      </c>
      <c r="S382" t="s">
        <v>74</v>
      </c>
      <c r="T382" t="s">
        <v>7595</v>
      </c>
      <c r="U382" t="s">
        <v>74</v>
      </c>
      <c r="V382" t="s">
        <v>7596</v>
      </c>
      <c r="W382" t="s">
        <v>7597</v>
      </c>
      <c r="X382" t="s">
        <v>7598</v>
      </c>
      <c r="Y382" t="s">
        <v>7599</v>
      </c>
      <c r="Z382" t="s">
        <v>7600</v>
      </c>
      <c r="AA382" t="s">
        <v>7601</v>
      </c>
      <c r="AB382" t="s">
        <v>7602</v>
      </c>
      <c r="AC382" t="s">
        <v>7603</v>
      </c>
      <c r="AD382" t="s">
        <v>7604</v>
      </c>
      <c r="AE382" t="s">
        <v>74</v>
      </c>
      <c r="AF382" t="s">
        <v>74</v>
      </c>
      <c r="AG382">
        <v>14</v>
      </c>
      <c r="AH382">
        <v>23</v>
      </c>
      <c r="AI382">
        <v>41</v>
      </c>
      <c r="AJ382">
        <v>0</v>
      </c>
      <c r="AK382">
        <v>15</v>
      </c>
      <c r="AL382" t="s">
        <v>652</v>
      </c>
      <c r="AM382" t="s">
        <v>653</v>
      </c>
      <c r="AN382" t="s">
        <v>654</v>
      </c>
      <c r="AO382" t="s">
        <v>7605</v>
      </c>
      <c r="AP382" t="s">
        <v>7606</v>
      </c>
      <c r="AQ382" t="s">
        <v>74</v>
      </c>
      <c r="AR382" t="s">
        <v>7607</v>
      </c>
      <c r="AS382" t="s">
        <v>7608</v>
      </c>
      <c r="AT382" t="s">
        <v>5936</v>
      </c>
      <c r="AU382">
        <v>2014</v>
      </c>
      <c r="AV382">
        <v>736</v>
      </c>
      <c r="AW382" t="s">
        <v>74</v>
      </c>
      <c r="AX382" t="s">
        <v>74</v>
      </c>
      <c r="AY382" t="s">
        <v>74</v>
      </c>
      <c r="AZ382" t="s">
        <v>74</v>
      </c>
      <c r="BA382" t="s">
        <v>74</v>
      </c>
      <c r="BB382">
        <v>143</v>
      </c>
      <c r="BC382">
        <v>149</v>
      </c>
      <c r="BD382" t="s">
        <v>74</v>
      </c>
      <c r="BE382" t="s">
        <v>7609</v>
      </c>
      <c r="BF382" t="str">
        <f>HYPERLINK("http://dx.doi.org/10.1016/j.nima.2013.10.074","http://dx.doi.org/10.1016/j.nima.2013.10.074")</f>
        <v>http://dx.doi.org/10.1016/j.nima.2013.10.074</v>
      </c>
      <c r="BG382" t="s">
        <v>74</v>
      </c>
      <c r="BH382" t="s">
        <v>74</v>
      </c>
      <c r="BI382">
        <v>7</v>
      </c>
      <c r="BJ382" t="s">
        <v>7610</v>
      </c>
      <c r="BK382" t="s">
        <v>101</v>
      </c>
      <c r="BL382" t="s">
        <v>7611</v>
      </c>
      <c r="BM382" t="s">
        <v>7612</v>
      </c>
      <c r="BN382" t="s">
        <v>74</v>
      </c>
      <c r="BO382" t="s">
        <v>2649</v>
      </c>
      <c r="BP382" t="s">
        <v>74</v>
      </c>
      <c r="BQ382" t="s">
        <v>74</v>
      </c>
      <c r="BR382" t="s">
        <v>104</v>
      </c>
      <c r="BS382" t="s">
        <v>7613</v>
      </c>
      <c r="BT382" t="str">
        <f>HYPERLINK("https%3A%2F%2Fwww.webofscience.com%2Fwos%2Fwoscc%2Ffull-record%2FWOS:000329404000019","View Full Record in Web of Science")</f>
        <v>View Full Record in Web of Science</v>
      </c>
    </row>
    <row r="383" spans="1:72" x14ac:dyDescent="0.15">
      <c r="A383" t="s">
        <v>72</v>
      </c>
      <c r="B383" t="s">
        <v>7614</v>
      </c>
      <c r="C383" t="s">
        <v>74</v>
      </c>
      <c r="D383" t="s">
        <v>74</v>
      </c>
      <c r="E383" t="s">
        <v>74</v>
      </c>
      <c r="F383" t="s">
        <v>7615</v>
      </c>
      <c r="G383" t="s">
        <v>74</v>
      </c>
      <c r="H383" t="s">
        <v>74</v>
      </c>
      <c r="I383" t="s">
        <v>7616</v>
      </c>
      <c r="J383" t="s">
        <v>6523</v>
      </c>
      <c r="K383" t="s">
        <v>74</v>
      </c>
      <c r="L383" t="s">
        <v>74</v>
      </c>
      <c r="M383" t="s">
        <v>78</v>
      </c>
      <c r="N383" t="s">
        <v>79</v>
      </c>
      <c r="O383" t="s">
        <v>74</v>
      </c>
      <c r="P383" t="s">
        <v>74</v>
      </c>
      <c r="Q383" t="s">
        <v>74</v>
      </c>
      <c r="R383" t="s">
        <v>74</v>
      </c>
      <c r="S383" t="s">
        <v>74</v>
      </c>
      <c r="T383" t="s">
        <v>7617</v>
      </c>
      <c r="U383" t="s">
        <v>7618</v>
      </c>
      <c r="V383" t="s">
        <v>7619</v>
      </c>
      <c r="W383" t="s">
        <v>7620</v>
      </c>
      <c r="X383" t="s">
        <v>1688</v>
      </c>
      <c r="Y383" t="s">
        <v>7621</v>
      </c>
      <c r="Z383" t="s">
        <v>7622</v>
      </c>
      <c r="AA383" t="s">
        <v>74</v>
      </c>
      <c r="AB383" t="s">
        <v>7623</v>
      </c>
      <c r="AC383" t="s">
        <v>7624</v>
      </c>
      <c r="AD383" t="s">
        <v>7625</v>
      </c>
      <c r="AE383" t="s">
        <v>7626</v>
      </c>
      <c r="AF383" t="s">
        <v>74</v>
      </c>
      <c r="AG383">
        <v>51</v>
      </c>
      <c r="AH383">
        <v>30</v>
      </c>
      <c r="AI383">
        <v>30</v>
      </c>
      <c r="AJ383">
        <v>2</v>
      </c>
      <c r="AK383">
        <v>36</v>
      </c>
      <c r="AL383" t="s">
        <v>521</v>
      </c>
      <c r="AM383" t="s">
        <v>522</v>
      </c>
      <c r="AN383" t="s">
        <v>523</v>
      </c>
      <c r="AO383" t="s">
        <v>6535</v>
      </c>
      <c r="AP383" t="s">
        <v>6536</v>
      </c>
      <c r="AQ383" t="s">
        <v>74</v>
      </c>
      <c r="AR383" t="s">
        <v>6537</v>
      </c>
      <c r="AS383" t="s">
        <v>6538</v>
      </c>
      <c r="AT383" t="s">
        <v>5362</v>
      </c>
      <c r="AU383">
        <v>2014</v>
      </c>
      <c r="AV383">
        <v>74</v>
      </c>
      <c r="AW383" t="s">
        <v>74</v>
      </c>
      <c r="AX383" t="s">
        <v>74</v>
      </c>
      <c r="AY383" t="s">
        <v>74</v>
      </c>
      <c r="AZ383" t="s">
        <v>74</v>
      </c>
      <c r="BA383" t="s">
        <v>74</v>
      </c>
      <c r="BB383">
        <v>60</v>
      </c>
      <c r="BC383">
        <v>76</v>
      </c>
      <c r="BD383" t="s">
        <v>74</v>
      </c>
      <c r="BE383" t="s">
        <v>7627</v>
      </c>
      <c r="BF383" t="str">
        <f>HYPERLINK("http://dx.doi.org/10.1016/j.ocemod.2013.12.003","http://dx.doi.org/10.1016/j.ocemod.2013.12.003")</f>
        <v>http://dx.doi.org/10.1016/j.ocemod.2013.12.003</v>
      </c>
      <c r="BG383" t="s">
        <v>74</v>
      </c>
      <c r="BH383" t="s">
        <v>74</v>
      </c>
      <c r="BI383">
        <v>17</v>
      </c>
      <c r="BJ383" t="s">
        <v>6540</v>
      </c>
      <c r="BK383" t="s">
        <v>101</v>
      </c>
      <c r="BL383" t="s">
        <v>6540</v>
      </c>
      <c r="BM383" t="s">
        <v>6541</v>
      </c>
      <c r="BN383" t="s">
        <v>74</v>
      </c>
      <c r="BO383" t="s">
        <v>74</v>
      </c>
      <c r="BP383" t="s">
        <v>74</v>
      </c>
      <c r="BQ383" t="s">
        <v>74</v>
      </c>
      <c r="BR383" t="s">
        <v>104</v>
      </c>
      <c r="BS383" t="s">
        <v>7628</v>
      </c>
      <c r="BT383" t="str">
        <f>HYPERLINK("https%3A%2F%2Fwww.webofscience.com%2Fwos%2Fwoscc%2Ffull-record%2FWOS:000330576400005","View Full Record in Web of Science")</f>
        <v>View Full Record in Web of Science</v>
      </c>
    </row>
    <row r="384" spans="1:72" x14ac:dyDescent="0.15">
      <c r="A384" t="s">
        <v>72</v>
      </c>
      <c r="B384" t="s">
        <v>7629</v>
      </c>
      <c r="C384" t="s">
        <v>74</v>
      </c>
      <c r="D384" t="s">
        <v>74</v>
      </c>
      <c r="E384" t="s">
        <v>74</v>
      </c>
      <c r="F384" t="s">
        <v>7630</v>
      </c>
      <c r="G384" t="s">
        <v>74</v>
      </c>
      <c r="H384" t="s">
        <v>74</v>
      </c>
      <c r="I384" t="s">
        <v>7631</v>
      </c>
      <c r="J384" t="s">
        <v>7632</v>
      </c>
      <c r="K384" t="s">
        <v>74</v>
      </c>
      <c r="L384" t="s">
        <v>74</v>
      </c>
      <c r="M384" t="s">
        <v>78</v>
      </c>
      <c r="N384" t="s">
        <v>79</v>
      </c>
      <c r="O384" t="s">
        <v>74</v>
      </c>
      <c r="P384" t="s">
        <v>74</v>
      </c>
      <c r="Q384" t="s">
        <v>74</v>
      </c>
      <c r="R384" t="s">
        <v>74</v>
      </c>
      <c r="S384" t="s">
        <v>74</v>
      </c>
      <c r="T384" t="s">
        <v>7633</v>
      </c>
      <c r="U384" t="s">
        <v>7634</v>
      </c>
      <c r="V384" t="s">
        <v>7635</v>
      </c>
      <c r="W384" t="s">
        <v>7636</v>
      </c>
      <c r="X384" t="s">
        <v>7637</v>
      </c>
      <c r="Y384" t="s">
        <v>7638</v>
      </c>
      <c r="Z384" t="s">
        <v>7639</v>
      </c>
      <c r="AA384" t="s">
        <v>7640</v>
      </c>
      <c r="AB384" t="s">
        <v>3990</v>
      </c>
      <c r="AC384" t="s">
        <v>7641</v>
      </c>
      <c r="AD384" t="s">
        <v>191</v>
      </c>
      <c r="AE384" t="s">
        <v>74</v>
      </c>
      <c r="AF384" t="s">
        <v>74</v>
      </c>
      <c r="AG384">
        <v>55</v>
      </c>
      <c r="AH384">
        <v>17</v>
      </c>
      <c r="AI384">
        <v>22</v>
      </c>
      <c r="AJ384">
        <v>0</v>
      </c>
      <c r="AK384">
        <v>16</v>
      </c>
      <c r="AL384" t="s">
        <v>521</v>
      </c>
      <c r="AM384" t="s">
        <v>522</v>
      </c>
      <c r="AN384" t="s">
        <v>523</v>
      </c>
      <c r="AO384" t="s">
        <v>7642</v>
      </c>
      <c r="AP384" t="s">
        <v>7643</v>
      </c>
      <c r="AQ384" t="s">
        <v>74</v>
      </c>
      <c r="AR384" t="s">
        <v>7644</v>
      </c>
      <c r="AS384" t="s">
        <v>7645</v>
      </c>
      <c r="AT384" t="s">
        <v>5362</v>
      </c>
      <c r="AU384">
        <v>2014</v>
      </c>
      <c r="AV384">
        <v>19</v>
      </c>
      <c r="AW384" t="s">
        <v>74</v>
      </c>
      <c r="AX384" t="s">
        <v>74</v>
      </c>
      <c r="AY384" t="s">
        <v>74</v>
      </c>
      <c r="AZ384" t="s">
        <v>660</v>
      </c>
      <c r="BA384" t="s">
        <v>74</v>
      </c>
      <c r="BB384">
        <v>52</v>
      </c>
      <c r="BC384">
        <v>66</v>
      </c>
      <c r="BD384" t="s">
        <v>74</v>
      </c>
      <c r="BE384" t="s">
        <v>7646</v>
      </c>
      <c r="BF384" t="str">
        <f>HYPERLINK("http://dx.doi.org/10.1016/j.quageo.2013.03.008","http://dx.doi.org/10.1016/j.quageo.2013.03.008")</f>
        <v>http://dx.doi.org/10.1016/j.quageo.2013.03.008</v>
      </c>
      <c r="BG384" t="s">
        <v>74</v>
      </c>
      <c r="BH384" t="s">
        <v>74</v>
      </c>
      <c r="BI384">
        <v>15</v>
      </c>
      <c r="BJ384" t="s">
        <v>1415</v>
      </c>
      <c r="BK384" t="s">
        <v>101</v>
      </c>
      <c r="BL384" t="s">
        <v>1416</v>
      </c>
      <c r="BM384" t="s">
        <v>7647</v>
      </c>
      <c r="BN384" t="s">
        <v>74</v>
      </c>
      <c r="BO384" t="s">
        <v>252</v>
      </c>
      <c r="BP384" t="s">
        <v>74</v>
      </c>
      <c r="BQ384" t="s">
        <v>74</v>
      </c>
      <c r="BR384" t="s">
        <v>104</v>
      </c>
      <c r="BS384" t="s">
        <v>7648</v>
      </c>
      <c r="BT384" t="str">
        <f>HYPERLINK("https%3A%2F%2Fwww.webofscience.com%2Fwos%2Fwoscc%2Ffull-record%2FWOS:000328662000006","View Full Record in Web of Science")</f>
        <v>View Full Record in Web of Science</v>
      </c>
    </row>
    <row r="385" spans="1:72" x14ac:dyDescent="0.15">
      <c r="A385" t="s">
        <v>72</v>
      </c>
      <c r="B385" t="s">
        <v>7649</v>
      </c>
      <c r="C385" t="s">
        <v>74</v>
      </c>
      <c r="D385" t="s">
        <v>74</v>
      </c>
      <c r="E385" t="s">
        <v>74</v>
      </c>
      <c r="F385" t="s">
        <v>7650</v>
      </c>
      <c r="G385" t="s">
        <v>74</v>
      </c>
      <c r="H385" t="s">
        <v>74</v>
      </c>
      <c r="I385" t="s">
        <v>7651</v>
      </c>
      <c r="J385" t="s">
        <v>1397</v>
      </c>
      <c r="K385" t="s">
        <v>74</v>
      </c>
      <c r="L385" t="s">
        <v>74</v>
      </c>
      <c r="M385" t="s">
        <v>78</v>
      </c>
      <c r="N385" t="s">
        <v>79</v>
      </c>
      <c r="O385" t="s">
        <v>74</v>
      </c>
      <c r="P385" t="s">
        <v>74</v>
      </c>
      <c r="Q385" t="s">
        <v>74</v>
      </c>
      <c r="R385" t="s">
        <v>74</v>
      </c>
      <c r="S385" t="s">
        <v>74</v>
      </c>
      <c r="T385" t="s">
        <v>7652</v>
      </c>
      <c r="U385" t="s">
        <v>7653</v>
      </c>
      <c r="V385" t="s">
        <v>7654</v>
      </c>
      <c r="W385" t="s">
        <v>7655</v>
      </c>
      <c r="X385" t="s">
        <v>7656</v>
      </c>
      <c r="Y385" t="s">
        <v>7657</v>
      </c>
      <c r="Z385" t="s">
        <v>7658</v>
      </c>
      <c r="AA385" t="s">
        <v>7659</v>
      </c>
      <c r="AB385" t="s">
        <v>7660</v>
      </c>
      <c r="AC385" t="s">
        <v>7661</v>
      </c>
      <c r="AD385" t="s">
        <v>7662</v>
      </c>
      <c r="AE385" t="s">
        <v>7663</v>
      </c>
      <c r="AF385" t="s">
        <v>74</v>
      </c>
      <c r="AG385">
        <v>103</v>
      </c>
      <c r="AH385">
        <v>33</v>
      </c>
      <c r="AI385">
        <v>38</v>
      </c>
      <c r="AJ385">
        <v>1</v>
      </c>
      <c r="AK385">
        <v>28</v>
      </c>
      <c r="AL385" t="s">
        <v>946</v>
      </c>
      <c r="AM385" t="s">
        <v>522</v>
      </c>
      <c r="AN385" t="s">
        <v>947</v>
      </c>
      <c r="AO385" t="s">
        <v>1410</v>
      </c>
      <c r="AP385" t="s">
        <v>1411</v>
      </c>
      <c r="AQ385" t="s">
        <v>74</v>
      </c>
      <c r="AR385" t="s">
        <v>1412</v>
      </c>
      <c r="AS385" t="s">
        <v>1413</v>
      </c>
      <c r="AT385" t="s">
        <v>5936</v>
      </c>
      <c r="AU385">
        <v>2014</v>
      </c>
      <c r="AV385">
        <v>85</v>
      </c>
      <c r="AW385" t="s">
        <v>74</v>
      </c>
      <c r="AX385" t="s">
        <v>74</v>
      </c>
      <c r="AY385" t="s">
        <v>74</v>
      </c>
      <c r="AZ385" t="s">
        <v>74</v>
      </c>
      <c r="BA385" t="s">
        <v>74</v>
      </c>
      <c r="BB385">
        <v>99</v>
      </c>
      <c r="BC385">
        <v>118</v>
      </c>
      <c r="BD385" t="s">
        <v>74</v>
      </c>
      <c r="BE385" t="s">
        <v>7664</v>
      </c>
      <c r="BF385" t="str">
        <f>HYPERLINK("http://dx.doi.org/10.1016/j.quascirev.2013.11.021","http://dx.doi.org/10.1016/j.quascirev.2013.11.021")</f>
        <v>http://dx.doi.org/10.1016/j.quascirev.2013.11.021</v>
      </c>
      <c r="BG385" t="s">
        <v>74</v>
      </c>
      <c r="BH385" t="s">
        <v>74</v>
      </c>
      <c r="BI385">
        <v>20</v>
      </c>
      <c r="BJ385" t="s">
        <v>1415</v>
      </c>
      <c r="BK385" t="s">
        <v>101</v>
      </c>
      <c r="BL385" t="s">
        <v>1416</v>
      </c>
      <c r="BM385" t="s">
        <v>7665</v>
      </c>
      <c r="BN385" t="s">
        <v>74</v>
      </c>
      <c r="BO385" t="s">
        <v>74</v>
      </c>
      <c r="BP385" t="s">
        <v>74</v>
      </c>
      <c r="BQ385" t="s">
        <v>74</v>
      </c>
      <c r="BR385" t="s">
        <v>104</v>
      </c>
      <c r="BS385" t="s">
        <v>7666</v>
      </c>
      <c r="BT385" t="str">
        <f>HYPERLINK("https%3A%2F%2Fwww.webofscience.com%2Fwos%2Fwoscc%2Ffull-record%2FWOS:000331412200007","View Full Record in Web of Science")</f>
        <v>View Full Record in Web of Science</v>
      </c>
    </row>
    <row r="386" spans="1:72" x14ac:dyDescent="0.15">
      <c r="A386" t="s">
        <v>72</v>
      </c>
      <c r="B386" t="s">
        <v>7667</v>
      </c>
      <c r="C386" t="s">
        <v>74</v>
      </c>
      <c r="D386" t="s">
        <v>74</v>
      </c>
      <c r="E386" t="s">
        <v>74</v>
      </c>
      <c r="F386" t="s">
        <v>7668</v>
      </c>
      <c r="G386" t="s">
        <v>74</v>
      </c>
      <c r="H386" t="s">
        <v>74</v>
      </c>
      <c r="I386" t="s">
        <v>7669</v>
      </c>
      <c r="J386" t="s">
        <v>7670</v>
      </c>
      <c r="K386" t="s">
        <v>74</v>
      </c>
      <c r="L386" t="s">
        <v>74</v>
      </c>
      <c r="M386" t="s">
        <v>78</v>
      </c>
      <c r="N386" t="s">
        <v>79</v>
      </c>
      <c r="O386" t="s">
        <v>74</v>
      </c>
      <c r="P386" t="s">
        <v>74</v>
      </c>
      <c r="Q386" t="s">
        <v>74</v>
      </c>
      <c r="R386" t="s">
        <v>74</v>
      </c>
      <c r="S386" t="s">
        <v>74</v>
      </c>
      <c r="T386" t="s">
        <v>7671</v>
      </c>
      <c r="U386" t="s">
        <v>7672</v>
      </c>
      <c r="V386" t="s">
        <v>7673</v>
      </c>
      <c r="W386" t="s">
        <v>7674</v>
      </c>
      <c r="X386" t="s">
        <v>7675</v>
      </c>
      <c r="Y386" t="s">
        <v>7676</v>
      </c>
      <c r="Z386" t="s">
        <v>7677</v>
      </c>
      <c r="AA386" t="s">
        <v>7678</v>
      </c>
      <c r="AB386" t="s">
        <v>7679</v>
      </c>
      <c r="AC386" t="s">
        <v>7680</v>
      </c>
      <c r="AD386" t="s">
        <v>7681</v>
      </c>
      <c r="AE386" t="s">
        <v>7682</v>
      </c>
      <c r="AF386" t="s">
        <v>74</v>
      </c>
      <c r="AG386">
        <v>68</v>
      </c>
      <c r="AH386">
        <v>18</v>
      </c>
      <c r="AI386">
        <v>20</v>
      </c>
      <c r="AJ386">
        <v>0</v>
      </c>
      <c r="AK386">
        <v>47</v>
      </c>
      <c r="AL386" t="s">
        <v>403</v>
      </c>
      <c r="AM386" t="s">
        <v>404</v>
      </c>
      <c r="AN386" t="s">
        <v>405</v>
      </c>
      <c r="AO386" t="s">
        <v>7683</v>
      </c>
      <c r="AP386" t="s">
        <v>7684</v>
      </c>
      <c r="AQ386" t="s">
        <v>74</v>
      </c>
      <c r="AR386" t="s">
        <v>7685</v>
      </c>
      <c r="AS386" t="s">
        <v>7686</v>
      </c>
      <c r="AT386" t="s">
        <v>5362</v>
      </c>
      <c r="AU386">
        <v>2014</v>
      </c>
      <c r="AV386">
        <v>20</v>
      </c>
      <c r="AW386">
        <v>2</v>
      </c>
      <c r="AX386" t="s">
        <v>74</v>
      </c>
      <c r="AY386" t="s">
        <v>74</v>
      </c>
      <c r="AZ386" t="s">
        <v>74</v>
      </c>
      <c r="BA386" t="s">
        <v>74</v>
      </c>
      <c r="BB386">
        <v>202</v>
      </c>
      <c r="BC386">
        <v>213</v>
      </c>
      <c r="BD386" t="s">
        <v>74</v>
      </c>
      <c r="BE386" t="s">
        <v>7687</v>
      </c>
      <c r="BF386" t="str">
        <f>HYPERLINK("http://dx.doi.org/10.1111/ddi.12153","http://dx.doi.org/10.1111/ddi.12153")</f>
        <v>http://dx.doi.org/10.1111/ddi.12153</v>
      </c>
      <c r="BG386" t="s">
        <v>74</v>
      </c>
      <c r="BH386" t="s">
        <v>74</v>
      </c>
      <c r="BI386">
        <v>12</v>
      </c>
      <c r="BJ386" t="s">
        <v>1315</v>
      </c>
      <c r="BK386" t="s">
        <v>101</v>
      </c>
      <c r="BL386" t="s">
        <v>412</v>
      </c>
      <c r="BM386" t="s">
        <v>7688</v>
      </c>
      <c r="BN386" t="s">
        <v>74</v>
      </c>
      <c r="BO386" t="s">
        <v>1244</v>
      </c>
      <c r="BP386" t="s">
        <v>74</v>
      </c>
      <c r="BQ386" t="s">
        <v>74</v>
      </c>
      <c r="BR386" t="s">
        <v>104</v>
      </c>
      <c r="BS386" t="s">
        <v>7689</v>
      </c>
      <c r="BT386" t="str">
        <f>HYPERLINK("https%3A%2F%2Fwww.webofscience.com%2Fwos%2Fwoscc%2Ffull-record%2FWOS:000329509900008","View Full Record in Web of Science")</f>
        <v>View Full Record in Web of Science</v>
      </c>
    </row>
    <row r="387" spans="1:72" x14ac:dyDescent="0.15">
      <c r="A387" t="s">
        <v>72</v>
      </c>
      <c r="B387" t="s">
        <v>7690</v>
      </c>
      <c r="C387" t="s">
        <v>74</v>
      </c>
      <c r="D387" t="s">
        <v>74</v>
      </c>
      <c r="E387" t="s">
        <v>74</v>
      </c>
      <c r="F387" t="s">
        <v>7691</v>
      </c>
      <c r="G387" t="s">
        <v>74</v>
      </c>
      <c r="H387" t="s">
        <v>74</v>
      </c>
      <c r="I387" t="s">
        <v>7692</v>
      </c>
      <c r="J387" t="s">
        <v>7693</v>
      </c>
      <c r="K387" t="s">
        <v>74</v>
      </c>
      <c r="L387" t="s">
        <v>74</v>
      </c>
      <c r="M387" t="s">
        <v>78</v>
      </c>
      <c r="N387" t="s">
        <v>79</v>
      </c>
      <c r="O387" t="s">
        <v>74</v>
      </c>
      <c r="P387" t="s">
        <v>74</v>
      </c>
      <c r="Q387" t="s">
        <v>74</v>
      </c>
      <c r="R387" t="s">
        <v>74</v>
      </c>
      <c r="S387" t="s">
        <v>74</v>
      </c>
      <c r="T387" t="s">
        <v>7694</v>
      </c>
      <c r="U387" t="s">
        <v>7695</v>
      </c>
      <c r="V387" t="s">
        <v>7696</v>
      </c>
      <c r="W387" t="s">
        <v>7697</v>
      </c>
      <c r="X387" t="s">
        <v>7698</v>
      </c>
      <c r="Y387" t="s">
        <v>7699</v>
      </c>
      <c r="Z387" t="s">
        <v>7700</v>
      </c>
      <c r="AA387" t="s">
        <v>7701</v>
      </c>
      <c r="AB387" t="s">
        <v>7702</v>
      </c>
      <c r="AC387" t="s">
        <v>7703</v>
      </c>
      <c r="AD387" t="s">
        <v>7704</v>
      </c>
      <c r="AE387" t="s">
        <v>7705</v>
      </c>
      <c r="AF387" t="s">
        <v>74</v>
      </c>
      <c r="AG387">
        <v>97</v>
      </c>
      <c r="AH387">
        <v>17</v>
      </c>
      <c r="AI387">
        <v>18</v>
      </c>
      <c r="AJ387">
        <v>0</v>
      </c>
      <c r="AK387">
        <v>49</v>
      </c>
      <c r="AL387" t="s">
        <v>403</v>
      </c>
      <c r="AM387" t="s">
        <v>404</v>
      </c>
      <c r="AN387" t="s">
        <v>405</v>
      </c>
      <c r="AO387" t="s">
        <v>7706</v>
      </c>
      <c r="AP387" t="s">
        <v>7707</v>
      </c>
      <c r="AQ387" t="s">
        <v>74</v>
      </c>
      <c r="AR387" t="s">
        <v>7708</v>
      </c>
      <c r="AS387" t="s">
        <v>7709</v>
      </c>
      <c r="AT387" t="s">
        <v>5362</v>
      </c>
      <c r="AU387">
        <v>2014</v>
      </c>
      <c r="AV387">
        <v>23</v>
      </c>
      <c r="AW387">
        <v>2</v>
      </c>
      <c r="AX387" t="s">
        <v>74</v>
      </c>
      <c r="AY387" t="s">
        <v>74</v>
      </c>
      <c r="AZ387" t="s">
        <v>74</v>
      </c>
      <c r="BA387" t="s">
        <v>74</v>
      </c>
      <c r="BB387">
        <v>284</v>
      </c>
      <c r="BC387">
        <v>299</v>
      </c>
      <c r="BD387" t="s">
        <v>74</v>
      </c>
      <c r="BE387" t="s">
        <v>7710</v>
      </c>
      <c r="BF387" t="str">
        <f>HYPERLINK("http://dx.doi.org/10.1111/mec.12612","http://dx.doi.org/10.1111/mec.12612")</f>
        <v>http://dx.doi.org/10.1111/mec.12612</v>
      </c>
      <c r="BG387" t="s">
        <v>74</v>
      </c>
      <c r="BH387" t="s">
        <v>74</v>
      </c>
      <c r="BI387">
        <v>16</v>
      </c>
      <c r="BJ387" t="s">
        <v>7711</v>
      </c>
      <c r="BK387" t="s">
        <v>101</v>
      </c>
      <c r="BL387" t="s">
        <v>7712</v>
      </c>
      <c r="BM387" t="s">
        <v>7713</v>
      </c>
      <c r="BN387">
        <v>24372945</v>
      </c>
      <c r="BO387" t="s">
        <v>74</v>
      </c>
      <c r="BP387" t="s">
        <v>74</v>
      </c>
      <c r="BQ387" t="s">
        <v>74</v>
      </c>
      <c r="BR387" t="s">
        <v>104</v>
      </c>
      <c r="BS387" t="s">
        <v>7714</v>
      </c>
      <c r="BT387" t="str">
        <f>HYPERLINK("https%3A%2F%2Fwww.webofscience.com%2Fwos%2Fwoscc%2Ffull-record%2FWOS:000329254300005","View Full Record in Web of Science")</f>
        <v>View Full Record in Web of Science</v>
      </c>
    </row>
    <row r="388" spans="1:72" x14ac:dyDescent="0.15">
      <c r="A388" t="s">
        <v>72</v>
      </c>
      <c r="B388" t="s">
        <v>7715</v>
      </c>
      <c r="C388" t="s">
        <v>74</v>
      </c>
      <c r="D388" t="s">
        <v>74</v>
      </c>
      <c r="E388" t="s">
        <v>74</v>
      </c>
      <c r="F388" t="s">
        <v>7716</v>
      </c>
      <c r="G388" t="s">
        <v>74</v>
      </c>
      <c r="H388" t="s">
        <v>74</v>
      </c>
      <c r="I388" t="s">
        <v>7717</v>
      </c>
      <c r="J388" t="s">
        <v>7718</v>
      </c>
      <c r="K388" t="s">
        <v>74</v>
      </c>
      <c r="L388" t="s">
        <v>74</v>
      </c>
      <c r="M388" t="s">
        <v>78</v>
      </c>
      <c r="N388" t="s">
        <v>79</v>
      </c>
      <c r="O388" t="s">
        <v>74</v>
      </c>
      <c r="P388" t="s">
        <v>74</v>
      </c>
      <c r="Q388" t="s">
        <v>74</v>
      </c>
      <c r="R388" t="s">
        <v>74</v>
      </c>
      <c r="S388" t="s">
        <v>74</v>
      </c>
      <c r="T388" t="s">
        <v>7719</v>
      </c>
      <c r="U388" t="s">
        <v>7720</v>
      </c>
      <c r="V388" t="s">
        <v>7721</v>
      </c>
      <c r="W388" t="s">
        <v>7722</v>
      </c>
      <c r="X388" t="s">
        <v>7723</v>
      </c>
      <c r="Y388" t="s">
        <v>7724</v>
      </c>
      <c r="Z388" t="s">
        <v>7725</v>
      </c>
      <c r="AA388" t="s">
        <v>74</v>
      </c>
      <c r="AB388" t="s">
        <v>74</v>
      </c>
      <c r="AC388" t="s">
        <v>7726</v>
      </c>
      <c r="AD388" t="s">
        <v>7726</v>
      </c>
      <c r="AE388" t="s">
        <v>7727</v>
      </c>
      <c r="AF388" t="s">
        <v>74</v>
      </c>
      <c r="AG388">
        <v>52</v>
      </c>
      <c r="AH388">
        <v>14</v>
      </c>
      <c r="AI388">
        <v>14</v>
      </c>
      <c r="AJ388">
        <v>0</v>
      </c>
      <c r="AK388">
        <v>17</v>
      </c>
      <c r="AL388" t="s">
        <v>652</v>
      </c>
      <c r="AM388" t="s">
        <v>653</v>
      </c>
      <c r="AN388" t="s">
        <v>654</v>
      </c>
      <c r="AO388" t="s">
        <v>7728</v>
      </c>
      <c r="AP388" t="s">
        <v>7729</v>
      </c>
      <c r="AQ388" t="s">
        <v>74</v>
      </c>
      <c r="AR388" t="s">
        <v>7730</v>
      </c>
      <c r="AS388" t="s">
        <v>7731</v>
      </c>
      <c r="AT388" t="s">
        <v>5362</v>
      </c>
      <c r="AU388">
        <v>2014</v>
      </c>
      <c r="AV388">
        <v>130</v>
      </c>
      <c r="AW388" t="s">
        <v>74</v>
      </c>
      <c r="AX388" t="s">
        <v>74</v>
      </c>
      <c r="AY388" t="s">
        <v>74</v>
      </c>
      <c r="AZ388" t="s">
        <v>74</v>
      </c>
      <c r="BA388" t="s">
        <v>74</v>
      </c>
      <c r="BB388">
        <v>46</v>
      </c>
      <c r="BC388">
        <v>55</v>
      </c>
      <c r="BD388" t="s">
        <v>74</v>
      </c>
      <c r="BE388" t="s">
        <v>7732</v>
      </c>
      <c r="BF388" t="str">
        <f>HYPERLINK("http://dx.doi.org/10.1016/j.jmarsys.2013.06.006","http://dx.doi.org/10.1016/j.jmarsys.2013.06.006")</f>
        <v>http://dx.doi.org/10.1016/j.jmarsys.2013.06.006</v>
      </c>
      <c r="BG388" t="s">
        <v>74</v>
      </c>
      <c r="BH388" t="s">
        <v>74</v>
      </c>
      <c r="BI388">
        <v>10</v>
      </c>
      <c r="BJ388" t="s">
        <v>7733</v>
      </c>
      <c r="BK388" t="s">
        <v>101</v>
      </c>
      <c r="BL388" t="s">
        <v>7734</v>
      </c>
      <c r="BM388" t="s">
        <v>7735</v>
      </c>
      <c r="BN388" t="s">
        <v>74</v>
      </c>
      <c r="BO388" t="s">
        <v>74</v>
      </c>
      <c r="BP388" t="s">
        <v>74</v>
      </c>
      <c r="BQ388" t="s">
        <v>74</v>
      </c>
      <c r="BR388" t="s">
        <v>104</v>
      </c>
      <c r="BS388" t="s">
        <v>7736</v>
      </c>
      <c r="BT388" t="str">
        <f>HYPERLINK("https%3A%2F%2Fwww.webofscience.com%2Fwos%2Fwoscc%2Ffull-record%2FWOS:000328873600005","View Full Record in Web of Science")</f>
        <v>View Full Record in Web of Science</v>
      </c>
    </row>
    <row r="389" spans="1:72" x14ac:dyDescent="0.15">
      <c r="A389" t="s">
        <v>72</v>
      </c>
      <c r="B389" t="s">
        <v>7737</v>
      </c>
      <c r="C389" t="s">
        <v>74</v>
      </c>
      <c r="D389" t="s">
        <v>74</v>
      </c>
      <c r="E389" t="s">
        <v>74</v>
      </c>
      <c r="F389" t="s">
        <v>7738</v>
      </c>
      <c r="G389" t="s">
        <v>74</v>
      </c>
      <c r="H389" t="s">
        <v>74</v>
      </c>
      <c r="I389" t="s">
        <v>7739</v>
      </c>
      <c r="J389" t="s">
        <v>7740</v>
      </c>
      <c r="K389" t="s">
        <v>74</v>
      </c>
      <c r="L389" t="s">
        <v>74</v>
      </c>
      <c r="M389" t="s">
        <v>78</v>
      </c>
      <c r="N389" t="s">
        <v>79</v>
      </c>
      <c r="O389" t="s">
        <v>74</v>
      </c>
      <c r="P389" t="s">
        <v>74</v>
      </c>
      <c r="Q389" t="s">
        <v>74</v>
      </c>
      <c r="R389" t="s">
        <v>74</v>
      </c>
      <c r="S389" t="s">
        <v>74</v>
      </c>
      <c r="T389" t="s">
        <v>7741</v>
      </c>
      <c r="U389" t="s">
        <v>74</v>
      </c>
      <c r="V389" t="s">
        <v>7742</v>
      </c>
      <c r="W389" t="s">
        <v>7743</v>
      </c>
      <c r="X389" t="s">
        <v>7744</v>
      </c>
      <c r="Y389" t="s">
        <v>7745</v>
      </c>
      <c r="Z389" t="s">
        <v>7746</v>
      </c>
      <c r="AA389" t="s">
        <v>7747</v>
      </c>
      <c r="AB389" t="s">
        <v>7748</v>
      </c>
      <c r="AC389" t="s">
        <v>74</v>
      </c>
      <c r="AD389" t="s">
        <v>74</v>
      </c>
      <c r="AE389" t="s">
        <v>74</v>
      </c>
      <c r="AF389" t="s">
        <v>74</v>
      </c>
      <c r="AG389">
        <v>15</v>
      </c>
      <c r="AH389">
        <v>12</v>
      </c>
      <c r="AI389">
        <v>16</v>
      </c>
      <c r="AJ389">
        <v>2</v>
      </c>
      <c r="AK389">
        <v>33</v>
      </c>
      <c r="AL389" t="s">
        <v>946</v>
      </c>
      <c r="AM389" t="s">
        <v>522</v>
      </c>
      <c r="AN389" t="s">
        <v>947</v>
      </c>
      <c r="AO389" t="s">
        <v>7749</v>
      </c>
      <c r="AP389" t="s">
        <v>74</v>
      </c>
      <c r="AQ389" t="s">
        <v>74</v>
      </c>
      <c r="AR389" t="s">
        <v>7750</v>
      </c>
      <c r="AS389" t="s">
        <v>7751</v>
      </c>
      <c r="AT389" t="s">
        <v>5362</v>
      </c>
      <c r="AU389">
        <v>2014</v>
      </c>
      <c r="AV389">
        <v>62</v>
      </c>
      <c r="AW389" t="s">
        <v>74</v>
      </c>
      <c r="AX389" t="s">
        <v>74</v>
      </c>
      <c r="AY389" t="s">
        <v>74</v>
      </c>
      <c r="AZ389" t="s">
        <v>74</v>
      </c>
      <c r="BA389" t="s">
        <v>74</v>
      </c>
      <c r="BB389">
        <v>582</v>
      </c>
      <c r="BC389">
        <v>591</v>
      </c>
      <c r="BD389" t="s">
        <v>74</v>
      </c>
      <c r="BE389" t="s">
        <v>7752</v>
      </c>
      <c r="BF389" t="str">
        <f>HYPERLINK("http://dx.doi.org/10.1016/j.renene.2013.08.021","http://dx.doi.org/10.1016/j.renene.2013.08.021")</f>
        <v>http://dx.doi.org/10.1016/j.renene.2013.08.021</v>
      </c>
      <c r="BG389" t="s">
        <v>74</v>
      </c>
      <c r="BH389" t="s">
        <v>74</v>
      </c>
      <c r="BI389">
        <v>10</v>
      </c>
      <c r="BJ389" t="s">
        <v>7753</v>
      </c>
      <c r="BK389" t="s">
        <v>101</v>
      </c>
      <c r="BL389" t="s">
        <v>7754</v>
      </c>
      <c r="BM389" t="s">
        <v>7755</v>
      </c>
      <c r="BN389" t="s">
        <v>74</v>
      </c>
      <c r="BO389" t="s">
        <v>74</v>
      </c>
      <c r="BP389" t="s">
        <v>74</v>
      </c>
      <c r="BQ389" t="s">
        <v>74</v>
      </c>
      <c r="BR389" t="s">
        <v>104</v>
      </c>
      <c r="BS389" t="s">
        <v>7756</v>
      </c>
      <c r="BT389" t="str">
        <f>HYPERLINK("https%3A%2F%2Fwww.webofscience.com%2Fwos%2Fwoscc%2Ffull-record%2FWOS:000328095000066","View Full Record in Web of Science")</f>
        <v>View Full Record in Web of Science</v>
      </c>
    </row>
    <row r="390" spans="1:72" x14ac:dyDescent="0.15">
      <c r="A390" t="s">
        <v>72</v>
      </c>
      <c r="B390" t="s">
        <v>7757</v>
      </c>
      <c r="C390" t="s">
        <v>74</v>
      </c>
      <c r="D390" t="s">
        <v>74</v>
      </c>
      <c r="E390" t="s">
        <v>74</v>
      </c>
      <c r="F390" t="s">
        <v>7758</v>
      </c>
      <c r="G390" t="s">
        <v>74</v>
      </c>
      <c r="H390" t="s">
        <v>74</v>
      </c>
      <c r="I390" t="s">
        <v>7759</v>
      </c>
      <c r="J390" t="s">
        <v>7760</v>
      </c>
      <c r="K390" t="s">
        <v>74</v>
      </c>
      <c r="L390" t="s">
        <v>74</v>
      </c>
      <c r="M390" t="s">
        <v>78</v>
      </c>
      <c r="N390" t="s">
        <v>79</v>
      </c>
      <c r="O390" t="s">
        <v>74</v>
      </c>
      <c r="P390" t="s">
        <v>74</v>
      </c>
      <c r="Q390" t="s">
        <v>74</v>
      </c>
      <c r="R390" t="s">
        <v>74</v>
      </c>
      <c r="S390" t="s">
        <v>74</v>
      </c>
      <c r="T390" t="s">
        <v>7761</v>
      </c>
      <c r="U390" t="s">
        <v>7762</v>
      </c>
      <c r="V390" t="s">
        <v>7763</v>
      </c>
      <c r="W390" t="s">
        <v>7764</v>
      </c>
      <c r="X390" t="s">
        <v>7765</v>
      </c>
      <c r="Y390" t="s">
        <v>7766</v>
      </c>
      <c r="Z390" t="s">
        <v>7767</v>
      </c>
      <c r="AA390" t="s">
        <v>7768</v>
      </c>
      <c r="AB390" t="s">
        <v>7769</v>
      </c>
      <c r="AC390" t="s">
        <v>7770</v>
      </c>
      <c r="AD390" t="s">
        <v>7771</v>
      </c>
      <c r="AE390" t="s">
        <v>7772</v>
      </c>
      <c r="AF390" t="s">
        <v>74</v>
      </c>
      <c r="AG390">
        <v>27</v>
      </c>
      <c r="AH390">
        <v>4</v>
      </c>
      <c r="AI390">
        <v>5</v>
      </c>
      <c r="AJ390">
        <v>0</v>
      </c>
      <c r="AK390">
        <v>15</v>
      </c>
      <c r="AL390" t="s">
        <v>7773</v>
      </c>
      <c r="AM390" t="s">
        <v>7774</v>
      </c>
      <c r="AN390" t="s">
        <v>7775</v>
      </c>
      <c r="AO390" t="s">
        <v>7776</v>
      </c>
      <c r="AP390" t="s">
        <v>7777</v>
      </c>
      <c r="AQ390" t="s">
        <v>74</v>
      </c>
      <c r="AR390" t="s">
        <v>7778</v>
      </c>
      <c r="AS390" t="s">
        <v>7779</v>
      </c>
      <c r="AT390" t="s">
        <v>5362</v>
      </c>
      <c r="AU390">
        <v>2014</v>
      </c>
      <c r="AV390">
        <v>62</v>
      </c>
      <c r="AW390">
        <v>1</v>
      </c>
      <c r="AX390" t="s">
        <v>74</v>
      </c>
      <c r="AY390" t="s">
        <v>74</v>
      </c>
      <c r="AZ390" t="s">
        <v>74</v>
      </c>
      <c r="BA390" t="s">
        <v>74</v>
      </c>
      <c r="BB390">
        <v>220</v>
      </c>
      <c r="BC390">
        <v>240</v>
      </c>
      <c r="BD390" t="s">
        <v>74</v>
      </c>
      <c r="BE390" t="s">
        <v>7780</v>
      </c>
      <c r="BF390" t="str">
        <f>HYPERLINK("http://dx.doi.org/10.2478/s11600-013-0146-9","http://dx.doi.org/10.2478/s11600-013-0146-9")</f>
        <v>http://dx.doi.org/10.2478/s11600-013-0146-9</v>
      </c>
      <c r="BG390" t="s">
        <v>74</v>
      </c>
      <c r="BH390" t="s">
        <v>74</v>
      </c>
      <c r="BI390">
        <v>21</v>
      </c>
      <c r="BJ390" t="s">
        <v>574</v>
      </c>
      <c r="BK390" t="s">
        <v>101</v>
      </c>
      <c r="BL390" t="s">
        <v>574</v>
      </c>
      <c r="BM390" t="s">
        <v>7781</v>
      </c>
      <c r="BN390" t="s">
        <v>74</v>
      </c>
      <c r="BO390" t="s">
        <v>74</v>
      </c>
      <c r="BP390" t="s">
        <v>74</v>
      </c>
      <c r="BQ390" t="s">
        <v>74</v>
      </c>
      <c r="BR390" t="s">
        <v>104</v>
      </c>
      <c r="BS390" t="s">
        <v>7782</v>
      </c>
      <c r="BT390" t="str">
        <f>HYPERLINK("https%3A%2F%2Fwww.webofscience.com%2Fwos%2Fwoscc%2Ffull-record%2FWOS:000327383700011","View Full Record in Web of Science")</f>
        <v>View Full Record in Web of Science</v>
      </c>
    </row>
    <row r="391" spans="1:72" x14ac:dyDescent="0.15">
      <c r="A391" t="s">
        <v>72</v>
      </c>
      <c r="B391" t="s">
        <v>7783</v>
      </c>
      <c r="C391" t="s">
        <v>74</v>
      </c>
      <c r="D391" t="s">
        <v>74</v>
      </c>
      <c r="E391" t="s">
        <v>74</v>
      </c>
      <c r="F391" t="s">
        <v>7784</v>
      </c>
      <c r="G391" t="s">
        <v>74</v>
      </c>
      <c r="H391" t="s">
        <v>74</v>
      </c>
      <c r="I391" t="s">
        <v>7785</v>
      </c>
      <c r="J391" t="s">
        <v>1275</v>
      </c>
      <c r="K391" t="s">
        <v>74</v>
      </c>
      <c r="L391" t="s">
        <v>74</v>
      </c>
      <c r="M391" t="s">
        <v>78</v>
      </c>
      <c r="N391" t="s">
        <v>79</v>
      </c>
      <c r="O391" t="s">
        <v>74</v>
      </c>
      <c r="P391" t="s">
        <v>74</v>
      </c>
      <c r="Q391" t="s">
        <v>74</v>
      </c>
      <c r="R391" t="s">
        <v>74</v>
      </c>
      <c r="S391" t="s">
        <v>74</v>
      </c>
      <c r="T391" t="s">
        <v>74</v>
      </c>
      <c r="U391" t="s">
        <v>7786</v>
      </c>
      <c r="V391" t="s">
        <v>7787</v>
      </c>
      <c r="W391" t="s">
        <v>7788</v>
      </c>
      <c r="X391" t="s">
        <v>7789</v>
      </c>
      <c r="Y391" t="s">
        <v>7790</v>
      </c>
      <c r="Z391" t="s">
        <v>7791</v>
      </c>
      <c r="AA391" t="s">
        <v>7792</v>
      </c>
      <c r="AB391" t="s">
        <v>7793</v>
      </c>
      <c r="AC391" t="s">
        <v>7794</v>
      </c>
      <c r="AD391" t="s">
        <v>7794</v>
      </c>
      <c r="AE391" t="s">
        <v>7795</v>
      </c>
      <c r="AF391" t="s">
        <v>74</v>
      </c>
      <c r="AG391">
        <v>30</v>
      </c>
      <c r="AH391">
        <v>5</v>
      </c>
      <c r="AI391">
        <v>8</v>
      </c>
      <c r="AJ391">
        <v>2</v>
      </c>
      <c r="AK391">
        <v>18</v>
      </c>
      <c r="AL391" t="s">
        <v>1261</v>
      </c>
      <c r="AM391" t="s">
        <v>1262</v>
      </c>
      <c r="AN391" t="s">
        <v>1263</v>
      </c>
      <c r="AO391" t="s">
        <v>1287</v>
      </c>
      <c r="AP391" t="s">
        <v>74</v>
      </c>
      <c r="AQ391" t="s">
        <v>74</v>
      </c>
      <c r="AR391" t="s">
        <v>1275</v>
      </c>
      <c r="AS391" t="s">
        <v>1288</v>
      </c>
      <c r="AT391" t="s">
        <v>7796</v>
      </c>
      <c r="AU391">
        <v>2014</v>
      </c>
      <c r="AV391">
        <v>9</v>
      </c>
      <c r="AW391">
        <v>1</v>
      </c>
      <c r="AX391" t="s">
        <v>74</v>
      </c>
      <c r="AY391" t="s">
        <v>74</v>
      </c>
      <c r="AZ391" t="s">
        <v>74</v>
      </c>
      <c r="BA391" t="s">
        <v>74</v>
      </c>
      <c r="BB391" t="s">
        <v>74</v>
      </c>
      <c r="BC391" t="s">
        <v>74</v>
      </c>
      <c r="BD391" t="s">
        <v>7797</v>
      </c>
      <c r="BE391" t="s">
        <v>7798</v>
      </c>
      <c r="BF391" t="str">
        <f>HYPERLINK("http://dx.doi.org/10.1371/journal.pone.0087971","http://dx.doi.org/10.1371/journal.pone.0087971")</f>
        <v>http://dx.doi.org/10.1371/journal.pone.0087971</v>
      </c>
      <c r="BG391" t="s">
        <v>74</v>
      </c>
      <c r="BH391" t="s">
        <v>74</v>
      </c>
      <c r="BI391">
        <v>6</v>
      </c>
      <c r="BJ391" t="s">
        <v>1100</v>
      </c>
      <c r="BK391" t="s">
        <v>101</v>
      </c>
      <c r="BL391" t="s">
        <v>1101</v>
      </c>
      <c r="BM391" t="s">
        <v>7799</v>
      </c>
      <c r="BN391">
        <v>24498232</v>
      </c>
      <c r="BO391" t="s">
        <v>2213</v>
      </c>
      <c r="BP391" t="s">
        <v>74</v>
      </c>
      <c r="BQ391" t="s">
        <v>74</v>
      </c>
      <c r="BR391" t="s">
        <v>104</v>
      </c>
      <c r="BS391" t="s">
        <v>7800</v>
      </c>
      <c r="BT391" t="str">
        <f>HYPERLINK("https%3A%2F%2Fwww.webofscience.com%2Fwos%2Fwoscc%2Ffull-record%2FWOS:000330621900200","View Full Record in Web of Science")</f>
        <v>View Full Record in Web of Science</v>
      </c>
    </row>
    <row r="392" spans="1:72" x14ac:dyDescent="0.15">
      <c r="A392" t="s">
        <v>72</v>
      </c>
      <c r="B392" t="s">
        <v>7801</v>
      </c>
      <c r="C392" t="s">
        <v>74</v>
      </c>
      <c r="D392" t="s">
        <v>74</v>
      </c>
      <c r="E392" t="s">
        <v>74</v>
      </c>
      <c r="F392" t="s">
        <v>7802</v>
      </c>
      <c r="G392" t="s">
        <v>74</v>
      </c>
      <c r="H392" t="s">
        <v>74</v>
      </c>
      <c r="I392" t="s">
        <v>7803</v>
      </c>
      <c r="J392" t="s">
        <v>1275</v>
      </c>
      <c r="K392" t="s">
        <v>74</v>
      </c>
      <c r="L392" t="s">
        <v>74</v>
      </c>
      <c r="M392" t="s">
        <v>78</v>
      </c>
      <c r="N392" t="s">
        <v>79</v>
      </c>
      <c r="O392" t="s">
        <v>74</v>
      </c>
      <c r="P392" t="s">
        <v>74</v>
      </c>
      <c r="Q392" t="s">
        <v>74</v>
      </c>
      <c r="R392" t="s">
        <v>74</v>
      </c>
      <c r="S392" t="s">
        <v>74</v>
      </c>
      <c r="T392" t="s">
        <v>74</v>
      </c>
      <c r="U392" t="s">
        <v>7804</v>
      </c>
      <c r="V392" t="s">
        <v>7805</v>
      </c>
      <c r="W392" t="s">
        <v>7806</v>
      </c>
      <c r="X392" t="s">
        <v>7807</v>
      </c>
      <c r="Y392" t="s">
        <v>7808</v>
      </c>
      <c r="Z392" t="s">
        <v>3411</v>
      </c>
      <c r="AA392" t="s">
        <v>7809</v>
      </c>
      <c r="AB392" t="s">
        <v>7810</v>
      </c>
      <c r="AC392" t="s">
        <v>3412</v>
      </c>
      <c r="AD392" t="s">
        <v>3413</v>
      </c>
      <c r="AE392" t="s">
        <v>7811</v>
      </c>
      <c r="AF392" t="s">
        <v>74</v>
      </c>
      <c r="AG392">
        <v>94</v>
      </c>
      <c r="AH392">
        <v>31</v>
      </c>
      <c r="AI392">
        <v>35</v>
      </c>
      <c r="AJ392">
        <v>0</v>
      </c>
      <c r="AK392">
        <v>59</v>
      </c>
      <c r="AL392" t="s">
        <v>1261</v>
      </c>
      <c r="AM392" t="s">
        <v>1262</v>
      </c>
      <c r="AN392" t="s">
        <v>1263</v>
      </c>
      <c r="AO392" t="s">
        <v>1287</v>
      </c>
      <c r="AP392" t="s">
        <v>74</v>
      </c>
      <c r="AQ392" t="s">
        <v>74</v>
      </c>
      <c r="AR392" t="s">
        <v>1275</v>
      </c>
      <c r="AS392" t="s">
        <v>1288</v>
      </c>
      <c r="AT392" t="s">
        <v>7796</v>
      </c>
      <c r="AU392">
        <v>2014</v>
      </c>
      <c r="AV392">
        <v>9</v>
      </c>
      <c r="AW392">
        <v>1</v>
      </c>
      <c r="AX392" t="s">
        <v>74</v>
      </c>
      <c r="AY392" t="s">
        <v>74</v>
      </c>
      <c r="AZ392" t="s">
        <v>74</v>
      </c>
      <c r="BA392" t="s">
        <v>74</v>
      </c>
      <c r="BB392" t="s">
        <v>74</v>
      </c>
      <c r="BC392" t="s">
        <v>74</v>
      </c>
      <c r="BD392" t="s">
        <v>7812</v>
      </c>
      <c r="BE392" t="s">
        <v>7813</v>
      </c>
      <c r="BF392" t="str">
        <f>HYPERLINK("http://dx.doi.org/10.1371/journal.pone.0087529","http://dx.doi.org/10.1371/journal.pone.0087529")</f>
        <v>http://dx.doi.org/10.1371/journal.pone.0087529</v>
      </c>
      <c r="BG392" t="s">
        <v>74</v>
      </c>
      <c r="BH392" t="s">
        <v>74</v>
      </c>
      <c r="BI392">
        <v>17</v>
      </c>
      <c r="BJ392" t="s">
        <v>1100</v>
      </c>
      <c r="BK392" t="s">
        <v>101</v>
      </c>
      <c r="BL392" t="s">
        <v>1101</v>
      </c>
      <c r="BM392" t="s">
        <v>7799</v>
      </c>
      <c r="BN392">
        <v>24498126</v>
      </c>
      <c r="BO392" t="s">
        <v>7188</v>
      </c>
      <c r="BP392" t="s">
        <v>74</v>
      </c>
      <c r="BQ392" t="s">
        <v>74</v>
      </c>
      <c r="BR392" t="s">
        <v>104</v>
      </c>
      <c r="BS392" t="s">
        <v>7814</v>
      </c>
      <c r="BT392" t="str">
        <f>HYPERLINK("https%3A%2F%2Fwww.webofscience.com%2Fwos%2Fwoscc%2Ffull-record%2FWOS:000330621900127","View Full Record in Web of Science")</f>
        <v>View Full Record in Web of Science</v>
      </c>
    </row>
    <row r="393" spans="1:72" x14ac:dyDescent="0.15">
      <c r="A393" t="s">
        <v>72</v>
      </c>
      <c r="B393" t="s">
        <v>7815</v>
      </c>
      <c r="C393" t="s">
        <v>74</v>
      </c>
      <c r="D393" t="s">
        <v>74</v>
      </c>
      <c r="E393" t="s">
        <v>74</v>
      </c>
      <c r="F393" t="s">
        <v>7816</v>
      </c>
      <c r="G393" t="s">
        <v>74</v>
      </c>
      <c r="H393" t="s">
        <v>74</v>
      </c>
      <c r="I393" t="s">
        <v>7817</v>
      </c>
      <c r="J393" t="s">
        <v>7818</v>
      </c>
      <c r="K393" t="s">
        <v>74</v>
      </c>
      <c r="L393" t="s">
        <v>74</v>
      </c>
      <c r="M393" t="s">
        <v>78</v>
      </c>
      <c r="N393" t="s">
        <v>79</v>
      </c>
      <c r="O393" t="s">
        <v>74</v>
      </c>
      <c r="P393" t="s">
        <v>74</v>
      </c>
      <c r="Q393" t="s">
        <v>74</v>
      </c>
      <c r="R393" t="s">
        <v>74</v>
      </c>
      <c r="S393" t="s">
        <v>74</v>
      </c>
      <c r="T393" t="s">
        <v>7819</v>
      </c>
      <c r="U393" t="s">
        <v>7820</v>
      </c>
      <c r="V393" t="s">
        <v>7821</v>
      </c>
      <c r="W393" t="s">
        <v>7822</v>
      </c>
      <c r="X393" t="s">
        <v>7823</v>
      </c>
      <c r="Y393" t="s">
        <v>7824</v>
      </c>
      <c r="Z393" t="s">
        <v>7825</v>
      </c>
      <c r="AA393" t="s">
        <v>74</v>
      </c>
      <c r="AB393" t="s">
        <v>7826</v>
      </c>
      <c r="AC393" t="s">
        <v>7827</v>
      </c>
      <c r="AD393" t="s">
        <v>7828</v>
      </c>
      <c r="AE393" t="s">
        <v>7829</v>
      </c>
      <c r="AF393" t="s">
        <v>74</v>
      </c>
      <c r="AG393">
        <v>30</v>
      </c>
      <c r="AH393">
        <v>2</v>
      </c>
      <c r="AI393">
        <v>3</v>
      </c>
      <c r="AJ393">
        <v>0</v>
      </c>
      <c r="AK393">
        <v>5</v>
      </c>
      <c r="AL393" t="s">
        <v>7830</v>
      </c>
      <c r="AM393" t="s">
        <v>447</v>
      </c>
      <c r="AN393" t="s">
        <v>7831</v>
      </c>
      <c r="AO393" t="s">
        <v>7832</v>
      </c>
      <c r="AP393" t="s">
        <v>7833</v>
      </c>
      <c r="AQ393" t="s">
        <v>74</v>
      </c>
      <c r="AR393" t="s">
        <v>7834</v>
      </c>
      <c r="AS393" t="s">
        <v>7835</v>
      </c>
      <c r="AT393" t="s">
        <v>7836</v>
      </c>
      <c r="AU393">
        <v>2014</v>
      </c>
      <c r="AV393">
        <v>126</v>
      </c>
      <c r="AW393">
        <v>4</v>
      </c>
      <c r="AX393" t="s">
        <v>74</v>
      </c>
      <c r="AY393" t="s">
        <v>74</v>
      </c>
      <c r="AZ393" t="s">
        <v>74</v>
      </c>
      <c r="BA393" t="s">
        <v>74</v>
      </c>
      <c r="BB393">
        <v>299</v>
      </c>
      <c r="BC393">
        <v>311</v>
      </c>
      <c r="BD393" t="s">
        <v>74</v>
      </c>
      <c r="BE393" t="s">
        <v>7837</v>
      </c>
      <c r="BF393" t="str">
        <f>HYPERLINK("http://dx.doi.org/10.2988/0006-324X-126.4.299","http://dx.doi.org/10.2988/0006-324X-126.4.299")</f>
        <v>http://dx.doi.org/10.2988/0006-324X-126.4.299</v>
      </c>
      <c r="BG393" t="s">
        <v>74</v>
      </c>
      <c r="BH393" t="s">
        <v>74</v>
      </c>
      <c r="BI393">
        <v>13</v>
      </c>
      <c r="BJ393" t="s">
        <v>2474</v>
      </c>
      <c r="BK393" t="s">
        <v>101</v>
      </c>
      <c r="BL393" t="s">
        <v>2475</v>
      </c>
      <c r="BM393" t="s">
        <v>7838</v>
      </c>
      <c r="BN393" t="s">
        <v>74</v>
      </c>
      <c r="BO393" t="s">
        <v>74</v>
      </c>
      <c r="BP393" t="s">
        <v>74</v>
      </c>
      <c r="BQ393" t="s">
        <v>74</v>
      </c>
      <c r="BR393" t="s">
        <v>104</v>
      </c>
      <c r="BS393" t="s">
        <v>7839</v>
      </c>
      <c r="BT393" t="str">
        <f>HYPERLINK("https%3A%2F%2Fwww.webofscience.com%2Fwos%2Fwoscc%2Ffull-record%2FWOS:000330599600002","View Full Record in Web of Science")</f>
        <v>View Full Record in Web of Science</v>
      </c>
    </row>
    <row r="394" spans="1:72" x14ac:dyDescent="0.15">
      <c r="A394" t="s">
        <v>72</v>
      </c>
      <c r="B394" t="s">
        <v>7840</v>
      </c>
      <c r="C394" t="s">
        <v>74</v>
      </c>
      <c r="D394" t="s">
        <v>74</v>
      </c>
      <c r="E394" t="s">
        <v>74</v>
      </c>
      <c r="F394" t="s">
        <v>7841</v>
      </c>
      <c r="G394" t="s">
        <v>74</v>
      </c>
      <c r="H394" t="s">
        <v>74</v>
      </c>
      <c r="I394" t="s">
        <v>7842</v>
      </c>
      <c r="J394" t="s">
        <v>1275</v>
      </c>
      <c r="K394" t="s">
        <v>74</v>
      </c>
      <c r="L394" t="s">
        <v>74</v>
      </c>
      <c r="M394" t="s">
        <v>78</v>
      </c>
      <c r="N394" t="s">
        <v>79</v>
      </c>
      <c r="O394" t="s">
        <v>74</v>
      </c>
      <c r="P394" t="s">
        <v>74</v>
      </c>
      <c r="Q394" t="s">
        <v>74</v>
      </c>
      <c r="R394" t="s">
        <v>74</v>
      </c>
      <c r="S394" t="s">
        <v>74</v>
      </c>
      <c r="T394" t="s">
        <v>74</v>
      </c>
      <c r="U394" t="s">
        <v>7843</v>
      </c>
      <c r="V394" t="s">
        <v>7844</v>
      </c>
      <c r="W394" t="s">
        <v>7845</v>
      </c>
      <c r="X394" t="s">
        <v>7846</v>
      </c>
      <c r="Y394" t="s">
        <v>7847</v>
      </c>
      <c r="Z394" t="s">
        <v>7848</v>
      </c>
      <c r="AA394" t="s">
        <v>7849</v>
      </c>
      <c r="AB394" t="s">
        <v>7850</v>
      </c>
      <c r="AC394" t="s">
        <v>7851</v>
      </c>
      <c r="AD394" t="s">
        <v>7852</v>
      </c>
      <c r="AE394" t="s">
        <v>7853</v>
      </c>
      <c r="AF394" t="s">
        <v>74</v>
      </c>
      <c r="AG394">
        <v>93</v>
      </c>
      <c r="AH394">
        <v>47</v>
      </c>
      <c r="AI394">
        <v>48</v>
      </c>
      <c r="AJ394">
        <v>2</v>
      </c>
      <c r="AK394">
        <v>137</v>
      </c>
      <c r="AL394" t="s">
        <v>1261</v>
      </c>
      <c r="AM394" t="s">
        <v>1262</v>
      </c>
      <c r="AN394" t="s">
        <v>1263</v>
      </c>
      <c r="AO394" t="s">
        <v>1287</v>
      </c>
      <c r="AP394" t="s">
        <v>74</v>
      </c>
      <c r="AQ394" t="s">
        <v>74</v>
      </c>
      <c r="AR394" t="s">
        <v>1275</v>
      </c>
      <c r="AS394" t="s">
        <v>1288</v>
      </c>
      <c r="AT394" t="s">
        <v>7854</v>
      </c>
      <c r="AU394">
        <v>2014</v>
      </c>
      <c r="AV394">
        <v>9</v>
      </c>
      <c r="AW394">
        <v>1</v>
      </c>
      <c r="AX394" t="s">
        <v>74</v>
      </c>
      <c r="AY394" t="s">
        <v>74</v>
      </c>
      <c r="AZ394" t="s">
        <v>74</v>
      </c>
      <c r="BA394" t="s">
        <v>74</v>
      </c>
      <c r="BB394" t="s">
        <v>74</v>
      </c>
      <c r="BC394" t="s">
        <v>74</v>
      </c>
      <c r="BD394" t="s">
        <v>7855</v>
      </c>
      <c r="BE394" t="s">
        <v>7856</v>
      </c>
      <c r="BF394" t="str">
        <f>HYPERLINK("http://dx.doi.org/10.1371/journal.pone.0085291","http://dx.doi.org/10.1371/journal.pone.0085291")</f>
        <v>http://dx.doi.org/10.1371/journal.pone.0085291</v>
      </c>
      <c r="BG394" t="s">
        <v>74</v>
      </c>
      <c r="BH394" t="s">
        <v>74</v>
      </c>
      <c r="BI394">
        <v>9</v>
      </c>
      <c r="BJ394" t="s">
        <v>1100</v>
      </c>
      <c r="BK394" t="s">
        <v>101</v>
      </c>
      <c r="BL394" t="s">
        <v>1101</v>
      </c>
      <c r="BM394" t="s">
        <v>7857</v>
      </c>
      <c r="BN394">
        <v>24489657</v>
      </c>
      <c r="BO394" t="s">
        <v>2213</v>
      </c>
      <c r="BP394" t="s">
        <v>74</v>
      </c>
      <c r="BQ394" t="s">
        <v>74</v>
      </c>
      <c r="BR394" t="s">
        <v>104</v>
      </c>
      <c r="BS394" t="s">
        <v>7858</v>
      </c>
      <c r="BT394" t="str">
        <f>HYPERLINK("https%3A%2F%2Fwww.webofscience.com%2Fwos%2Fwoscc%2Ffull-record%2FWOS:000330570000009","View Full Record in Web of Science")</f>
        <v>View Full Record in Web of Science</v>
      </c>
    </row>
    <row r="395" spans="1:72" x14ac:dyDescent="0.15">
      <c r="A395" t="s">
        <v>72</v>
      </c>
      <c r="B395" t="s">
        <v>7859</v>
      </c>
      <c r="C395" t="s">
        <v>74</v>
      </c>
      <c r="D395" t="s">
        <v>74</v>
      </c>
      <c r="E395" t="s">
        <v>74</v>
      </c>
      <c r="F395" t="s">
        <v>7860</v>
      </c>
      <c r="G395" t="s">
        <v>74</v>
      </c>
      <c r="H395" t="s">
        <v>74</v>
      </c>
      <c r="I395" t="s">
        <v>7861</v>
      </c>
      <c r="J395" t="s">
        <v>1588</v>
      </c>
      <c r="K395" t="s">
        <v>74</v>
      </c>
      <c r="L395" t="s">
        <v>74</v>
      </c>
      <c r="M395" t="s">
        <v>78</v>
      </c>
      <c r="N395" t="s">
        <v>79</v>
      </c>
      <c r="O395" t="s">
        <v>74</v>
      </c>
      <c r="P395" t="s">
        <v>74</v>
      </c>
      <c r="Q395" t="s">
        <v>74</v>
      </c>
      <c r="R395" t="s">
        <v>74</v>
      </c>
      <c r="S395" t="s">
        <v>74</v>
      </c>
      <c r="T395" t="s">
        <v>7862</v>
      </c>
      <c r="U395" t="s">
        <v>7863</v>
      </c>
      <c r="V395" t="s">
        <v>7864</v>
      </c>
      <c r="W395" t="s">
        <v>7865</v>
      </c>
      <c r="X395" t="s">
        <v>7866</v>
      </c>
      <c r="Y395" t="s">
        <v>7867</v>
      </c>
      <c r="Z395" t="s">
        <v>7868</v>
      </c>
      <c r="AA395" t="s">
        <v>7869</v>
      </c>
      <c r="AB395" t="s">
        <v>7870</v>
      </c>
      <c r="AC395" t="s">
        <v>7871</v>
      </c>
      <c r="AD395" t="s">
        <v>7872</v>
      </c>
      <c r="AE395" t="s">
        <v>7873</v>
      </c>
      <c r="AF395" t="s">
        <v>74</v>
      </c>
      <c r="AG395">
        <v>28</v>
      </c>
      <c r="AH395">
        <v>40</v>
      </c>
      <c r="AI395">
        <v>41</v>
      </c>
      <c r="AJ395">
        <v>0</v>
      </c>
      <c r="AK395">
        <v>6</v>
      </c>
      <c r="AL395" t="s">
        <v>568</v>
      </c>
      <c r="AM395" t="s">
        <v>447</v>
      </c>
      <c r="AN395" t="s">
        <v>569</v>
      </c>
      <c r="AO395" t="s">
        <v>1601</v>
      </c>
      <c r="AP395" t="s">
        <v>1602</v>
      </c>
      <c r="AQ395" t="s">
        <v>74</v>
      </c>
      <c r="AR395" t="s">
        <v>1603</v>
      </c>
      <c r="AS395" t="s">
        <v>1604</v>
      </c>
      <c r="AT395" t="s">
        <v>7874</v>
      </c>
      <c r="AU395">
        <v>2014</v>
      </c>
      <c r="AV395">
        <v>41</v>
      </c>
      <c r="AW395">
        <v>2</v>
      </c>
      <c r="AX395" t="s">
        <v>74</v>
      </c>
      <c r="AY395" t="s">
        <v>74</v>
      </c>
      <c r="AZ395" t="s">
        <v>74</v>
      </c>
      <c r="BA395" t="s">
        <v>74</v>
      </c>
      <c r="BB395">
        <v>280</v>
      </c>
      <c r="BC395">
        <v>286</v>
      </c>
      <c r="BD395" t="s">
        <v>74</v>
      </c>
      <c r="BE395" t="s">
        <v>7875</v>
      </c>
      <c r="BF395" t="str">
        <f>HYPERLINK("http://dx.doi.org/10.1002/2013GL059050","http://dx.doi.org/10.1002/2013GL059050")</f>
        <v>http://dx.doi.org/10.1002/2013GL059050</v>
      </c>
      <c r="BG395" t="s">
        <v>74</v>
      </c>
      <c r="BH395" t="s">
        <v>74</v>
      </c>
      <c r="BI395">
        <v>7</v>
      </c>
      <c r="BJ395" t="s">
        <v>952</v>
      </c>
      <c r="BK395" t="s">
        <v>101</v>
      </c>
      <c r="BL395" t="s">
        <v>597</v>
      </c>
      <c r="BM395" t="s">
        <v>7876</v>
      </c>
      <c r="BN395">
        <v>25821274</v>
      </c>
      <c r="BO395" t="s">
        <v>454</v>
      </c>
      <c r="BP395" t="s">
        <v>74</v>
      </c>
      <c r="BQ395" t="s">
        <v>74</v>
      </c>
      <c r="BR395" t="s">
        <v>104</v>
      </c>
      <c r="BS395" t="s">
        <v>7877</v>
      </c>
      <c r="BT395" t="str">
        <f>HYPERLINK("https%3A%2F%2Fwww.webofscience.com%2Fwos%2Fwoscc%2Ffull-record%2FWOS:000332991000012","View Full Record in Web of Science")</f>
        <v>View Full Record in Web of Science</v>
      </c>
    </row>
    <row r="396" spans="1:72" x14ac:dyDescent="0.15">
      <c r="A396" t="s">
        <v>72</v>
      </c>
      <c r="B396" t="s">
        <v>7878</v>
      </c>
      <c r="C396" t="s">
        <v>74</v>
      </c>
      <c r="D396" t="s">
        <v>74</v>
      </c>
      <c r="E396" t="s">
        <v>74</v>
      </c>
      <c r="F396" t="s">
        <v>7879</v>
      </c>
      <c r="G396" t="s">
        <v>74</v>
      </c>
      <c r="H396" t="s">
        <v>74</v>
      </c>
      <c r="I396" t="s">
        <v>7880</v>
      </c>
      <c r="J396" t="s">
        <v>1588</v>
      </c>
      <c r="K396" t="s">
        <v>74</v>
      </c>
      <c r="L396" t="s">
        <v>74</v>
      </c>
      <c r="M396" t="s">
        <v>78</v>
      </c>
      <c r="N396" t="s">
        <v>79</v>
      </c>
      <c r="O396" t="s">
        <v>74</v>
      </c>
      <c r="P396" t="s">
        <v>74</v>
      </c>
      <c r="Q396" t="s">
        <v>74</v>
      </c>
      <c r="R396" t="s">
        <v>74</v>
      </c>
      <c r="S396" t="s">
        <v>74</v>
      </c>
      <c r="T396" t="s">
        <v>7881</v>
      </c>
      <c r="U396" t="s">
        <v>7882</v>
      </c>
      <c r="V396" t="s">
        <v>7883</v>
      </c>
      <c r="W396" t="s">
        <v>7884</v>
      </c>
      <c r="X396" t="s">
        <v>7885</v>
      </c>
      <c r="Y396" t="s">
        <v>7886</v>
      </c>
      <c r="Z396" t="s">
        <v>7887</v>
      </c>
      <c r="AA396" t="s">
        <v>7888</v>
      </c>
      <c r="AB396" t="s">
        <v>7889</v>
      </c>
      <c r="AC396" t="s">
        <v>7890</v>
      </c>
      <c r="AD396" t="s">
        <v>7891</v>
      </c>
      <c r="AE396" t="s">
        <v>7892</v>
      </c>
      <c r="AF396" t="s">
        <v>74</v>
      </c>
      <c r="AG396">
        <v>35</v>
      </c>
      <c r="AH396">
        <v>5</v>
      </c>
      <c r="AI396">
        <v>6</v>
      </c>
      <c r="AJ396">
        <v>0</v>
      </c>
      <c r="AK396">
        <v>25</v>
      </c>
      <c r="AL396" t="s">
        <v>568</v>
      </c>
      <c r="AM396" t="s">
        <v>447</v>
      </c>
      <c r="AN396" t="s">
        <v>569</v>
      </c>
      <c r="AO396" t="s">
        <v>1601</v>
      </c>
      <c r="AP396" t="s">
        <v>1602</v>
      </c>
      <c r="AQ396" t="s">
        <v>74</v>
      </c>
      <c r="AR396" t="s">
        <v>1603</v>
      </c>
      <c r="AS396" t="s">
        <v>1604</v>
      </c>
      <c r="AT396" t="s">
        <v>7874</v>
      </c>
      <c r="AU396">
        <v>2014</v>
      </c>
      <c r="AV396">
        <v>41</v>
      </c>
      <c r="AW396">
        <v>2</v>
      </c>
      <c r="AX396" t="s">
        <v>74</v>
      </c>
      <c r="AY396" t="s">
        <v>74</v>
      </c>
      <c r="AZ396" t="s">
        <v>74</v>
      </c>
      <c r="BA396" t="s">
        <v>74</v>
      </c>
      <c r="BB396">
        <v>519</v>
      </c>
      <c r="BC396">
        <v>526</v>
      </c>
      <c r="BD396" t="s">
        <v>74</v>
      </c>
      <c r="BE396" t="s">
        <v>7893</v>
      </c>
      <c r="BF396" t="str">
        <f>HYPERLINK("http://dx.doi.org/10.1002/2013GL058728","http://dx.doi.org/10.1002/2013GL058728")</f>
        <v>http://dx.doi.org/10.1002/2013GL058728</v>
      </c>
      <c r="BG396" t="s">
        <v>74</v>
      </c>
      <c r="BH396" t="s">
        <v>74</v>
      </c>
      <c r="BI396">
        <v>8</v>
      </c>
      <c r="BJ396" t="s">
        <v>952</v>
      </c>
      <c r="BK396" t="s">
        <v>101</v>
      </c>
      <c r="BL396" t="s">
        <v>597</v>
      </c>
      <c r="BM396" t="s">
        <v>7876</v>
      </c>
      <c r="BN396" t="s">
        <v>74</v>
      </c>
      <c r="BO396" t="s">
        <v>1103</v>
      </c>
      <c r="BP396" t="s">
        <v>74</v>
      </c>
      <c r="BQ396" t="s">
        <v>74</v>
      </c>
      <c r="BR396" t="s">
        <v>104</v>
      </c>
      <c r="BS396" t="s">
        <v>7894</v>
      </c>
      <c r="BT396" t="str">
        <f>HYPERLINK("https%3A%2F%2Fwww.webofscience.com%2Fwos%2Fwoscc%2Ffull-record%2FWOS:000332991000046","View Full Record in Web of Science")</f>
        <v>View Full Record in Web of Science</v>
      </c>
    </row>
    <row r="397" spans="1:72" x14ac:dyDescent="0.15">
      <c r="A397" t="s">
        <v>72</v>
      </c>
      <c r="B397" t="s">
        <v>7895</v>
      </c>
      <c r="C397" t="s">
        <v>74</v>
      </c>
      <c r="D397" t="s">
        <v>74</v>
      </c>
      <c r="E397" t="s">
        <v>74</v>
      </c>
      <c r="F397" t="s">
        <v>7896</v>
      </c>
      <c r="G397" t="s">
        <v>74</v>
      </c>
      <c r="H397" t="s">
        <v>74</v>
      </c>
      <c r="I397" t="s">
        <v>7897</v>
      </c>
      <c r="J397" t="s">
        <v>1588</v>
      </c>
      <c r="K397" t="s">
        <v>74</v>
      </c>
      <c r="L397" t="s">
        <v>74</v>
      </c>
      <c r="M397" t="s">
        <v>78</v>
      </c>
      <c r="N397" t="s">
        <v>79</v>
      </c>
      <c r="O397" t="s">
        <v>74</v>
      </c>
      <c r="P397" t="s">
        <v>74</v>
      </c>
      <c r="Q397" t="s">
        <v>74</v>
      </c>
      <c r="R397" t="s">
        <v>74</v>
      </c>
      <c r="S397" t="s">
        <v>74</v>
      </c>
      <c r="T397" t="s">
        <v>7898</v>
      </c>
      <c r="U397" t="s">
        <v>7899</v>
      </c>
      <c r="V397" t="s">
        <v>7900</v>
      </c>
      <c r="W397" t="s">
        <v>7901</v>
      </c>
      <c r="X397" t="s">
        <v>7902</v>
      </c>
      <c r="Y397" t="s">
        <v>7903</v>
      </c>
      <c r="Z397" t="s">
        <v>7904</v>
      </c>
      <c r="AA397" t="s">
        <v>7905</v>
      </c>
      <c r="AB397" t="s">
        <v>7906</v>
      </c>
      <c r="AC397" t="s">
        <v>7907</v>
      </c>
      <c r="AD397" t="s">
        <v>2620</v>
      </c>
      <c r="AE397" t="s">
        <v>7908</v>
      </c>
      <c r="AF397" t="s">
        <v>74</v>
      </c>
      <c r="AG397">
        <v>22</v>
      </c>
      <c r="AH397">
        <v>21</v>
      </c>
      <c r="AI397">
        <v>23</v>
      </c>
      <c r="AJ397">
        <v>1</v>
      </c>
      <c r="AK397">
        <v>24</v>
      </c>
      <c r="AL397" t="s">
        <v>568</v>
      </c>
      <c r="AM397" t="s">
        <v>447</v>
      </c>
      <c r="AN397" t="s">
        <v>569</v>
      </c>
      <c r="AO397" t="s">
        <v>1601</v>
      </c>
      <c r="AP397" t="s">
        <v>1602</v>
      </c>
      <c r="AQ397" t="s">
        <v>74</v>
      </c>
      <c r="AR397" t="s">
        <v>1603</v>
      </c>
      <c r="AS397" t="s">
        <v>1604</v>
      </c>
      <c r="AT397" t="s">
        <v>7874</v>
      </c>
      <c r="AU397">
        <v>2014</v>
      </c>
      <c r="AV397">
        <v>41</v>
      </c>
      <c r="AW397">
        <v>2</v>
      </c>
      <c r="AX397" t="s">
        <v>74</v>
      </c>
      <c r="AY397" t="s">
        <v>74</v>
      </c>
      <c r="AZ397" t="s">
        <v>74</v>
      </c>
      <c r="BA397" t="s">
        <v>74</v>
      </c>
      <c r="BB397">
        <v>730</v>
      </c>
      <c r="BC397">
        <v>735</v>
      </c>
      <c r="BD397" t="s">
        <v>74</v>
      </c>
      <c r="BE397" t="s">
        <v>7909</v>
      </c>
      <c r="BF397" t="str">
        <f>HYPERLINK("http://dx.doi.org/10.1002/2013GL058932","http://dx.doi.org/10.1002/2013GL058932")</f>
        <v>http://dx.doi.org/10.1002/2013GL058932</v>
      </c>
      <c r="BG397" t="s">
        <v>74</v>
      </c>
      <c r="BH397" t="s">
        <v>74</v>
      </c>
      <c r="BI397">
        <v>6</v>
      </c>
      <c r="BJ397" t="s">
        <v>952</v>
      </c>
      <c r="BK397" t="s">
        <v>101</v>
      </c>
      <c r="BL397" t="s">
        <v>597</v>
      </c>
      <c r="BM397" t="s">
        <v>7876</v>
      </c>
      <c r="BN397" t="s">
        <v>74</v>
      </c>
      <c r="BO397" t="s">
        <v>810</v>
      </c>
      <c r="BP397" t="s">
        <v>74</v>
      </c>
      <c r="BQ397" t="s">
        <v>74</v>
      </c>
      <c r="BR397" t="s">
        <v>104</v>
      </c>
      <c r="BS397" t="s">
        <v>7910</v>
      </c>
      <c r="BT397" t="str">
        <f>HYPERLINK("https%3A%2F%2Fwww.webofscience.com%2Fwos%2Fwoscc%2Ffull-record%2FWOS:000332991000076","View Full Record in Web of Science")</f>
        <v>View Full Record in Web of Science</v>
      </c>
    </row>
    <row r="398" spans="1:72" x14ac:dyDescent="0.15">
      <c r="A398" t="s">
        <v>72</v>
      </c>
      <c r="B398" t="s">
        <v>7911</v>
      </c>
      <c r="C398" t="s">
        <v>74</v>
      </c>
      <c r="D398" t="s">
        <v>74</v>
      </c>
      <c r="E398" t="s">
        <v>74</v>
      </c>
      <c r="F398" t="s">
        <v>7912</v>
      </c>
      <c r="G398" t="s">
        <v>74</v>
      </c>
      <c r="H398" t="s">
        <v>74</v>
      </c>
      <c r="I398" t="s">
        <v>7913</v>
      </c>
      <c r="J398" t="s">
        <v>1275</v>
      </c>
      <c r="K398" t="s">
        <v>74</v>
      </c>
      <c r="L398" t="s">
        <v>74</v>
      </c>
      <c r="M398" t="s">
        <v>78</v>
      </c>
      <c r="N398" t="s">
        <v>79</v>
      </c>
      <c r="O398" t="s">
        <v>74</v>
      </c>
      <c r="P398" t="s">
        <v>74</v>
      </c>
      <c r="Q398" t="s">
        <v>74</v>
      </c>
      <c r="R398" t="s">
        <v>74</v>
      </c>
      <c r="S398" t="s">
        <v>74</v>
      </c>
      <c r="T398" t="s">
        <v>74</v>
      </c>
      <c r="U398" t="s">
        <v>7914</v>
      </c>
      <c r="V398" t="s">
        <v>7915</v>
      </c>
      <c r="W398" t="s">
        <v>7916</v>
      </c>
      <c r="X398" t="s">
        <v>7917</v>
      </c>
      <c r="Y398" t="s">
        <v>7918</v>
      </c>
      <c r="Z398" t="s">
        <v>7919</v>
      </c>
      <c r="AA398" t="s">
        <v>7920</v>
      </c>
      <c r="AB398" t="s">
        <v>7921</v>
      </c>
      <c r="AC398" t="s">
        <v>7922</v>
      </c>
      <c r="AD398" t="s">
        <v>7923</v>
      </c>
      <c r="AE398" t="s">
        <v>7924</v>
      </c>
      <c r="AF398" t="s">
        <v>74</v>
      </c>
      <c r="AG398">
        <v>48</v>
      </c>
      <c r="AH398">
        <v>48</v>
      </c>
      <c r="AI398">
        <v>50</v>
      </c>
      <c r="AJ398">
        <v>1</v>
      </c>
      <c r="AK398">
        <v>122</v>
      </c>
      <c r="AL398" t="s">
        <v>1261</v>
      </c>
      <c r="AM398" t="s">
        <v>1262</v>
      </c>
      <c r="AN398" t="s">
        <v>1263</v>
      </c>
      <c r="AO398" t="s">
        <v>1287</v>
      </c>
      <c r="AP398" t="s">
        <v>74</v>
      </c>
      <c r="AQ398" t="s">
        <v>74</v>
      </c>
      <c r="AR398" t="s">
        <v>1275</v>
      </c>
      <c r="AS398" t="s">
        <v>1288</v>
      </c>
      <c r="AT398" t="s">
        <v>7874</v>
      </c>
      <c r="AU398">
        <v>2014</v>
      </c>
      <c r="AV398">
        <v>9</v>
      </c>
      <c r="AW398">
        <v>1</v>
      </c>
      <c r="AX398" t="s">
        <v>74</v>
      </c>
      <c r="AY398" t="s">
        <v>74</v>
      </c>
      <c r="AZ398" t="s">
        <v>74</v>
      </c>
      <c r="BA398" t="s">
        <v>74</v>
      </c>
      <c r="BB398" t="s">
        <v>74</v>
      </c>
      <c r="BC398" t="s">
        <v>74</v>
      </c>
      <c r="BD398" t="s">
        <v>7925</v>
      </c>
      <c r="BE398" t="s">
        <v>7926</v>
      </c>
      <c r="BF398" t="str">
        <f>HYPERLINK("http://dx.doi.org/10.1371/journal.pone.0086984","http://dx.doi.org/10.1371/journal.pone.0086984")</f>
        <v>http://dx.doi.org/10.1371/journal.pone.0086984</v>
      </c>
      <c r="BG398" t="s">
        <v>74</v>
      </c>
      <c r="BH398" t="s">
        <v>74</v>
      </c>
      <c r="BI398">
        <v>6</v>
      </c>
      <c r="BJ398" t="s">
        <v>1100</v>
      </c>
      <c r="BK398" t="s">
        <v>101</v>
      </c>
      <c r="BL398" t="s">
        <v>1101</v>
      </c>
      <c r="BM398" t="s">
        <v>7927</v>
      </c>
      <c r="BN398">
        <v>24489821</v>
      </c>
      <c r="BO398" t="s">
        <v>2318</v>
      </c>
      <c r="BP398" t="s">
        <v>74</v>
      </c>
      <c r="BQ398" t="s">
        <v>74</v>
      </c>
      <c r="BR398" t="s">
        <v>104</v>
      </c>
      <c r="BS398" t="s">
        <v>7928</v>
      </c>
      <c r="BT398" t="str">
        <f>HYPERLINK("https%3A%2F%2Fwww.webofscience.com%2Fwos%2Fwoscc%2Ffull-record%2FWOS:000330510000097","View Full Record in Web of Science")</f>
        <v>View Full Record in Web of Science</v>
      </c>
    </row>
    <row r="399" spans="1:72" x14ac:dyDescent="0.15">
      <c r="A399" t="s">
        <v>72</v>
      </c>
      <c r="B399" t="s">
        <v>7929</v>
      </c>
      <c r="C399" t="s">
        <v>74</v>
      </c>
      <c r="D399" t="s">
        <v>74</v>
      </c>
      <c r="E399" t="s">
        <v>74</v>
      </c>
      <c r="F399" t="s">
        <v>7930</v>
      </c>
      <c r="G399" t="s">
        <v>74</v>
      </c>
      <c r="H399" t="s">
        <v>74</v>
      </c>
      <c r="I399" t="s">
        <v>7931</v>
      </c>
      <c r="J399" t="s">
        <v>1646</v>
      </c>
      <c r="K399" t="s">
        <v>74</v>
      </c>
      <c r="L399" t="s">
        <v>74</v>
      </c>
      <c r="M399" t="s">
        <v>78</v>
      </c>
      <c r="N399" t="s">
        <v>79</v>
      </c>
      <c r="O399" t="s">
        <v>74</v>
      </c>
      <c r="P399" t="s">
        <v>74</v>
      </c>
      <c r="Q399" t="s">
        <v>74</v>
      </c>
      <c r="R399" t="s">
        <v>74</v>
      </c>
      <c r="S399" t="s">
        <v>74</v>
      </c>
      <c r="T399" t="s">
        <v>74</v>
      </c>
      <c r="U399" t="s">
        <v>7932</v>
      </c>
      <c r="V399" t="s">
        <v>7933</v>
      </c>
      <c r="W399" t="s">
        <v>7934</v>
      </c>
      <c r="X399" t="s">
        <v>7935</v>
      </c>
      <c r="Y399" t="s">
        <v>7936</v>
      </c>
      <c r="Z399" t="s">
        <v>7937</v>
      </c>
      <c r="AA399" t="s">
        <v>7938</v>
      </c>
      <c r="AB399" t="s">
        <v>7939</v>
      </c>
      <c r="AC399" t="s">
        <v>7940</v>
      </c>
      <c r="AD399" t="s">
        <v>7941</v>
      </c>
      <c r="AE399" t="s">
        <v>7942</v>
      </c>
      <c r="AF399" t="s">
        <v>74</v>
      </c>
      <c r="AG399">
        <v>62</v>
      </c>
      <c r="AH399">
        <v>8</v>
      </c>
      <c r="AI399">
        <v>8</v>
      </c>
      <c r="AJ399">
        <v>0</v>
      </c>
      <c r="AK399">
        <v>19</v>
      </c>
      <c r="AL399" t="s">
        <v>568</v>
      </c>
      <c r="AM399" t="s">
        <v>447</v>
      </c>
      <c r="AN399" t="s">
        <v>569</v>
      </c>
      <c r="AO399" t="s">
        <v>1658</v>
      </c>
      <c r="AP399" t="s">
        <v>1659</v>
      </c>
      <c r="AQ399" t="s">
        <v>74</v>
      </c>
      <c r="AR399" t="s">
        <v>1660</v>
      </c>
      <c r="AS399" t="s">
        <v>1661</v>
      </c>
      <c r="AT399" t="s">
        <v>7943</v>
      </c>
      <c r="AU399">
        <v>2014</v>
      </c>
      <c r="AV399">
        <v>119</v>
      </c>
      <c r="AW399">
        <v>2</v>
      </c>
      <c r="AX399" t="s">
        <v>74</v>
      </c>
      <c r="AY399" t="s">
        <v>74</v>
      </c>
      <c r="AZ399" t="s">
        <v>74</v>
      </c>
      <c r="BA399" t="s">
        <v>74</v>
      </c>
      <c r="BB399">
        <v>1015</v>
      </c>
      <c r="BC399">
        <v>1030</v>
      </c>
      <c r="BD399" t="s">
        <v>74</v>
      </c>
      <c r="BE399" t="s">
        <v>7944</v>
      </c>
      <c r="BF399" t="str">
        <f>HYPERLINK("http://dx.doi.org/10.1002/2013JD020503","http://dx.doi.org/10.1002/2013JD020503")</f>
        <v>http://dx.doi.org/10.1002/2013JD020503</v>
      </c>
      <c r="BG399" t="s">
        <v>74</v>
      </c>
      <c r="BH399" t="s">
        <v>74</v>
      </c>
      <c r="BI399">
        <v>16</v>
      </c>
      <c r="BJ399" t="s">
        <v>1391</v>
      </c>
      <c r="BK399" t="s">
        <v>101</v>
      </c>
      <c r="BL399" t="s">
        <v>1391</v>
      </c>
      <c r="BM399" t="s">
        <v>7945</v>
      </c>
      <c r="BN399" t="s">
        <v>74</v>
      </c>
      <c r="BO399" t="s">
        <v>1244</v>
      </c>
      <c r="BP399" t="s">
        <v>74</v>
      </c>
      <c r="BQ399" t="s">
        <v>74</v>
      </c>
      <c r="BR399" t="s">
        <v>104</v>
      </c>
      <c r="BS399" t="s">
        <v>7946</v>
      </c>
      <c r="BT399" t="str">
        <f>HYPERLINK("https%3A%2F%2Fwww.webofscience.com%2Fwos%2Fwoscc%2Ffull-record%2FWOS:000338338100021","View Full Record in Web of Science")</f>
        <v>View Full Record in Web of Science</v>
      </c>
    </row>
    <row r="400" spans="1:72" x14ac:dyDescent="0.15">
      <c r="A400" t="s">
        <v>72</v>
      </c>
      <c r="B400" t="s">
        <v>7947</v>
      </c>
      <c r="C400" t="s">
        <v>74</v>
      </c>
      <c r="D400" t="s">
        <v>74</v>
      </c>
      <c r="E400" t="s">
        <v>74</v>
      </c>
      <c r="F400" t="s">
        <v>7948</v>
      </c>
      <c r="G400" t="s">
        <v>74</v>
      </c>
      <c r="H400" t="s">
        <v>74</v>
      </c>
      <c r="I400" t="s">
        <v>7949</v>
      </c>
      <c r="J400" t="s">
        <v>1275</v>
      </c>
      <c r="K400" t="s">
        <v>74</v>
      </c>
      <c r="L400" t="s">
        <v>74</v>
      </c>
      <c r="M400" t="s">
        <v>78</v>
      </c>
      <c r="N400" t="s">
        <v>79</v>
      </c>
      <c r="O400" t="s">
        <v>74</v>
      </c>
      <c r="P400" t="s">
        <v>74</v>
      </c>
      <c r="Q400" t="s">
        <v>74</v>
      </c>
      <c r="R400" t="s">
        <v>74</v>
      </c>
      <c r="S400" t="s">
        <v>74</v>
      </c>
      <c r="T400" t="s">
        <v>74</v>
      </c>
      <c r="U400" t="s">
        <v>7950</v>
      </c>
      <c r="V400" t="s">
        <v>7951</v>
      </c>
      <c r="W400" t="s">
        <v>7952</v>
      </c>
      <c r="X400" t="s">
        <v>7953</v>
      </c>
      <c r="Y400" t="s">
        <v>7954</v>
      </c>
      <c r="Z400" t="s">
        <v>7955</v>
      </c>
      <c r="AA400" t="s">
        <v>7956</v>
      </c>
      <c r="AB400" t="s">
        <v>7957</v>
      </c>
      <c r="AC400" t="s">
        <v>7958</v>
      </c>
      <c r="AD400" t="s">
        <v>7959</v>
      </c>
      <c r="AE400" t="s">
        <v>7960</v>
      </c>
      <c r="AF400" t="s">
        <v>74</v>
      </c>
      <c r="AG400">
        <v>68</v>
      </c>
      <c r="AH400">
        <v>38</v>
      </c>
      <c r="AI400">
        <v>45</v>
      </c>
      <c r="AJ400">
        <v>0</v>
      </c>
      <c r="AK400">
        <v>37</v>
      </c>
      <c r="AL400" t="s">
        <v>1261</v>
      </c>
      <c r="AM400" t="s">
        <v>1262</v>
      </c>
      <c r="AN400" t="s">
        <v>1263</v>
      </c>
      <c r="AO400" t="s">
        <v>1287</v>
      </c>
      <c r="AP400" t="s">
        <v>74</v>
      </c>
      <c r="AQ400" t="s">
        <v>74</v>
      </c>
      <c r="AR400" t="s">
        <v>1275</v>
      </c>
      <c r="AS400" t="s">
        <v>1288</v>
      </c>
      <c r="AT400" t="s">
        <v>7943</v>
      </c>
      <c r="AU400">
        <v>2014</v>
      </c>
      <c r="AV400">
        <v>9</v>
      </c>
      <c r="AW400">
        <v>1</v>
      </c>
      <c r="AX400" t="s">
        <v>74</v>
      </c>
      <c r="AY400" t="s">
        <v>74</v>
      </c>
      <c r="AZ400" t="s">
        <v>74</v>
      </c>
      <c r="BA400" t="s">
        <v>74</v>
      </c>
      <c r="BB400" t="s">
        <v>74</v>
      </c>
      <c r="BC400" t="s">
        <v>74</v>
      </c>
      <c r="BD400" t="s">
        <v>7961</v>
      </c>
      <c r="BE400" t="s">
        <v>7962</v>
      </c>
      <c r="BF400" t="str">
        <f>HYPERLINK("http://dx.doi.org/10.1371/journal.pone.0087535","http://dx.doi.org/10.1371/journal.pone.0087535")</f>
        <v>http://dx.doi.org/10.1371/journal.pone.0087535</v>
      </c>
      <c r="BG400" t="s">
        <v>74</v>
      </c>
      <c r="BH400" t="s">
        <v>74</v>
      </c>
      <c r="BI400">
        <v>8</v>
      </c>
      <c r="BJ400" t="s">
        <v>1100</v>
      </c>
      <c r="BK400" t="s">
        <v>101</v>
      </c>
      <c r="BL400" t="s">
        <v>1101</v>
      </c>
      <c r="BM400" t="s">
        <v>7963</v>
      </c>
      <c r="BN400">
        <v>24475303</v>
      </c>
      <c r="BO400" t="s">
        <v>1270</v>
      </c>
      <c r="BP400" t="s">
        <v>74</v>
      </c>
      <c r="BQ400" t="s">
        <v>74</v>
      </c>
      <c r="BR400" t="s">
        <v>104</v>
      </c>
      <c r="BS400" t="s">
        <v>7964</v>
      </c>
      <c r="BT400" t="str">
        <f>HYPERLINK("https%3A%2F%2Fwww.webofscience.com%2Fwos%2Fwoscc%2Ffull-record%2FWOS:000330507300197","View Full Record in Web of Science")</f>
        <v>View Full Record in Web of Science</v>
      </c>
    </row>
    <row r="401" spans="1:72" x14ac:dyDescent="0.15">
      <c r="A401" t="s">
        <v>72</v>
      </c>
      <c r="B401" t="s">
        <v>7965</v>
      </c>
      <c r="C401" t="s">
        <v>74</v>
      </c>
      <c r="D401" t="s">
        <v>74</v>
      </c>
      <c r="E401" t="s">
        <v>74</v>
      </c>
      <c r="F401" t="s">
        <v>7966</v>
      </c>
      <c r="G401" t="s">
        <v>74</v>
      </c>
      <c r="H401" t="s">
        <v>74</v>
      </c>
      <c r="I401" t="s">
        <v>7967</v>
      </c>
      <c r="J401" t="s">
        <v>7968</v>
      </c>
      <c r="K401" t="s">
        <v>74</v>
      </c>
      <c r="L401" t="s">
        <v>74</v>
      </c>
      <c r="M401" t="s">
        <v>78</v>
      </c>
      <c r="N401" t="s">
        <v>933</v>
      </c>
      <c r="O401" t="s">
        <v>74</v>
      </c>
      <c r="P401" t="s">
        <v>74</v>
      </c>
      <c r="Q401" t="s">
        <v>74</v>
      </c>
      <c r="R401" t="s">
        <v>74</v>
      </c>
      <c r="S401" t="s">
        <v>74</v>
      </c>
      <c r="T401" t="s">
        <v>7969</v>
      </c>
      <c r="U401" t="s">
        <v>7970</v>
      </c>
      <c r="V401" t="s">
        <v>7971</v>
      </c>
      <c r="W401" t="s">
        <v>7972</v>
      </c>
      <c r="X401" t="s">
        <v>7973</v>
      </c>
      <c r="Y401" t="s">
        <v>7974</v>
      </c>
      <c r="Z401" t="s">
        <v>7975</v>
      </c>
      <c r="AA401" t="s">
        <v>74</v>
      </c>
      <c r="AB401" t="s">
        <v>7976</v>
      </c>
      <c r="AC401" t="s">
        <v>7977</v>
      </c>
      <c r="AD401" t="s">
        <v>7977</v>
      </c>
      <c r="AE401" t="s">
        <v>7978</v>
      </c>
      <c r="AF401" t="s">
        <v>74</v>
      </c>
      <c r="AG401">
        <v>159</v>
      </c>
      <c r="AH401">
        <v>127</v>
      </c>
      <c r="AI401">
        <v>136</v>
      </c>
      <c r="AJ401">
        <v>1</v>
      </c>
      <c r="AK401">
        <v>47</v>
      </c>
      <c r="AL401" t="s">
        <v>652</v>
      </c>
      <c r="AM401" t="s">
        <v>653</v>
      </c>
      <c r="AN401" t="s">
        <v>654</v>
      </c>
      <c r="AO401" t="s">
        <v>7979</v>
      </c>
      <c r="AP401" t="s">
        <v>7980</v>
      </c>
      <c r="AQ401" t="s">
        <v>74</v>
      </c>
      <c r="AR401" t="s">
        <v>7968</v>
      </c>
      <c r="AS401" t="s">
        <v>7981</v>
      </c>
      <c r="AT401" t="s">
        <v>7982</v>
      </c>
      <c r="AU401">
        <v>2014</v>
      </c>
      <c r="AV401">
        <v>611</v>
      </c>
      <c r="AW401" t="s">
        <v>74</v>
      </c>
      <c r="AX401" t="s">
        <v>74</v>
      </c>
      <c r="AY401" t="s">
        <v>74</v>
      </c>
      <c r="AZ401" t="s">
        <v>74</v>
      </c>
      <c r="BA401" t="s">
        <v>74</v>
      </c>
      <c r="BB401">
        <v>28</v>
      </c>
      <c r="BC401">
        <v>50</v>
      </c>
      <c r="BD401" t="s">
        <v>74</v>
      </c>
      <c r="BE401" t="s">
        <v>7983</v>
      </c>
      <c r="BF401" t="str">
        <f>HYPERLINK("http://dx.doi.org/10.1016/j.tecto.2013.11.021","http://dx.doi.org/10.1016/j.tecto.2013.11.021")</f>
        <v>http://dx.doi.org/10.1016/j.tecto.2013.11.021</v>
      </c>
      <c r="BG401" t="s">
        <v>74</v>
      </c>
      <c r="BH401" t="s">
        <v>74</v>
      </c>
      <c r="BI401">
        <v>23</v>
      </c>
      <c r="BJ401" t="s">
        <v>574</v>
      </c>
      <c r="BK401" t="s">
        <v>101</v>
      </c>
      <c r="BL401" t="s">
        <v>574</v>
      </c>
      <c r="BM401" t="s">
        <v>7984</v>
      </c>
      <c r="BN401" t="s">
        <v>74</v>
      </c>
      <c r="BO401" t="s">
        <v>234</v>
      </c>
      <c r="BP401" t="s">
        <v>74</v>
      </c>
      <c r="BQ401" t="s">
        <v>74</v>
      </c>
      <c r="BR401" t="s">
        <v>104</v>
      </c>
      <c r="BS401" t="s">
        <v>7985</v>
      </c>
      <c r="BT401" t="str">
        <f>HYPERLINK("https%3A%2F%2Fwww.webofscience.com%2Fwos%2Fwoscc%2Ffull-record%2FWOS:000330493500002","View Full Record in Web of Science")</f>
        <v>View Full Record in Web of Science</v>
      </c>
    </row>
    <row r="402" spans="1:72" x14ac:dyDescent="0.15">
      <c r="A402" t="s">
        <v>72</v>
      </c>
      <c r="B402" t="s">
        <v>7986</v>
      </c>
      <c r="C402" t="s">
        <v>74</v>
      </c>
      <c r="D402" t="s">
        <v>74</v>
      </c>
      <c r="E402" t="s">
        <v>74</v>
      </c>
      <c r="F402" t="s">
        <v>7987</v>
      </c>
      <c r="G402" t="s">
        <v>74</v>
      </c>
      <c r="H402" t="s">
        <v>74</v>
      </c>
      <c r="I402" t="s">
        <v>7988</v>
      </c>
      <c r="J402" t="s">
        <v>1275</v>
      </c>
      <c r="K402" t="s">
        <v>74</v>
      </c>
      <c r="L402" t="s">
        <v>74</v>
      </c>
      <c r="M402" t="s">
        <v>78</v>
      </c>
      <c r="N402" t="s">
        <v>79</v>
      </c>
      <c r="O402" t="s">
        <v>74</v>
      </c>
      <c r="P402" t="s">
        <v>74</v>
      </c>
      <c r="Q402" t="s">
        <v>74</v>
      </c>
      <c r="R402" t="s">
        <v>74</v>
      </c>
      <c r="S402" t="s">
        <v>74</v>
      </c>
      <c r="T402" t="s">
        <v>74</v>
      </c>
      <c r="U402" t="s">
        <v>7989</v>
      </c>
      <c r="V402" t="s">
        <v>7990</v>
      </c>
      <c r="W402" t="s">
        <v>7991</v>
      </c>
      <c r="X402" t="s">
        <v>7992</v>
      </c>
      <c r="Y402" t="s">
        <v>7993</v>
      </c>
      <c r="Z402" t="s">
        <v>7994</v>
      </c>
      <c r="AA402" t="s">
        <v>7995</v>
      </c>
      <c r="AB402" t="s">
        <v>7996</v>
      </c>
      <c r="AC402" t="s">
        <v>7997</v>
      </c>
      <c r="AD402" t="s">
        <v>7998</v>
      </c>
      <c r="AE402" t="s">
        <v>7999</v>
      </c>
      <c r="AF402" t="s">
        <v>74</v>
      </c>
      <c r="AG402">
        <v>125</v>
      </c>
      <c r="AH402">
        <v>30</v>
      </c>
      <c r="AI402">
        <v>31</v>
      </c>
      <c r="AJ402">
        <v>1</v>
      </c>
      <c r="AK402">
        <v>62</v>
      </c>
      <c r="AL402" t="s">
        <v>1261</v>
      </c>
      <c r="AM402" t="s">
        <v>1262</v>
      </c>
      <c r="AN402" t="s">
        <v>1263</v>
      </c>
      <c r="AO402" t="s">
        <v>1287</v>
      </c>
      <c r="AP402" t="s">
        <v>74</v>
      </c>
      <c r="AQ402" t="s">
        <v>74</v>
      </c>
      <c r="AR402" t="s">
        <v>1275</v>
      </c>
      <c r="AS402" t="s">
        <v>1288</v>
      </c>
      <c r="AT402" t="s">
        <v>8000</v>
      </c>
      <c r="AU402">
        <v>2014</v>
      </c>
      <c r="AV402">
        <v>9</v>
      </c>
      <c r="AW402">
        <v>1</v>
      </c>
      <c r="AX402" t="s">
        <v>74</v>
      </c>
      <c r="AY402" t="s">
        <v>74</v>
      </c>
      <c r="AZ402" t="s">
        <v>74</v>
      </c>
      <c r="BA402" t="s">
        <v>74</v>
      </c>
      <c r="BB402" t="s">
        <v>74</v>
      </c>
      <c r="BC402" t="s">
        <v>74</v>
      </c>
      <c r="BD402" t="s">
        <v>8001</v>
      </c>
      <c r="BE402" t="s">
        <v>8002</v>
      </c>
      <c r="BF402" t="str">
        <f>HYPERLINK("http://dx.doi.org/10.1371/journal.pone.0086452","http://dx.doi.org/10.1371/journal.pone.0086452")</f>
        <v>http://dx.doi.org/10.1371/journal.pone.0086452</v>
      </c>
      <c r="BG402" t="s">
        <v>74</v>
      </c>
      <c r="BH402" t="s">
        <v>74</v>
      </c>
      <c r="BI402">
        <v>17</v>
      </c>
      <c r="BJ402" t="s">
        <v>1100</v>
      </c>
      <c r="BK402" t="s">
        <v>101</v>
      </c>
      <c r="BL402" t="s">
        <v>1101</v>
      </c>
      <c r="BM402" t="s">
        <v>8003</v>
      </c>
      <c r="BN402">
        <v>24516515</v>
      </c>
      <c r="BO402" t="s">
        <v>4840</v>
      </c>
      <c r="BP402" t="s">
        <v>74</v>
      </c>
      <c r="BQ402" t="s">
        <v>74</v>
      </c>
      <c r="BR402" t="s">
        <v>104</v>
      </c>
      <c r="BS402" t="s">
        <v>8004</v>
      </c>
      <c r="BT402" t="str">
        <f>HYPERLINK("https%3A%2F%2Fwww.webofscience.com%2Fwos%2Fwoscc%2Ffull-record%2FWOS:000330339800047","View Full Record in Web of Science")</f>
        <v>View Full Record in Web of Science</v>
      </c>
    </row>
    <row r="403" spans="1:72" x14ac:dyDescent="0.15">
      <c r="A403" t="s">
        <v>72</v>
      </c>
      <c r="B403" t="s">
        <v>8005</v>
      </c>
      <c r="C403" t="s">
        <v>74</v>
      </c>
      <c r="D403" t="s">
        <v>74</v>
      </c>
      <c r="E403" t="s">
        <v>74</v>
      </c>
      <c r="F403" t="s">
        <v>8006</v>
      </c>
      <c r="G403" t="s">
        <v>74</v>
      </c>
      <c r="H403" t="s">
        <v>74</v>
      </c>
      <c r="I403" t="s">
        <v>8007</v>
      </c>
      <c r="J403" t="s">
        <v>5207</v>
      </c>
      <c r="K403" t="s">
        <v>74</v>
      </c>
      <c r="L403" t="s">
        <v>74</v>
      </c>
      <c r="M403" t="s">
        <v>78</v>
      </c>
      <c r="N403" t="s">
        <v>189</v>
      </c>
      <c r="O403" t="s">
        <v>74</v>
      </c>
      <c r="P403" t="s">
        <v>74</v>
      </c>
      <c r="Q403" t="s">
        <v>74</v>
      </c>
      <c r="R403" t="s">
        <v>74</v>
      </c>
      <c r="S403" t="s">
        <v>74</v>
      </c>
      <c r="T403" t="s">
        <v>74</v>
      </c>
      <c r="U403" t="s">
        <v>8008</v>
      </c>
      <c r="V403" t="s">
        <v>74</v>
      </c>
      <c r="W403" t="s">
        <v>8009</v>
      </c>
      <c r="X403" t="s">
        <v>773</v>
      </c>
      <c r="Y403" t="s">
        <v>8010</v>
      </c>
      <c r="Z403" t="s">
        <v>8011</v>
      </c>
      <c r="AA403" t="s">
        <v>74</v>
      </c>
      <c r="AB403" t="s">
        <v>74</v>
      </c>
      <c r="AC403" t="s">
        <v>8012</v>
      </c>
      <c r="AD403" t="s">
        <v>350</v>
      </c>
      <c r="AE403" t="s">
        <v>74</v>
      </c>
      <c r="AF403" t="s">
        <v>74</v>
      </c>
      <c r="AG403">
        <v>8</v>
      </c>
      <c r="AH403">
        <v>25</v>
      </c>
      <c r="AI403">
        <v>28</v>
      </c>
      <c r="AJ403">
        <v>0</v>
      </c>
      <c r="AK403">
        <v>18</v>
      </c>
      <c r="AL403" t="s">
        <v>1073</v>
      </c>
      <c r="AM403" t="s">
        <v>704</v>
      </c>
      <c r="AN403" t="s">
        <v>1074</v>
      </c>
      <c r="AO403" t="s">
        <v>5219</v>
      </c>
      <c r="AP403" t="s">
        <v>5220</v>
      </c>
      <c r="AQ403" t="s">
        <v>74</v>
      </c>
      <c r="AR403" t="s">
        <v>5207</v>
      </c>
      <c r="AS403" t="s">
        <v>5221</v>
      </c>
      <c r="AT403" t="s">
        <v>8013</v>
      </c>
      <c r="AU403">
        <v>2014</v>
      </c>
      <c r="AV403">
        <v>505</v>
      </c>
      <c r="AW403">
        <v>7484</v>
      </c>
      <c r="AX403" t="s">
        <v>74</v>
      </c>
      <c r="AY403" t="s">
        <v>74</v>
      </c>
      <c r="AZ403" t="s">
        <v>74</v>
      </c>
      <c r="BA403" t="s">
        <v>74</v>
      </c>
      <c r="BB403">
        <v>491</v>
      </c>
      <c r="BC403">
        <v>492</v>
      </c>
      <c r="BD403" t="s">
        <v>74</v>
      </c>
      <c r="BE403" t="s">
        <v>8014</v>
      </c>
      <c r="BF403" t="str">
        <f>HYPERLINK("http://dx.doi.org/10.1038/505491a","http://dx.doi.org/10.1038/505491a")</f>
        <v>http://dx.doi.org/10.1038/505491a</v>
      </c>
      <c r="BG403" t="s">
        <v>74</v>
      </c>
      <c r="BH403" t="s">
        <v>74</v>
      </c>
      <c r="BI403">
        <v>2</v>
      </c>
      <c r="BJ403" t="s">
        <v>1100</v>
      </c>
      <c r="BK403" t="s">
        <v>101</v>
      </c>
      <c r="BL403" t="s">
        <v>1101</v>
      </c>
      <c r="BM403" t="s">
        <v>8015</v>
      </c>
      <c r="BN403">
        <v>24451539</v>
      </c>
      <c r="BO403" t="s">
        <v>200</v>
      </c>
      <c r="BP403" t="s">
        <v>74</v>
      </c>
      <c r="BQ403" t="s">
        <v>74</v>
      </c>
      <c r="BR403" t="s">
        <v>104</v>
      </c>
      <c r="BS403" t="s">
        <v>8016</v>
      </c>
      <c r="BT403" t="str">
        <f>HYPERLINK("https%3A%2F%2Fwww.webofscience.com%2Fwos%2Fwoscc%2Ffull-record%2FWOS:000329995000027","View Full Record in Web of Science")</f>
        <v>View Full Record in Web of Science</v>
      </c>
    </row>
    <row r="404" spans="1:72" x14ac:dyDescent="0.15">
      <c r="A404" t="s">
        <v>72</v>
      </c>
      <c r="B404" t="s">
        <v>8017</v>
      </c>
      <c r="C404" t="s">
        <v>74</v>
      </c>
      <c r="D404" t="s">
        <v>74</v>
      </c>
      <c r="E404" t="s">
        <v>74</v>
      </c>
      <c r="F404" t="s">
        <v>8018</v>
      </c>
      <c r="G404" t="s">
        <v>74</v>
      </c>
      <c r="H404" t="s">
        <v>74</v>
      </c>
      <c r="I404" t="s">
        <v>8019</v>
      </c>
      <c r="J404" t="s">
        <v>5207</v>
      </c>
      <c r="K404" t="s">
        <v>74</v>
      </c>
      <c r="L404" t="s">
        <v>74</v>
      </c>
      <c r="M404" t="s">
        <v>78</v>
      </c>
      <c r="N404" t="s">
        <v>79</v>
      </c>
      <c r="O404" t="s">
        <v>74</v>
      </c>
      <c r="P404" t="s">
        <v>74</v>
      </c>
      <c r="Q404" t="s">
        <v>74</v>
      </c>
      <c r="R404" t="s">
        <v>74</v>
      </c>
      <c r="S404" t="s">
        <v>74</v>
      </c>
      <c r="T404" t="s">
        <v>74</v>
      </c>
      <c r="U404" t="s">
        <v>8020</v>
      </c>
      <c r="V404" t="s">
        <v>8021</v>
      </c>
      <c r="W404" t="s">
        <v>8022</v>
      </c>
      <c r="X404" t="s">
        <v>8023</v>
      </c>
      <c r="Y404" t="s">
        <v>8024</v>
      </c>
      <c r="Z404" t="s">
        <v>8025</v>
      </c>
      <c r="AA404" t="s">
        <v>8026</v>
      </c>
      <c r="AB404" t="s">
        <v>8027</v>
      </c>
      <c r="AC404" t="s">
        <v>8028</v>
      </c>
      <c r="AD404" t="s">
        <v>8029</v>
      </c>
      <c r="AE404" t="s">
        <v>8030</v>
      </c>
      <c r="AF404" t="s">
        <v>74</v>
      </c>
      <c r="AG404">
        <v>45</v>
      </c>
      <c r="AH404">
        <v>210</v>
      </c>
      <c r="AI404">
        <v>225</v>
      </c>
      <c r="AJ404">
        <v>10</v>
      </c>
      <c r="AK404">
        <v>153</v>
      </c>
      <c r="AL404" t="s">
        <v>1073</v>
      </c>
      <c r="AM404" t="s">
        <v>704</v>
      </c>
      <c r="AN404" t="s">
        <v>1074</v>
      </c>
      <c r="AO404" t="s">
        <v>5219</v>
      </c>
      <c r="AP404" t="s">
        <v>5220</v>
      </c>
      <c r="AQ404" t="s">
        <v>74</v>
      </c>
      <c r="AR404" t="s">
        <v>5207</v>
      </c>
      <c r="AS404" t="s">
        <v>5221</v>
      </c>
      <c r="AT404" t="s">
        <v>8013</v>
      </c>
      <c r="AU404">
        <v>2014</v>
      </c>
      <c r="AV404">
        <v>505</v>
      </c>
      <c r="AW404">
        <v>7484</v>
      </c>
      <c r="AX404" t="s">
        <v>74</v>
      </c>
      <c r="AY404" t="s">
        <v>74</v>
      </c>
      <c r="AZ404" t="s">
        <v>74</v>
      </c>
      <c r="BA404" t="s">
        <v>74</v>
      </c>
      <c r="BB404">
        <v>538</v>
      </c>
      <c r="BC404" t="s">
        <v>5223</v>
      </c>
      <c r="BD404" t="s">
        <v>74</v>
      </c>
      <c r="BE404" t="s">
        <v>8031</v>
      </c>
      <c r="BF404" t="str">
        <f>HYPERLINK("http://dx.doi.org/10.1038/nature12945","http://dx.doi.org/10.1038/nature12945")</f>
        <v>http://dx.doi.org/10.1038/nature12945</v>
      </c>
      <c r="BG404" t="s">
        <v>74</v>
      </c>
      <c r="BH404" t="s">
        <v>74</v>
      </c>
      <c r="BI404">
        <v>16</v>
      </c>
      <c r="BJ404" t="s">
        <v>1100</v>
      </c>
      <c r="BK404" t="s">
        <v>101</v>
      </c>
      <c r="BL404" t="s">
        <v>1101</v>
      </c>
      <c r="BM404" t="s">
        <v>8015</v>
      </c>
      <c r="BN404">
        <v>24451542</v>
      </c>
      <c r="BO404" t="s">
        <v>74</v>
      </c>
      <c r="BP404" t="s">
        <v>74</v>
      </c>
      <c r="BQ404" t="s">
        <v>74</v>
      </c>
      <c r="BR404" t="s">
        <v>104</v>
      </c>
      <c r="BS404" t="s">
        <v>8032</v>
      </c>
      <c r="BT404" t="str">
        <f>HYPERLINK("https%3A%2F%2Fwww.webofscience.com%2Fwos%2Fwoscc%2Ffull-record%2FWOS:000329995000037","View Full Record in Web of Science")</f>
        <v>View Full Record in Web of Science</v>
      </c>
    </row>
    <row r="405" spans="1:72" x14ac:dyDescent="0.15">
      <c r="A405" t="s">
        <v>72</v>
      </c>
      <c r="B405" t="s">
        <v>8033</v>
      </c>
      <c r="C405" t="s">
        <v>74</v>
      </c>
      <c r="D405" t="s">
        <v>74</v>
      </c>
      <c r="E405" t="s">
        <v>74</v>
      </c>
      <c r="F405" t="s">
        <v>8034</v>
      </c>
      <c r="G405" t="s">
        <v>74</v>
      </c>
      <c r="H405" t="s">
        <v>74</v>
      </c>
      <c r="I405" t="s">
        <v>8035</v>
      </c>
      <c r="J405" t="s">
        <v>1275</v>
      </c>
      <c r="K405" t="s">
        <v>74</v>
      </c>
      <c r="L405" t="s">
        <v>74</v>
      </c>
      <c r="M405" t="s">
        <v>78</v>
      </c>
      <c r="N405" t="s">
        <v>79</v>
      </c>
      <c r="O405" t="s">
        <v>74</v>
      </c>
      <c r="P405" t="s">
        <v>74</v>
      </c>
      <c r="Q405" t="s">
        <v>74</v>
      </c>
      <c r="R405" t="s">
        <v>74</v>
      </c>
      <c r="S405" t="s">
        <v>74</v>
      </c>
      <c r="T405" t="s">
        <v>74</v>
      </c>
      <c r="U405" t="s">
        <v>8036</v>
      </c>
      <c r="V405" t="s">
        <v>8037</v>
      </c>
      <c r="W405" t="s">
        <v>8038</v>
      </c>
      <c r="X405" t="s">
        <v>8039</v>
      </c>
      <c r="Y405" t="s">
        <v>8040</v>
      </c>
      <c r="Z405" t="s">
        <v>8041</v>
      </c>
      <c r="AA405" t="s">
        <v>8042</v>
      </c>
      <c r="AB405" t="s">
        <v>8043</v>
      </c>
      <c r="AC405" t="s">
        <v>8044</v>
      </c>
      <c r="AD405" t="s">
        <v>8045</v>
      </c>
      <c r="AE405" t="s">
        <v>8046</v>
      </c>
      <c r="AF405" t="s">
        <v>74</v>
      </c>
      <c r="AG405">
        <v>22</v>
      </c>
      <c r="AH405">
        <v>9</v>
      </c>
      <c r="AI405">
        <v>10</v>
      </c>
      <c r="AJ405">
        <v>0</v>
      </c>
      <c r="AK405">
        <v>24</v>
      </c>
      <c r="AL405" t="s">
        <v>1261</v>
      </c>
      <c r="AM405" t="s">
        <v>1262</v>
      </c>
      <c r="AN405" t="s">
        <v>1263</v>
      </c>
      <c r="AO405" t="s">
        <v>1287</v>
      </c>
      <c r="AP405" t="s">
        <v>74</v>
      </c>
      <c r="AQ405" t="s">
        <v>74</v>
      </c>
      <c r="AR405" t="s">
        <v>1275</v>
      </c>
      <c r="AS405" t="s">
        <v>1288</v>
      </c>
      <c r="AT405" t="s">
        <v>8047</v>
      </c>
      <c r="AU405">
        <v>2014</v>
      </c>
      <c r="AV405">
        <v>9</v>
      </c>
      <c r="AW405">
        <v>1</v>
      </c>
      <c r="AX405" t="s">
        <v>74</v>
      </c>
      <c r="AY405" t="s">
        <v>74</v>
      </c>
      <c r="AZ405" t="s">
        <v>74</v>
      </c>
      <c r="BA405" t="s">
        <v>74</v>
      </c>
      <c r="BB405" t="s">
        <v>74</v>
      </c>
      <c r="BC405" t="s">
        <v>74</v>
      </c>
      <c r="BD405" t="s">
        <v>8048</v>
      </c>
      <c r="BE405" t="s">
        <v>8049</v>
      </c>
      <c r="BF405" t="str">
        <f>HYPERLINK("http://dx.doi.org/10.1371/journal.pone.0086807","http://dx.doi.org/10.1371/journal.pone.0086807")</f>
        <v>http://dx.doi.org/10.1371/journal.pone.0086807</v>
      </c>
      <c r="BG405" t="s">
        <v>74</v>
      </c>
      <c r="BH405" t="s">
        <v>74</v>
      </c>
      <c r="BI405">
        <v>5</v>
      </c>
      <c r="BJ405" t="s">
        <v>1100</v>
      </c>
      <c r="BK405" t="s">
        <v>101</v>
      </c>
      <c r="BL405" t="s">
        <v>1101</v>
      </c>
      <c r="BM405" t="s">
        <v>8050</v>
      </c>
      <c r="BN405">
        <v>24466250</v>
      </c>
      <c r="BO405" t="s">
        <v>1270</v>
      </c>
      <c r="BP405" t="s">
        <v>74</v>
      </c>
      <c r="BQ405" t="s">
        <v>74</v>
      </c>
      <c r="BR405" t="s">
        <v>104</v>
      </c>
      <c r="BS405" t="s">
        <v>8051</v>
      </c>
      <c r="BT405" t="str">
        <f>HYPERLINK("https%3A%2F%2Fwww.webofscience.com%2Fwos%2Fwoscc%2Ffull-record%2FWOS:000330283100219","View Full Record in Web of Science")</f>
        <v>View Full Record in Web of Science</v>
      </c>
    </row>
    <row r="406" spans="1:72" x14ac:dyDescent="0.15">
      <c r="A406" t="s">
        <v>72</v>
      </c>
      <c r="B406" t="s">
        <v>8052</v>
      </c>
      <c r="C406" t="s">
        <v>74</v>
      </c>
      <c r="D406" t="s">
        <v>74</v>
      </c>
      <c r="E406" t="s">
        <v>74</v>
      </c>
      <c r="F406" t="s">
        <v>8053</v>
      </c>
      <c r="G406" t="s">
        <v>74</v>
      </c>
      <c r="H406" t="s">
        <v>74</v>
      </c>
      <c r="I406" t="s">
        <v>8054</v>
      </c>
      <c r="J406" t="s">
        <v>8055</v>
      </c>
      <c r="K406" t="s">
        <v>74</v>
      </c>
      <c r="L406" t="s">
        <v>74</v>
      </c>
      <c r="M406" t="s">
        <v>78</v>
      </c>
      <c r="N406" t="s">
        <v>79</v>
      </c>
      <c r="O406" t="s">
        <v>74</v>
      </c>
      <c r="P406" t="s">
        <v>74</v>
      </c>
      <c r="Q406" t="s">
        <v>74</v>
      </c>
      <c r="R406" t="s">
        <v>74</v>
      </c>
      <c r="S406" t="s">
        <v>74</v>
      </c>
      <c r="T406" t="s">
        <v>74</v>
      </c>
      <c r="U406" t="s">
        <v>8056</v>
      </c>
      <c r="V406" t="s">
        <v>8057</v>
      </c>
      <c r="W406" t="s">
        <v>8058</v>
      </c>
      <c r="X406" t="s">
        <v>8059</v>
      </c>
      <c r="Y406" t="s">
        <v>8060</v>
      </c>
      <c r="Z406" t="s">
        <v>8061</v>
      </c>
      <c r="AA406" t="s">
        <v>8062</v>
      </c>
      <c r="AB406" t="s">
        <v>8063</v>
      </c>
      <c r="AC406" t="s">
        <v>8064</v>
      </c>
      <c r="AD406" t="s">
        <v>8065</v>
      </c>
      <c r="AE406" t="s">
        <v>8066</v>
      </c>
      <c r="AF406" t="s">
        <v>74</v>
      </c>
      <c r="AG406">
        <v>132</v>
      </c>
      <c r="AH406">
        <v>1389</v>
      </c>
      <c r="AI406">
        <v>1530</v>
      </c>
      <c r="AJ406">
        <v>40</v>
      </c>
      <c r="AK406">
        <v>722</v>
      </c>
      <c r="AL406" t="s">
        <v>8067</v>
      </c>
      <c r="AM406" t="s">
        <v>1948</v>
      </c>
      <c r="AN406" t="s">
        <v>8068</v>
      </c>
      <c r="AO406" t="s">
        <v>8069</v>
      </c>
      <c r="AP406" t="s">
        <v>74</v>
      </c>
      <c r="AQ406" t="s">
        <v>74</v>
      </c>
      <c r="AR406" t="s">
        <v>8055</v>
      </c>
      <c r="AS406" t="s">
        <v>8070</v>
      </c>
      <c r="AT406" t="s">
        <v>8071</v>
      </c>
      <c r="AU406">
        <v>2014</v>
      </c>
      <c r="AV406">
        <v>3</v>
      </c>
      <c r="AW406" t="s">
        <v>74</v>
      </c>
      <c r="AX406" t="s">
        <v>74</v>
      </c>
      <c r="AY406" t="s">
        <v>74</v>
      </c>
      <c r="AZ406" t="s">
        <v>74</v>
      </c>
      <c r="BA406" t="s">
        <v>74</v>
      </c>
      <c r="BB406" t="s">
        <v>74</v>
      </c>
      <c r="BC406" t="s">
        <v>74</v>
      </c>
      <c r="BD406" t="s">
        <v>8072</v>
      </c>
      <c r="BE406" t="s">
        <v>8073</v>
      </c>
      <c r="BF406" t="str">
        <f>HYPERLINK("http://dx.doi.org/10.7554/eLife.00590","http://dx.doi.org/10.7554/eLife.00590")</f>
        <v>http://dx.doi.org/10.7554/eLife.00590</v>
      </c>
      <c r="BG406" t="s">
        <v>74</v>
      </c>
      <c r="BH406" t="s">
        <v>74</v>
      </c>
      <c r="BI406">
        <v>34</v>
      </c>
      <c r="BJ406" t="s">
        <v>2474</v>
      </c>
      <c r="BK406" t="s">
        <v>101</v>
      </c>
      <c r="BL406" t="s">
        <v>2475</v>
      </c>
      <c r="BM406" t="s">
        <v>8074</v>
      </c>
      <c r="BN406">
        <v>24448405</v>
      </c>
      <c r="BO406" t="s">
        <v>8075</v>
      </c>
      <c r="BP406" t="s">
        <v>811</v>
      </c>
      <c r="BQ406" t="s">
        <v>812</v>
      </c>
      <c r="BR406" t="s">
        <v>104</v>
      </c>
      <c r="BS406" t="s">
        <v>8076</v>
      </c>
      <c r="BT406" t="str">
        <f>HYPERLINK("https%3A%2F%2Fwww.webofscience.com%2Fwos%2Fwoscc%2Ffull-record%2FWOS:000330172600001","View Full Record in Web of Science")</f>
        <v>View Full Record in Web of Science</v>
      </c>
    </row>
    <row r="407" spans="1:72" x14ac:dyDescent="0.15">
      <c r="A407" t="s">
        <v>72</v>
      </c>
      <c r="B407" t="s">
        <v>8077</v>
      </c>
      <c r="C407" t="s">
        <v>74</v>
      </c>
      <c r="D407" t="s">
        <v>74</v>
      </c>
      <c r="E407" t="s">
        <v>74</v>
      </c>
      <c r="F407" t="s">
        <v>8078</v>
      </c>
      <c r="G407" t="s">
        <v>74</v>
      </c>
      <c r="H407" t="s">
        <v>74</v>
      </c>
      <c r="I407" t="s">
        <v>8079</v>
      </c>
      <c r="J407" t="s">
        <v>8080</v>
      </c>
      <c r="K407" t="s">
        <v>74</v>
      </c>
      <c r="L407" t="s">
        <v>74</v>
      </c>
      <c r="M407" t="s">
        <v>78</v>
      </c>
      <c r="N407" t="s">
        <v>79</v>
      </c>
      <c r="O407" t="s">
        <v>74</v>
      </c>
      <c r="P407" t="s">
        <v>74</v>
      </c>
      <c r="Q407" t="s">
        <v>74</v>
      </c>
      <c r="R407" t="s">
        <v>74</v>
      </c>
      <c r="S407" t="s">
        <v>74</v>
      </c>
      <c r="T407" t="s">
        <v>8081</v>
      </c>
      <c r="U407" t="s">
        <v>8082</v>
      </c>
      <c r="V407" t="s">
        <v>8083</v>
      </c>
      <c r="W407" t="s">
        <v>8084</v>
      </c>
      <c r="X407" t="s">
        <v>8085</v>
      </c>
      <c r="Y407" t="s">
        <v>8086</v>
      </c>
      <c r="Z407" t="s">
        <v>8087</v>
      </c>
      <c r="AA407" t="s">
        <v>74</v>
      </c>
      <c r="AB407" t="s">
        <v>74</v>
      </c>
      <c r="AC407" t="s">
        <v>8088</v>
      </c>
      <c r="AD407" t="s">
        <v>8089</v>
      </c>
      <c r="AE407" t="s">
        <v>8090</v>
      </c>
      <c r="AF407" t="s">
        <v>74</v>
      </c>
      <c r="AG407">
        <v>55</v>
      </c>
      <c r="AH407">
        <v>4</v>
      </c>
      <c r="AI407">
        <v>4</v>
      </c>
      <c r="AJ407">
        <v>0</v>
      </c>
      <c r="AK407">
        <v>20</v>
      </c>
      <c r="AL407" t="s">
        <v>8091</v>
      </c>
      <c r="AM407" t="s">
        <v>8092</v>
      </c>
      <c r="AN407" t="s">
        <v>8093</v>
      </c>
      <c r="AO407" t="s">
        <v>8094</v>
      </c>
      <c r="AP407" t="s">
        <v>74</v>
      </c>
      <c r="AQ407" t="s">
        <v>74</v>
      </c>
      <c r="AR407" t="s">
        <v>8095</v>
      </c>
      <c r="AS407" t="s">
        <v>8096</v>
      </c>
      <c r="AT407" t="s">
        <v>8071</v>
      </c>
      <c r="AU407">
        <v>2014</v>
      </c>
      <c r="AV407">
        <v>8</v>
      </c>
      <c r="AW407" t="s">
        <v>74</v>
      </c>
      <c r="AX407" t="s">
        <v>74</v>
      </c>
      <c r="AY407" t="s">
        <v>74</v>
      </c>
      <c r="AZ407" t="s">
        <v>74</v>
      </c>
      <c r="BA407" t="s">
        <v>74</v>
      </c>
      <c r="BB407" t="s">
        <v>74</v>
      </c>
      <c r="BC407" t="s">
        <v>74</v>
      </c>
      <c r="BD407">
        <v>83688</v>
      </c>
      <c r="BE407" t="s">
        <v>8097</v>
      </c>
      <c r="BF407" t="str">
        <f>HYPERLINK("http://dx.doi.org/10.1117/1.JRS.8.083688","http://dx.doi.org/10.1117/1.JRS.8.083688")</f>
        <v>http://dx.doi.org/10.1117/1.JRS.8.083688</v>
      </c>
      <c r="BG407" t="s">
        <v>74</v>
      </c>
      <c r="BH407" t="s">
        <v>74</v>
      </c>
      <c r="BI407">
        <v>14</v>
      </c>
      <c r="BJ407" t="s">
        <v>1788</v>
      </c>
      <c r="BK407" t="s">
        <v>101</v>
      </c>
      <c r="BL407" t="s">
        <v>1789</v>
      </c>
      <c r="BM407" t="s">
        <v>8098</v>
      </c>
      <c r="BN407" t="s">
        <v>74</v>
      </c>
      <c r="BO407" t="s">
        <v>74</v>
      </c>
      <c r="BP407" t="s">
        <v>74</v>
      </c>
      <c r="BQ407" t="s">
        <v>74</v>
      </c>
      <c r="BR407" t="s">
        <v>104</v>
      </c>
      <c r="BS407" t="s">
        <v>8099</v>
      </c>
      <c r="BT407" t="str">
        <f>HYPERLINK("https%3A%2F%2Fwww.webofscience.com%2Fwos%2Fwoscc%2Ffull-record%2FWOS:000330566600001","View Full Record in Web of Science")</f>
        <v>View Full Record in Web of Science</v>
      </c>
    </row>
    <row r="408" spans="1:72" x14ac:dyDescent="0.15">
      <c r="A408" t="s">
        <v>72</v>
      </c>
      <c r="B408" t="s">
        <v>8100</v>
      </c>
      <c r="C408" t="s">
        <v>74</v>
      </c>
      <c r="D408" t="s">
        <v>74</v>
      </c>
      <c r="E408" t="s">
        <v>74</v>
      </c>
      <c r="F408" t="s">
        <v>8101</v>
      </c>
      <c r="G408" t="s">
        <v>74</v>
      </c>
      <c r="H408" t="s">
        <v>74</v>
      </c>
      <c r="I408" t="s">
        <v>8102</v>
      </c>
      <c r="J408" t="s">
        <v>8103</v>
      </c>
      <c r="K408" t="s">
        <v>74</v>
      </c>
      <c r="L408" t="s">
        <v>74</v>
      </c>
      <c r="M408" t="s">
        <v>78</v>
      </c>
      <c r="N408" t="s">
        <v>79</v>
      </c>
      <c r="O408" t="s">
        <v>74</v>
      </c>
      <c r="P408" t="s">
        <v>74</v>
      </c>
      <c r="Q408" t="s">
        <v>74</v>
      </c>
      <c r="R408" t="s">
        <v>74</v>
      </c>
      <c r="S408" t="s">
        <v>74</v>
      </c>
      <c r="T408" t="s">
        <v>8104</v>
      </c>
      <c r="U408" t="s">
        <v>8105</v>
      </c>
      <c r="V408" t="s">
        <v>8106</v>
      </c>
      <c r="W408" t="s">
        <v>8107</v>
      </c>
      <c r="X408" t="s">
        <v>8108</v>
      </c>
      <c r="Y408" t="s">
        <v>8109</v>
      </c>
      <c r="Z408" t="s">
        <v>8110</v>
      </c>
      <c r="AA408" t="s">
        <v>2105</v>
      </c>
      <c r="AB408" t="s">
        <v>8111</v>
      </c>
      <c r="AC408" t="s">
        <v>74</v>
      </c>
      <c r="AD408" t="s">
        <v>74</v>
      </c>
      <c r="AE408" t="s">
        <v>74</v>
      </c>
      <c r="AF408" t="s">
        <v>74</v>
      </c>
      <c r="AG408">
        <v>51</v>
      </c>
      <c r="AH408">
        <v>16</v>
      </c>
      <c r="AI408">
        <v>17</v>
      </c>
      <c r="AJ408">
        <v>2</v>
      </c>
      <c r="AK408">
        <v>60</v>
      </c>
      <c r="AL408" t="s">
        <v>8112</v>
      </c>
      <c r="AM408" t="s">
        <v>704</v>
      </c>
      <c r="AN408" t="s">
        <v>8113</v>
      </c>
      <c r="AO408" t="s">
        <v>8114</v>
      </c>
      <c r="AP408" t="s">
        <v>8115</v>
      </c>
      <c r="AQ408" t="s">
        <v>74</v>
      </c>
      <c r="AR408" t="s">
        <v>8116</v>
      </c>
      <c r="AS408" t="s">
        <v>8117</v>
      </c>
      <c r="AT408" t="s">
        <v>8118</v>
      </c>
      <c r="AU408">
        <v>2014</v>
      </c>
      <c r="AV408">
        <v>137</v>
      </c>
      <c r="AW408" t="s">
        <v>74</v>
      </c>
      <c r="AX408" t="s">
        <v>74</v>
      </c>
      <c r="AY408" t="s">
        <v>74</v>
      </c>
      <c r="AZ408" t="s">
        <v>74</v>
      </c>
      <c r="BA408" t="s">
        <v>74</v>
      </c>
      <c r="BB408">
        <v>14</v>
      </c>
      <c r="BC408">
        <v>22</v>
      </c>
      <c r="BD408" t="s">
        <v>74</v>
      </c>
      <c r="BE408" t="s">
        <v>8119</v>
      </c>
      <c r="BF408" t="str">
        <f>HYPERLINK("http://dx.doi.org/10.1016/j.ecss.2013.11.024","http://dx.doi.org/10.1016/j.ecss.2013.11.024")</f>
        <v>http://dx.doi.org/10.1016/j.ecss.2013.11.024</v>
      </c>
      <c r="BG408" t="s">
        <v>74</v>
      </c>
      <c r="BH408" t="s">
        <v>74</v>
      </c>
      <c r="BI408">
        <v>9</v>
      </c>
      <c r="BJ408" t="s">
        <v>909</v>
      </c>
      <c r="BK408" t="s">
        <v>101</v>
      </c>
      <c r="BL408" t="s">
        <v>909</v>
      </c>
      <c r="BM408" t="s">
        <v>8120</v>
      </c>
      <c r="BN408" t="s">
        <v>74</v>
      </c>
      <c r="BO408" t="s">
        <v>74</v>
      </c>
      <c r="BP408" t="s">
        <v>74</v>
      </c>
      <c r="BQ408" t="s">
        <v>74</v>
      </c>
      <c r="BR408" t="s">
        <v>104</v>
      </c>
      <c r="BS408" t="s">
        <v>8121</v>
      </c>
      <c r="BT408" t="str">
        <f>HYPERLINK("https%3A%2F%2Fwww.webofscience.com%2Fwos%2Fwoscc%2Ffull-record%2FWOS:000331507000002","View Full Record in Web of Science")</f>
        <v>View Full Record in Web of Science</v>
      </c>
    </row>
    <row r="409" spans="1:72" x14ac:dyDescent="0.15">
      <c r="A409" t="s">
        <v>72</v>
      </c>
      <c r="B409" t="s">
        <v>8122</v>
      </c>
      <c r="C409" t="s">
        <v>74</v>
      </c>
      <c r="D409" t="s">
        <v>74</v>
      </c>
      <c r="E409" t="s">
        <v>74</v>
      </c>
      <c r="F409" t="s">
        <v>8123</v>
      </c>
      <c r="G409" t="s">
        <v>74</v>
      </c>
      <c r="H409" t="s">
        <v>74</v>
      </c>
      <c r="I409" t="s">
        <v>8124</v>
      </c>
      <c r="J409" t="s">
        <v>8125</v>
      </c>
      <c r="K409" t="s">
        <v>74</v>
      </c>
      <c r="L409" t="s">
        <v>74</v>
      </c>
      <c r="M409" t="s">
        <v>78</v>
      </c>
      <c r="N409" t="s">
        <v>79</v>
      </c>
      <c r="O409" t="s">
        <v>74</v>
      </c>
      <c r="P409" t="s">
        <v>74</v>
      </c>
      <c r="Q409" t="s">
        <v>74</v>
      </c>
      <c r="R409" t="s">
        <v>74</v>
      </c>
      <c r="S409" t="s">
        <v>74</v>
      </c>
      <c r="T409" t="s">
        <v>8126</v>
      </c>
      <c r="U409" t="s">
        <v>8127</v>
      </c>
      <c r="V409" t="s">
        <v>8128</v>
      </c>
      <c r="W409" t="s">
        <v>8129</v>
      </c>
      <c r="X409" t="s">
        <v>8130</v>
      </c>
      <c r="Y409" t="s">
        <v>8131</v>
      </c>
      <c r="Z409" t="s">
        <v>8132</v>
      </c>
      <c r="AA409" t="s">
        <v>8133</v>
      </c>
      <c r="AB409" t="s">
        <v>8134</v>
      </c>
      <c r="AC409" t="s">
        <v>8135</v>
      </c>
      <c r="AD409" t="s">
        <v>8136</v>
      </c>
      <c r="AE409" t="s">
        <v>8137</v>
      </c>
      <c r="AF409" t="s">
        <v>74</v>
      </c>
      <c r="AG409">
        <v>46</v>
      </c>
      <c r="AH409">
        <v>18</v>
      </c>
      <c r="AI409">
        <v>23</v>
      </c>
      <c r="AJ409">
        <v>0</v>
      </c>
      <c r="AK409">
        <v>4</v>
      </c>
      <c r="AL409" t="s">
        <v>323</v>
      </c>
      <c r="AM409" t="s">
        <v>324</v>
      </c>
      <c r="AN409" t="s">
        <v>325</v>
      </c>
      <c r="AO409" t="s">
        <v>8138</v>
      </c>
      <c r="AP409" t="s">
        <v>8139</v>
      </c>
      <c r="AQ409" t="s">
        <v>74</v>
      </c>
      <c r="AR409" t="s">
        <v>8140</v>
      </c>
      <c r="AS409" t="s">
        <v>8141</v>
      </c>
      <c r="AT409" t="s">
        <v>8118</v>
      </c>
      <c r="AU409">
        <v>2014</v>
      </c>
      <c r="AV409">
        <v>781</v>
      </c>
      <c r="AW409">
        <v>1</v>
      </c>
      <c r="AX409" t="s">
        <v>74</v>
      </c>
      <c r="AY409" t="s">
        <v>74</v>
      </c>
      <c r="AZ409" t="s">
        <v>74</v>
      </c>
      <c r="BA409" t="s">
        <v>74</v>
      </c>
      <c r="BB409" t="s">
        <v>74</v>
      </c>
      <c r="BC409" t="s">
        <v>74</v>
      </c>
      <c r="BD409" t="s">
        <v>8142</v>
      </c>
      <c r="BE409" t="s">
        <v>8143</v>
      </c>
      <c r="BF409" t="str">
        <f>HYPERLINK("http://dx.doi.org/10.1088/2041-8205/781/1/L10","http://dx.doi.org/10.1088/2041-8205/781/1/L10")</f>
        <v>http://dx.doi.org/10.1088/2041-8205/781/1/L10</v>
      </c>
      <c r="BG409" t="s">
        <v>74</v>
      </c>
      <c r="BH409" t="s">
        <v>74</v>
      </c>
      <c r="BI409">
        <v>5</v>
      </c>
      <c r="BJ409" t="s">
        <v>332</v>
      </c>
      <c r="BK409" t="s">
        <v>101</v>
      </c>
      <c r="BL409" t="s">
        <v>332</v>
      </c>
      <c r="BM409" t="s">
        <v>8144</v>
      </c>
      <c r="BN409" t="s">
        <v>74</v>
      </c>
      <c r="BO409" t="s">
        <v>1056</v>
      </c>
      <c r="BP409" t="s">
        <v>74</v>
      </c>
      <c r="BQ409" t="s">
        <v>74</v>
      </c>
      <c r="BR409" t="s">
        <v>104</v>
      </c>
      <c r="BS409" t="s">
        <v>8145</v>
      </c>
      <c r="BT409" t="str">
        <f>HYPERLINK("https%3A%2F%2Fwww.webofscience.com%2Fwos%2Fwoscc%2Ffull-record%2FWOS:000329582400010","View Full Record in Web of Science")</f>
        <v>View Full Record in Web of Science</v>
      </c>
    </row>
    <row r="410" spans="1:72" x14ac:dyDescent="0.15">
      <c r="A410" t="s">
        <v>72</v>
      </c>
      <c r="B410" t="s">
        <v>8146</v>
      </c>
      <c r="C410" t="s">
        <v>74</v>
      </c>
      <c r="D410" t="s">
        <v>74</v>
      </c>
      <c r="E410" t="s">
        <v>74</v>
      </c>
      <c r="F410" t="s">
        <v>8147</v>
      </c>
      <c r="G410" t="s">
        <v>74</v>
      </c>
      <c r="H410" t="s">
        <v>74</v>
      </c>
      <c r="I410" t="s">
        <v>8148</v>
      </c>
      <c r="J410" t="s">
        <v>2235</v>
      </c>
      <c r="K410" t="s">
        <v>74</v>
      </c>
      <c r="L410" t="s">
        <v>74</v>
      </c>
      <c r="M410" t="s">
        <v>78</v>
      </c>
      <c r="N410" t="s">
        <v>79</v>
      </c>
      <c r="O410" t="s">
        <v>74</v>
      </c>
      <c r="P410" t="s">
        <v>74</v>
      </c>
      <c r="Q410" t="s">
        <v>74</v>
      </c>
      <c r="R410" t="s">
        <v>74</v>
      </c>
      <c r="S410" t="s">
        <v>74</v>
      </c>
      <c r="T410" t="s">
        <v>8149</v>
      </c>
      <c r="U410" t="s">
        <v>8150</v>
      </c>
      <c r="V410" t="s">
        <v>8151</v>
      </c>
      <c r="W410" t="s">
        <v>8152</v>
      </c>
      <c r="X410" t="s">
        <v>8153</v>
      </c>
      <c r="Y410" t="s">
        <v>8154</v>
      </c>
      <c r="Z410" t="s">
        <v>8155</v>
      </c>
      <c r="AA410" t="s">
        <v>8156</v>
      </c>
      <c r="AB410" t="s">
        <v>8157</v>
      </c>
      <c r="AC410" t="s">
        <v>8158</v>
      </c>
      <c r="AD410" t="s">
        <v>8159</v>
      </c>
      <c r="AE410" t="s">
        <v>8160</v>
      </c>
      <c r="AF410" t="s">
        <v>74</v>
      </c>
      <c r="AG410">
        <v>56</v>
      </c>
      <c r="AH410">
        <v>16</v>
      </c>
      <c r="AI410">
        <v>19</v>
      </c>
      <c r="AJ410">
        <v>0</v>
      </c>
      <c r="AK410">
        <v>82</v>
      </c>
      <c r="AL410" t="s">
        <v>902</v>
      </c>
      <c r="AM410" t="s">
        <v>653</v>
      </c>
      <c r="AN410" t="s">
        <v>903</v>
      </c>
      <c r="AO410" t="s">
        <v>2248</v>
      </c>
      <c r="AP410" t="s">
        <v>2249</v>
      </c>
      <c r="AQ410" t="s">
        <v>74</v>
      </c>
      <c r="AR410" t="s">
        <v>2250</v>
      </c>
      <c r="AS410" t="s">
        <v>2251</v>
      </c>
      <c r="AT410" t="s">
        <v>8161</v>
      </c>
      <c r="AU410">
        <v>2014</v>
      </c>
      <c r="AV410">
        <v>1325</v>
      </c>
      <c r="AW410" t="s">
        <v>74</v>
      </c>
      <c r="AX410" t="s">
        <v>74</v>
      </c>
      <c r="AY410" t="s">
        <v>74</v>
      </c>
      <c r="AZ410" t="s">
        <v>74</v>
      </c>
      <c r="BA410" t="s">
        <v>74</v>
      </c>
      <c r="BB410">
        <v>83</v>
      </c>
      <c r="BC410">
        <v>91</v>
      </c>
      <c r="BD410" t="s">
        <v>74</v>
      </c>
      <c r="BE410" t="s">
        <v>8162</v>
      </c>
      <c r="BF410" t="str">
        <f>HYPERLINK("http://dx.doi.org/10.1016/j.chroma.2013.11.050","http://dx.doi.org/10.1016/j.chroma.2013.11.050")</f>
        <v>http://dx.doi.org/10.1016/j.chroma.2013.11.050</v>
      </c>
      <c r="BG410" t="s">
        <v>74</v>
      </c>
      <c r="BH410" t="s">
        <v>74</v>
      </c>
      <c r="BI410">
        <v>9</v>
      </c>
      <c r="BJ410" t="s">
        <v>2254</v>
      </c>
      <c r="BK410" t="s">
        <v>101</v>
      </c>
      <c r="BL410" t="s">
        <v>2255</v>
      </c>
      <c r="BM410" t="s">
        <v>8163</v>
      </c>
      <c r="BN410">
        <v>24342533</v>
      </c>
      <c r="BO410" t="s">
        <v>74</v>
      </c>
      <c r="BP410" t="s">
        <v>74</v>
      </c>
      <c r="BQ410" t="s">
        <v>74</v>
      </c>
      <c r="BR410" t="s">
        <v>104</v>
      </c>
      <c r="BS410" t="s">
        <v>8164</v>
      </c>
      <c r="BT410" t="str">
        <f>HYPERLINK("https%3A%2F%2Fwww.webofscience.com%2Fwos%2Fwoscc%2Ffull-record%2FWOS:000330256200011","View Full Record in Web of Science")</f>
        <v>View Full Record in Web of Science</v>
      </c>
    </row>
    <row r="411" spans="1:72" x14ac:dyDescent="0.15">
      <c r="A411" t="s">
        <v>72</v>
      </c>
      <c r="B411" t="s">
        <v>8165</v>
      </c>
      <c r="C411" t="s">
        <v>74</v>
      </c>
      <c r="D411" t="s">
        <v>74</v>
      </c>
      <c r="E411" t="s">
        <v>74</v>
      </c>
      <c r="F411" t="s">
        <v>8166</v>
      </c>
      <c r="G411" t="s">
        <v>74</v>
      </c>
      <c r="H411" t="s">
        <v>74</v>
      </c>
      <c r="I411" t="s">
        <v>8167</v>
      </c>
      <c r="J411" t="s">
        <v>8168</v>
      </c>
      <c r="K411" t="s">
        <v>74</v>
      </c>
      <c r="L411" t="s">
        <v>74</v>
      </c>
      <c r="M411" t="s">
        <v>78</v>
      </c>
      <c r="N411" t="s">
        <v>79</v>
      </c>
      <c r="O411" t="s">
        <v>74</v>
      </c>
      <c r="P411" t="s">
        <v>74</v>
      </c>
      <c r="Q411" t="s">
        <v>74</v>
      </c>
      <c r="R411" t="s">
        <v>74</v>
      </c>
      <c r="S411" t="s">
        <v>74</v>
      </c>
      <c r="T411" t="s">
        <v>8169</v>
      </c>
      <c r="U411" t="s">
        <v>8170</v>
      </c>
      <c r="V411" t="s">
        <v>8171</v>
      </c>
      <c r="W411" t="s">
        <v>8172</v>
      </c>
      <c r="X411" t="s">
        <v>8173</v>
      </c>
      <c r="Y411" t="s">
        <v>8174</v>
      </c>
      <c r="Z411" t="s">
        <v>8175</v>
      </c>
      <c r="AA411" t="s">
        <v>8176</v>
      </c>
      <c r="AB411" t="s">
        <v>8177</v>
      </c>
      <c r="AC411" t="s">
        <v>8178</v>
      </c>
      <c r="AD411" t="s">
        <v>8179</v>
      </c>
      <c r="AE411" t="s">
        <v>8180</v>
      </c>
      <c r="AF411" t="s">
        <v>74</v>
      </c>
      <c r="AG411">
        <v>102</v>
      </c>
      <c r="AH411">
        <v>38</v>
      </c>
      <c r="AI411">
        <v>41</v>
      </c>
      <c r="AJ411">
        <v>1</v>
      </c>
      <c r="AK411">
        <v>9</v>
      </c>
      <c r="AL411" t="s">
        <v>652</v>
      </c>
      <c r="AM411" t="s">
        <v>653</v>
      </c>
      <c r="AN411" t="s">
        <v>654</v>
      </c>
      <c r="AO411" t="s">
        <v>8181</v>
      </c>
      <c r="AP411" t="s">
        <v>8182</v>
      </c>
      <c r="AQ411" t="s">
        <v>74</v>
      </c>
      <c r="AR411" t="s">
        <v>8183</v>
      </c>
      <c r="AS411" t="s">
        <v>8184</v>
      </c>
      <c r="AT411" t="s">
        <v>8161</v>
      </c>
      <c r="AU411">
        <v>2014</v>
      </c>
      <c r="AV411">
        <v>199</v>
      </c>
      <c r="AW411" t="s">
        <v>1531</v>
      </c>
      <c r="AX411" t="s">
        <v>74</v>
      </c>
      <c r="AY411" t="s">
        <v>74</v>
      </c>
      <c r="AZ411" t="s">
        <v>74</v>
      </c>
      <c r="BA411" t="s">
        <v>74</v>
      </c>
      <c r="BB411">
        <v>59</v>
      </c>
      <c r="BC411">
        <v>72</v>
      </c>
      <c r="BD411" t="s">
        <v>74</v>
      </c>
      <c r="BE411" t="s">
        <v>8185</v>
      </c>
      <c r="BF411" t="str">
        <f>HYPERLINK("http://dx.doi.org/10.1016/j.vetpar.2013.09.033","http://dx.doi.org/10.1016/j.vetpar.2013.09.033")</f>
        <v>http://dx.doi.org/10.1016/j.vetpar.2013.09.033</v>
      </c>
      <c r="BG411" t="s">
        <v>74</v>
      </c>
      <c r="BH411" t="s">
        <v>74</v>
      </c>
      <c r="BI411">
        <v>14</v>
      </c>
      <c r="BJ411" t="s">
        <v>8186</v>
      </c>
      <c r="BK411" t="s">
        <v>101</v>
      </c>
      <c r="BL411" t="s">
        <v>8186</v>
      </c>
      <c r="BM411" t="s">
        <v>8187</v>
      </c>
      <c r="BN411">
        <v>24161261</v>
      </c>
      <c r="BO411" t="s">
        <v>234</v>
      </c>
      <c r="BP411" t="s">
        <v>74</v>
      </c>
      <c r="BQ411" t="s">
        <v>74</v>
      </c>
      <c r="BR411" t="s">
        <v>104</v>
      </c>
      <c r="BS411" t="s">
        <v>8188</v>
      </c>
      <c r="BT411" t="str">
        <f>HYPERLINK("https%3A%2F%2Fwww.webofscience.com%2Fwos%2Fwoscc%2Ffull-record%2FWOS:000330087500008","View Full Record in Web of Science")</f>
        <v>View Full Record in Web of Science</v>
      </c>
    </row>
    <row r="412" spans="1:72" x14ac:dyDescent="0.15">
      <c r="A412" t="s">
        <v>72</v>
      </c>
      <c r="B412" t="s">
        <v>8189</v>
      </c>
      <c r="C412" t="s">
        <v>74</v>
      </c>
      <c r="D412" t="s">
        <v>74</v>
      </c>
      <c r="E412" t="s">
        <v>74</v>
      </c>
      <c r="F412" t="s">
        <v>8190</v>
      </c>
      <c r="G412" t="s">
        <v>74</v>
      </c>
      <c r="H412" t="s">
        <v>74</v>
      </c>
      <c r="I412" t="s">
        <v>8191</v>
      </c>
      <c r="J412" t="s">
        <v>1646</v>
      </c>
      <c r="K412" t="s">
        <v>74</v>
      </c>
      <c r="L412" t="s">
        <v>74</v>
      </c>
      <c r="M412" t="s">
        <v>78</v>
      </c>
      <c r="N412" t="s">
        <v>79</v>
      </c>
      <c r="O412" t="s">
        <v>74</v>
      </c>
      <c r="P412" t="s">
        <v>74</v>
      </c>
      <c r="Q412" t="s">
        <v>74</v>
      </c>
      <c r="R412" t="s">
        <v>74</v>
      </c>
      <c r="S412" t="s">
        <v>74</v>
      </c>
      <c r="T412" t="s">
        <v>8192</v>
      </c>
      <c r="U412" t="s">
        <v>8193</v>
      </c>
      <c r="V412" t="s">
        <v>8194</v>
      </c>
      <c r="W412" t="s">
        <v>8195</v>
      </c>
      <c r="X412" t="s">
        <v>7042</v>
      </c>
      <c r="Y412" t="s">
        <v>8196</v>
      </c>
      <c r="Z412" t="s">
        <v>7937</v>
      </c>
      <c r="AA412" t="s">
        <v>8197</v>
      </c>
      <c r="AB412" t="s">
        <v>8198</v>
      </c>
      <c r="AC412" t="s">
        <v>8199</v>
      </c>
      <c r="AD412" t="s">
        <v>8200</v>
      </c>
      <c r="AE412" t="s">
        <v>8201</v>
      </c>
      <c r="AF412" t="s">
        <v>74</v>
      </c>
      <c r="AG412">
        <v>99</v>
      </c>
      <c r="AH412">
        <v>28</v>
      </c>
      <c r="AI412">
        <v>28</v>
      </c>
      <c r="AJ412">
        <v>1</v>
      </c>
      <c r="AK412">
        <v>20</v>
      </c>
      <c r="AL412" t="s">
        <v>568</v>
      </c>
      <c r="AM412" t="s">
        <v>447</v>
      </c>
      <c r="AN412" t="s">
        <v>569</v>
      </c>
      <c r="AO412" t="s">
        <v>1658</v>
      </c>
      <c r="AP412" t="s">
        <v>1659</v>
      </c>
      <c r="AQ412" t="s">
        <v>74</v>
      </c>
      <c r="AR412" t="s">
        <v>1660</v>
      </c>
      <c r="AS412" t="s">
        <v>1661</v>
      </c>
      <c r="AT412" t="s">
        <v>8202</v>
      </c>
      <c r="AU412">
        <v>2014</v>
      </c>
      <c r="AV412">
        <v>119</v>
      </c>
      <c r="AW412">
        <v>1</v>
      </c>
      <c r="AX412" t="s">
        <v>74</v>
      </c>
      <c r="AY412" t="s">
        <v>74</v>
      </c>
      <c r="AZ412" t="s">
        <v>74</v>
      </c>
      <c r="BA412" t="s">
        <v>74</v>
      </c>
      <c r="BB412">
        <v>137</v>
      </c>
      <c r="BC412">
        <v>152</v>
      </c>
      <c r="BD412" t="s">
        <v>74</v>
      </c>
      <c r="BE412" t="s">
        <v>8203</v>
      </c>
      <c r="BF412" t="str">
        <f>HYPERLINK("http://dx.doi.org/10.1002/2013JD019710","http://dx.doi.org/10.1002/2013JD019710")</f>
        <v>http://dx.doi.org/10.1002/2013JD019710</v>
      </c>
      <c r="BG412" t="s">
        <v>74</v>
      </c>
      <c r="BH412" t="s">
        <v>74</v>
      </c>
      <c r="BI412">
        <v>16</v>
      </c>
      <c r="BJ412" t="s">
        <v>1391</v>
      </c>
      <c r="BK412" t="s">
        <v>101</v>
      </c>
      <c r="BL412" t="s">
        <v>1391</v>
      </c>
      <c r="BM412" t="s">
        <v>8204</v>
      </c>
      <c r="BN412" t="s">
        <v>74</v>
      </c>
      <c r="BO412" t="s">
        <v>1244</v>
      </c>
      <c r="BP412" t="s">
        <v>74</v>
      </c>
      <c r="BQ412" t="s">
        <v>74</v>
      </c>
      <c r="BR412" t="s">
        <v>104</v>
      </c>
      <c r="BS412" t="s">
        <v>8205</v>
      </c>
      <c r="BT412" t="str">
        <f>HYPERLINK("https%3A%2F%2Fwww.webofscience.com%2Fwos%2Fwoscc%2Ffull-record%2FWOS:000330930600012","View Full Record in Web of Science")</f>
        <v>View Full Record in Web of Science</v>
      </c>
    </row>
    <row r="413" spans="1:72" x14ac:dyDescent="0.15">
      <c r="A413" t="s">
        <v>72</v>
      </c>
      <c r="B413" t="s">
        <v>8206</v>
      </c>
      <c r="C413" t="s">
        <v>74</v>
      </c>
      <c r="D413" t="s">
        <v>74</v>
      </c>
      <c r="E413" t="s">
        <v>74</v>
      </c>
      <c r="F413" t="s">
        <v>8207</v>
      </c>
      <c r="G413" t="s">
        <v>74</v>
      </c>
      <c r="H413" t="s">
        <v>74</v>
      </c>
      <c r="I413" t="s">
        <v>8208</v>
      </c>
      <c r="J413" t="s">
        <v>1646</v>
      </c>
      <c r="K413" t="s">
        <v>74</v>
      </c>
      <c r="L413" t="s">
        <v>74</v>
      </c>
      <c r="M413" t="s">
        <v>78</v>
      </c>
      <c r="N413" t="s">
        <v>79</v>
      </c>
      <c r="O413" t="s">
        <v>74</v>
      </c>
      <c r="P413" t="s">
        <v>74</v>
      </c>
      <c r="Q413" t="s">
        <v>74</v>
      </c>
      <c r="R413" t="s">
        <v>74</v>
      </c>
      <c r="S413" t="s">
        <v>74</v>
      </c>
      <c r="T413" t="s">
        <v>8209</v>
      </c>
      <c r="U413" t="s">
        <v>8210</v>
      </c>
      <c r="V413" t="s">
        <v>8211</v>
      </c>
      <c r="W413" t="s">
        <v>8212</v>
      </c>
      <c r="X413" t="s">
        <v>8213</v>
      </c>
      <c r="Y413" t="s">
        <v>8214</v>
      </c>
      <c r="Z413" t="s">
        <v>8215</v>
      </c>
      <c r="AA413" t="s">
        <v>74</v>
      </c>
      <c r="AB413" t="s">
        <v>8216</v>
      </c>
      <c r="AC413" t="s">
        <v>8217</v>
      </c>
      <c r="AD413" t="s">
        <v>8218</v>
      </c>
      <c r="AE413" t="s">
        <v>8219</v>
      </c>
      <c r="AF413" t="s">
        <v>74</v>
      </c>
      <c r="AG413">
        <v>51</v>
      </c>
      <c r="AH413">
        <v>14</v>
      </c>
      <c r="AI413">
        <v>14</v>
      </c>
      <c r="AJ413">
        <v>1</v>
      </c>
      <c r="AK413">
        <v>6</v>
      </c>
      <c r="AL413" t="s">
        <v>568</v>
      </c>
      <c r="AM413" t="s">
        <v>447</v>
      </c>
      <c r="AN413" t="s">
        <v>569</v>
      </c>
      <c r="AO413" t="s">
        <v>1658</v>
      </c>
      <c r="AP413" t="s">
        <v>1659</v>
      </c>
      <c r="AQ413" t="s">
        <v>74</v>
      </c>
      <c r="AR413" t="s">
        <v>1660</v>
      </c>
      <c r="AS413" t="s">
        <v>1661</v>
      </c>
      <c r="AT413" t="s">
        <v>8202</v>
      </c>
      <c r="AU413">
        <v>2014</v>
      </c>
      <c r="AV413">
        <v>119</v>
      </c>
      <c r="AW413">
        <v>1</v>
      </c>
      <c r="AX413" t="s">
        <v>74</v>
      </c>
      <c r="AY413" t="s">
        <v>74</v>
      </c>
      <c r="AZ413" t="s">
        <v>74</v>
      </c>
      <c r="BA413" t="s">
        <v>74</v>
      </c>
      <c r="BB413">
        <v>245</v>
      </c>
      <c r="BC413">
        <v>258</v>
      </c>
      <c r="BD413" t="s">
        <v>74</v>
      </c>
      <c r="BE413" t="s">
        <v>8220</v>
      </c>
      <c r="BF413" t="str">
        <f>HYPERLINK("http://dx.doi.org/10.1002/2013JD020326","http://dx.doi.org/10.1002/2013JD020326")</f>
        <v>http://dx.doi.org/10.1002/2013JD020326</v>
      </c>
      <c r="BG413" t="s">
        <v>74</v>
      </c>
      <c r="BH413" t="s">
        <v>74</v>
      </c>
      <c r="BI413">
        <v>14</v>
      </c>
      <c r="BJ413" t="s">
        <v>1391</v>
      </c>
      <c r="BK413" t="s">
        <v>101</v>
      </c>
      <c r="BL413" t="s">
        <v>1391</v>
      </c>
      <c r="BM413" t="s">
        <v>8204</v>
      </c>
      <c r="BN413" t="s">
        <v>74</v>
      </c>
      <c r="BO413" t="s">
        <v>3773</v>
      </c>
      <c r="BP413" t="s">
        <v>74</v>
      </c>
      <c r="BQ413" t="s">
        <v>74</v>
      </c>
      <c r="BR413" t="s">
        <v>104</v>
      </c>
      <c r="BS413" t="s">
        <v>8221</v>
      </c>
      <c r="BT413" t="str">
        <f>HYPERLINK("https%3A%2F%2Fwww.webofscience.com%2Fwos%2Fwoscc%2Ffull-record%2FWOS:000330930600020","View Full Record in Web of Science")</f>
        <v>View Full Record in Web of Science</v>
      </c>
    </row>
    <row r="414" spans="1:72" x14ac:dyDescent="0.15">
      <c r="A414" t="s">
        <v>72</v>
      </c>
      <c r="B414" t="s">
        <v>8222</v>
      </c>
      <c r="C414" t="s">
        <v>74</v>
      </c>
      <c r="D414" t="s">
        <v>74</v>
      </c>
      <c r="E414" t="s">
        <v>74</v>
      </c>
      <c r="F414" t="s">
        <v>8223</v>
      </c>
      <c r="G414" t="s">
        <v>74</v>
      </c>
      <c r="H414" t="s">
        <v>74</v>
      </c>
      <c r="I414" t="s">
        <v>8224</v>
      </c>
      <c r="J414" t="s">
        <v>5207</v>
      </c>
      <c r="K414" t="s">
        <v>74</v>
      </c>
      <c r="L414" t="s">
        <v>74</v>
      </c>
      <c r="M414" t="s">
        <v>78</v>
      </c>
      <c r="N414" t="s">
        <v>1127</v>
      </c>
      <c r="O414" t="s">
        <v>74</v>
      </c>
      <c r="P414" t="s">
        <v>74</v>
      </c>
      <c r="Q414" t="s">
        <v>74</v>
      </c>
      <c r="R414" t="s">
        <v>74</v>
      </c>
      <c r="S414" t="s">
        <v>74</v>
      </c>
      <c r="T414" t="s">
        <v>74</v>
      </c>
      <c r="U414" t="s">
        <v>74</v>
      </c>
      <c r="V414" t="s">
        <v>74</v>
      </c>
      <c r="W414" t="s">
        <v>8225</v>
      </c>
      <c r="X414" t="s">
        <v>8226</v>
      </c>
      <c r="Y414" t="s">
        <v>8227</v>
      </c>
      <c r="Z414" t="s">
        <v>8228</v>
      </c>
      <c r="AA414" t="s">
        <v>74</v>
      </c>
      <c r="AB414" t="s">
        <v>74</v>
      </c>
      <c r="AC414" t="s">
        <v>74</v>
      </c>
      <c r="AD414" t="s">
        <v>74</v>
      </c>
      <c r="AE414" t="s">
        <v>74</v>
      </c>
      <c r="AF414" t="s">
        <v>74</v>
      </c>
      <c r="AG414">
        <v>1</v>
      </c>
      <c r="AH414">
        <v>0</v>
      </c>
      <c r="AI414">
        <v>0</v>
      </c>
      <c r="AJ414">
        <v>0</v>
      </c>
      <c r="AK414">
        <v>6</v>
      </c>
      <c r="AL414" t="s">
        <v>1073</v>
      </c>
      <c r="AM414" t="s">
        <v>704</v>
      </c>
      <c r="AN414" t="s">
        <v>1074</v>
      </c>
      <c r="AO414" t="s">
        <v>5219</v>
      </c>
      <c r="AP414" t="s">
        <v>5220</v>
      </c>
      <c r="AQ414" t="s">
        <v>74</v>
      </c>
      <c r="AR414" t="s">
        <v>5207</v>
      </c>
      <c r="AS414" t="s">
        <v>5221</v>
      </c>
      <c r="AT414" t="s">
        <v>8202</v>
      </c>
      <c r="AU414">
        <v>2014</v>
      </c>
      <c r="AV414">
        <v>505</v>
      </c>
      <c r="AW414">
        <v>7483</v>
      </c>
      <c r="AX414" t="s">
        <v>74</v>
      </c>
      <c r="AY414" t="s">
        <v>74</v>
      </c>
      <c r="AZ414" t="s">
        <v>74</v>
      </c>
      <c r="BA414" t="s">
        <v>74</v>
      </c>
      <c r="BB414">
        <v>291</v>
      </c>
      <c r="BC414">
        <v>291</v>
      </c>
      <c r="BD414" t="s">
        <v>74</v>
      </c>
      <c r="BE414" t="s">
        <v>8229</v>
      </c>
      <c r="BF414" t="str">
        <f>HYPERLINK("http://dx.doi.org/10.1038/505291a","http://dx.doi.org/10.1038/505291a")</f>
        <v>http://dx.doi.org/10.1038/505291a</v>
      </c>
      <c r="BG414" t="s">
        <v>74</v>
      </c>
      <c r="BH414" t="s">
        <v>74</v>
      </c>
      <c r="BI414">
        <v>1</v>
      </c>
      <c r="BJ414" t="s">
        <v>1100</v>
      </c>
      <c r="BK414" t="s">
        <v>101</v>
      </c>
      <c r="BL414" t="s">
        <v>1101</v>
      </c>
      <c r="BM414" t="s">
        <v>8230</v>
      </c>
      <c r="BN414">
        <v>24429621</v>
      </c>
      <c r="BO414" t="s">
        <v>200</v>
      </c>
      <c r="BP414" t="s">
        <v>74</v>
      </c>
      <c r="BQ414" t="s">
        <v>74</v>
      </c>
      <c r="BR414" t="s">
        <v>104</v>
      </c>
      <c r="BS414" t="s">
        <v>8231</v>
      </c>
      <c r="BT414" t="str">
        <f>HYPERLINK("https%3A%2F%2Fwww.webofscience.com%2Fwos%2Fwoscc%2Ffull-record%2FWOS:000329621800017","View Full Record in Web of Science")</f>
        <v>View Full Record in Web of Science</v>
      </c>
    </row>
    <row r="415" spans="1:72" x14ac:dyDescent="0.15">
      <c r="A415" t="s">
        <v>72</v>
      </c>
      <c r="B415" t="s">
        <v>8232</v>
      </c>
      <c r="C415" t="s">
        <v>74</v>
      </c>
      <c r="D415" t="s">
        <v>74</v>
      </c>
      <c r="E415" t="s">
        <v>74</v>
      </c>
      <c r="F415" t="s">
        <v>8233</v>
      </c>
      <c r="G415" t="s">
        <v>74</v>
      </c>
      <c r="H415" t="s">
        <v>74</v>
      </c>
      <c r="I415" t="s">
        <v>8234</v>
      </c>
      <c r="J415" t="s">
        <v>1588</v>
      </c>
      <c r="K415" t="s">
        <v>74</v>
      </c>
      <c r="L415" t="s">
        <v>74</v>
      </c>
      <c r="M415" t="s">
        <v>78</v>
      </c>
      <c r="N415" t="s">
        <v>1127</v>
      </c>
      <c r="O415" t="s">
        <v>74</v>
      </c>
      <c r="P415" t="s">
        <v>74</v>
      </c>
      <c r="Q415" t="s">
        <v>74</v>
      </c>
      <c r="R415" t="s">
        <v>74</v>
      </c>
      <c r="S415" t="s">
        <v>74</v>
      </c>
      <c r="T415" t="s">
        <v>8235</v>
      </c>
      <c r="U415" t="s">
        <v>8236</v>
      </c>
      <c r="V415" t="s">
        <v>8237</v>
      </c>
      <c r="W415" t="s">
        <v>8238</v>
      </c>
      <c r="X415" t="s">
        <v>8239</v>
      </c>
      <c r="Y415" t="s">
        <v>8240</v>
      </c>
      <c r="Z415" t="s">
        <v>8241</v>
      </c>
      <c r="AA415" t="s">
        <v>8242</v>
      </c>
      <c r="AB415" t="s">
        <v>8243</v>
      </c>
      <c r="AC415" t="s">
        <v>8244</v>
      </c>
      <c r="AD415" t="s">
        <v>8245</v>
      </c>
      <c r="AE415" t="s">
        <v>74</v>
      </c>
      <c r="AF415" t="s">
        <v>74</v>
      </c>
      <c r="AG415">
        <v>21</v>
      </c>
      <c r="AH415">
        <v>3</v>
      </c>
      <c r="AI415">
        <v>5</v>
      </c>
      <c r="AJ415">
        <v>2</v>
      </c>
      <c r="AK415">
        <v>11</v>
      </c>
      <c r="AL415" t="s">
        <v>568</v>
      </c>
      <c r="AM415" t="s">
        <v>447</v>
      </c>
      <c r="AN415" t="s">
        <v>569</v>
      </c>
      <c r="AO415" t="s">
        <v>1601</v>
      </c>
      <c r="AP415" t="s">
        <v>1602</v>
      </c>
      <c r="AQ415" t="s">
        <v>74</v>
      </c>
      <c r="AR415" t="s">
        <v>1603</v>
      </c>
      <c r="AS415" t="s">
        <v>1604</v>
      </c>
      <c r="AT415" t="s">
        <v>8202</v>
      </c>
      <c r="AU415">
        <v>2014</v>
      </c>
      <c r="AV415">
        <v>41</v>
      </c>
      <c r="AW415">
        <v>1</v>
      </c>
      <c r="AX415" t="s">
        <v>74</v>
      </c>
      <c r="AY415" t="s">
        <v>74</v>
      </c>
      <c r="AZ415" t="s">
        <v>74</v>
      </c>
      <c r="BA415" t="s">
        <v>74</v>
      </c>
      <c r="BB415">
        <v>121</v>
      </c>
      <c r="BC415">
        <v>127</v>
      </c>
      <c r="BD415" t="s">
        <v>74</v>
      </c>
      <c r="BE415" t="s">
        <v>8246</v>
      </c>
      <c r="BF415" t="str">
        <f>HYPERLINK("http://dx.doi.org/10.1002/2013GL058617","http://dx.doi.org/10.1002/2013GL058617")</f>
        <v>http://dx.doi.org/10.1002/2013GL058617</v>
      </c>
      <c r="BG415" t="s">
        <v>74</v>
      </c>
      <c r="BH415" t="s">
        <v>74</v>
      </c>
      <c r="BI415">
        <v>7</v>
      </c>
      <c r="BJ415" t="s">
        <v>952</v>
      </c>
      <c r="BK415" t="s">
        <v>101</v>
      </c>
      <c r="BL415" t="s">
        <v>597</v>
      </c>
      <c r="BM415" t="s">
        <v>8247</v>
      </c>
      <c r="BN415" t="s">
        <v>74</v>
      </c>
      <c r="BO415" t="s">
        <v>8248</v>
      </c>
      <c r="BP415" t="s">
        <v>74</v>
      </c>
      <c r="BQ415" t="s">
        <v>74</v>
      </c>
      <c r="BR415" t="s">
        <v>104</v>
      </c>
      <c r="BS415" t="s">
        <v>8249</v>
      </c>
      <c r="BT415" t="str">
        <f>HYPERLINK("https%3A%2F%2Fwww.webofscience.com%2Fwos%2Fwoscc%2Ffull-record%2FWOS:000332990200021","View Full Record in Web of Science")</f>
        <v>View Full Record in Web of Science</v>
      </c>
    </row>
    <row r="416" spans="1:72" x14ac:dyDescent="0.15">
      <c r="A416" t="s">
        <v>72</v>
      </c>
      <c r="B416" t="s">
        <v>8250</v>
      </c>
      <c r="C416" t="s">
        <v>74</v>
      </c>
      <c r="D416" t="s">
        <v>74</v>
      </c>
      <c r="E416" t="s">
        <v>74</v>
      </c>
      <c r="F416" t="s">
        <v>8251</v>
      </c>
      <c r="G416" t="s">
        <v>74</v>
      </c>
      <c r="H416" t="s">
        <v>74</v>
      </c>
      <c r="I416" t="s">
        <v>8252</v>
      </c>
      <c r="J416" t="s">
        <v>1646</v>
      </c>
      <c r="K416" t="s">
        <v>74</v>
      </c>
      <c r="L416" t="s">
        <v>74</v>
      </c>
      <c r="M416" t="s">
        <v>78</v>
      </c>
      <c r="N416" t="s">
        <v>79</v>
      </c>
      <c r="O416" t="s">
        <v>74</v>
      </c>
      <c r="P416" t="s">
        <v>74</v>
      </c>
      <c r="Q416" t="s">
        <v>74</v>
      </c>
      <c r="R416" t="s">
        <v>74</v>
      </c>
      <c r="S416" t="s">
        <v>74</v>
      </c>
      <c r="T416" t="s">
        <v>8253</v>
      </c>
      <c r="U416" t="s">
        <v>8254</v>
      </c>
      <c r="V416" t="s">
        <v>8255</v>
      </c>
      <c r="W416" t="s">
        <v>8256</v>
      </c>
      <c r="X416" t="s">
        <v>8257</v>
      </c>
      <c r="Y416" t="s">
        <v>8258</v>
      </c>
      <c r="Z416" t="s">
        <v>8259</v>
      </c>
      <c r="AA416" t="s">
        <v>8260</v>
      </c>
      <c r="AB416" t="s">
        <v>8261</v>
      </c>
      <c r="AC416" t="s">
        <v>8262</v>
      </c>
      <c r="AD416" t="s">
        <v>8263</v>
      </c>
      <c r="AE416" t="s">
        <v>8264</v>
      </c>
      <c r="AF416" t="s">
        <v>74</v>
      </c>
      <c r="AG416">
        <v>57</v>
      </c>
      <c r="AH416">
        <v>34</v>
      </c>
      <c r="AI416">
        <v>40</v>
      </c>
      <c r="AJ416">
        <v>2</v>
      </c>
      <c r="AK416">
        <v>30</v>
      </c>
      <c r="AL416" t="s">
        <v>568</v>
      </c>
      <c r="AM416" t="s">
        <v>447</v>
      </c>
      <c r="AN416" t="s">
        <v>569</v>
      </c>
      <c r="AO416" t="s">
        <v>1658</v>
      </c>
      <c r="AP416" t="s">
        <v>1659</v>
      </c>
      <c r="AQ416" t="s">
        <v>74</v>
      </c>
      <c r="AR416" t="s">
        <v>1660</v>
      </c>
      <c r="AS416" t="s">
        <v>1661</v>
      </c>
      <c r="AT416" t="s">
        <v>8202</v>
      </c>
      <c r="AU416">
        <v>2014</v>
      </c>
      <c r="AV416">
        <v>119</v>
      </c>
      <c r="AW416">
        <v>1</v>
      </c>
      <c r="AX416" t="s">
        <v>74</v>
      </c>
      <c r="AY416" t="s">
        <v>74</v>
      </c>
      <c r="AZ416" t="s">
        <v>74</v>
      </c>
      <c r="BA416" t="s">
        <v>74</v>
      </c>
      <c r="BB416">
        <v>274</v>
      </c>
      <c r="BC416">
        <v>283</v>
      </c>
      <c r="BD416" t="s">
        <v>74</v>
      </c>
      <c r="BE416" t="s">
        <v>8265</v>
      </c>
      <c r="BF416" t="str">
        <f>HYPERLINK("http://dx.doi.org/10.1002/2013JD020771","http://dx.doi.org/10.1002/2013JD020771")</f>
        <v>http://dx.doi.org/10.1002/2013JD020771</v>
      </c>
      <c r="BG416" t="s">
        <v>74</v>
      </c>
      <c r="BH416" t="s">
        <v>74</v>
      </c>
      <c r="BI416">
        <v>10</v>
      </c>
      <c r="BJ416" t="s">
        <v>1391</v>
      </c>
      <c r="BK416" t="s">
        <v>101</v>
      </c>
      <c r="BL416" t="s">
        <v>1391</v>
      </c>
      <c r="BM416" t="s">
        <v>8204</v>
      </c>
      <c r="BN416" t="s">
        <v>74</v>
      </c>
      <c r="BO416" t="s">
        <v>1244</v>
      </c>
      <c r="BP416" t="s">
        <v>74</v>
      </c>
      <c r="BQ416" t="s">
        <v>74</v>
      </c>
      <c r="BR416" t="s">
        <v>104</v>
      </c>
      <c r="BS416" t="s">
        <v>8266</v>
      </c>
      <c r="BT416" t="str">
        <f>HYPERLINK("https%3A%2F%2Fwww.webofscience.com%2Fwos%2Fwoscc%2Ffull-record%2FWOS:000330930600022","View Full Record in Web of Science")</f>
        <v>View Full Record in Web of Science</v>
      </c>
    </row>
    <row r="417" spans="1:72" x14ac:dyDescent="0.15">
      <c r="A417" t="s">
        <v>72</v>
      </c>
      <c r="B417" t="s">
        <v>8267</v>
      </c>
      <c r="C417" t="s">
        <v>74</v>
      </c>
      <c r="D417" t="s">
        <v>74</v>
      </c>
      <c r="E417" t="s">
        <v>74</v>
      </c>
      <c r="F417" t="s">
        <v>8268</v>
      </c>
      <c r="G417" t="s">
        <v>74</v>
      </c>
      <c r="H417" t="s">
        <v>74</v>
      </c>
      <c r="I417" t="s">
        <v>8269</v>
      </c>
      <c r="J417" t="s">
        <v>2097</v>
      </c>
      <c r="K417" t="s">
        <v>74</v>
      </c>
      <c r="L417" t="s">
        <v>74</v>
      </c>
      <c r="M417" t="s">
        <v>78</v>
      </c>
      <c r="N417" t="s">
        <v>79</v>
      </c>
      <c r="O417" t="s">
        <v>74</v>
      </c>
      <c r="P417" t="s">
        <v>74</v>
      </c>
      <c r="Q417" t="s">
        <v>74</v>
      </c>
      <c r="R417" t="s">
        <v>74</v>
      </c>
      <c r="S417" t="s">
        <v>74</v>
      </c>
      <c r="T417" t="s">
        <v>8270</v>
      </c>
      <c r="U417" t="s">
        <v>8271</v>
      </c>
      <c r="V417" t="s">
        <v>8272</v>
      </c>
      <c r="W417" t="s">
        <v>8273</v>
      </c>
      <c r="X417" t="s">
        <v>8274</v>
      </c>
      <c r="Y417" t="s">
        <v>8275</v>
      </c>
      <c r="Z417" t="s">
        <v>8276</v>
      </c>
      <c r="AA417" t="s">
        <v>8277</v>
      </c>
      <c r="AB417" t="s">
        <v>8278</v>
      </c>
      <c r="AC417" t="s">
        <v>8279</v>
      </c>
      <c r="AD417" t="s">
        <v>8280</v>
      </c>
      <c r="AE417" t="s">
        <v>8281</v>
      </c>
      <c r="AF417" t="s">
        <v>74</v>
      </c>
      <c r="AG417">
        <v>30</v>
      </c>
      <c r="AH417">
        <v>27</v>
      </c>
      <c r="AI417">
        <v>27</v>
      </c>
      <c r="AJ417">
        <v>0</v>
      </c>
      <c r="AK417">
        <v>19</v>
      </c>
      <c r="AL417" t="s">
        <v>946</v>
      </c>
      <c r="AM417" t="s">
        <v>522</v>
      </c>
      <c r="AN417" t="s">
        <v>947</v>
      </c>
      <c r="AO417" t="s">
        <v>2109</v>
      </c>
      <c r="AP417" t="s">
        <v>2110</v>
      </c>
      <c r="AQ417" t="s">
        <v>74</v>
      </c>
      <c r="AR417" t="s">
        <v>2111</v>
      </c>
      <c r="AS417" t="s">
        <v>2112</v>
      </c>
      <c r="AT417" t="s">
        <v>8282</v>
      </c>
      <c r="AU417">
        <v>2014</v>
      </c>
      <c r="AV417">
        <v>78</v>
      </c>
      <c r="AW417" t="s">
        <v>1531</v>
      </c>
      <c r="AX417" t="s">
        <v>74</v>
      </c>
      <c r="AY417" t="s">
        <v>74</v>
      </c>
      <c r="AZ417" t="s">
        <v>74</v>
      </c>
      <c r="BA417" t="s">
        <v>74</v>
      </c>
      <c r="BB417">
        <v>218</v>
      </c>
      <c r="BC417">
        <v>223</v>
      </c>
      <c r="BD417" t="s">
        <v>74</v>
      </c>
      <c r="BE417" t="s">
        <v>8283</v>
      </c>
      <c r="BF417" t="str">
        <f>HYPERLINK("http://dx.doi.org/10.1016/j.marpolbul.2013.10.034","http://dx.doi.org/10.1016/j.marpolbul.2013.10.034")</f>
        <v>http://dx.doi.org/10.1016/j.marpolbul.2013.10.034</v>
      </c>
      <c r="BG417" t="s">
        <v>74</v>
      </c>
      <c r="BH417" t="s">
        <v>74</v>
      </c>
      <c r="BI417">
        <v>6</v>
      </c>
      <c r="BJ417" t="s">
        <v>2114</v>
      </c>
      <c r="BK417" t="s">
        <v>101</v>
      </c>
      <c r="BL417" t="s">
        <v>2115</v>
      </c>
      <c r="BM417" t="s">
        <v>8284</v>
      </c>
      <c r="BN417">
        <v>24239309</v>
      </c>
      <c r="BO417" t="s">
        <v>74</v>
      </c>
      <c r="BP417" t="s">
        <v>74</v>
      </c>
      <c r="BQ417" t="s">
        <v>74</v>
      </c>
      <c r="BR417" t="s">
        <v>104</v>
      </c>
      <c r="BS417" t="s">
        <v>8285</v>
      </c>
      <c r="BT417" t="str">
        <f>HYPERLINK("https%3A%2F%2Fwww.webofscience.com%2Fwos%2Fwoscc%2Ffull-record%2FWOS:000331423100041","View Full Record in Web of Science")</f>
        <v>View Full Record in Web of Science</v>
      </c>
    </row>
    <row r="418" spans="1:72" x14ac:dyDescent="0.15">
      <c r="A418" t="s">
        <v>72</v>
      </c>
      <c r="B418" t="s">
        <v>8286</v>
      </c>
      <c r="C418" t="s">
        <v>74</v>
      </c>
      <c r="D418" t="s">
        <v>74</v>
      </c>
      <c r="E418" t="s">
        <v>74</v>
      </c>
      <c r="F418" t="s">
        <v>8287</v>
      </c>
      <c r="G418" t="s">
        <v>74</v>
      </c>
      <c r="H418" t="s">
        <v>74</v>
      </c>
      <c r="I418" t="s">
        <v>8288</v>
      </c>
      <c r="J418" t="s">
        <v>1185</v>
      </c>
      <c r="K418" t="s">
        <v>74</v>
      </c>
      <c r="L418" t="s">
        <v>74</v>
      </c>
      <c r="M418" t="s">
        <v>78</v>
      </c>
      <c r="N418" t="s">
        <v>79</v>
      </c>
      <c r="O418" t="s">
        <v>74</v>
      </c>
      <c r="P418" t="s">
        <v>74</v>
      </c>
      <c r="Q418" t="s">
        <v>74</v>
      </c>
      <c r="R418" t="s">
        <v>74</v>
      </c>
      <c r="S418" t="s">
        <v>74</v>
      </c>
      <c r="T418" t="s">
        <v>8289</v>
      </c>
      <c r="U418" t="s">
        <v>8290</v>
      </c>
      <c r="V418" t="s">
        <v>8291</v>
      </c>
      <c r="W418" t="s">
        <v>8292</v>
      </c>
      <c r="X418" t="s">
        <v>8293</v>
      </c>
      <c r="Y418" t="s">
        <v>8294</v>
      </c>
      <c r="Z418" t="s">
        <v>8295</v>
      </c>
      <c r="AA418" t="s">
        <v>74</v>
      </c>
      <c r="AB418" t="s">
        <v>8296</v>
      </c>
      <c r="AC418" t="s">
        <v>8297</v>
      </c>
      <c r="AD418" t="s">
        <v>8297</v>
      </c>
      <c r="AE418" t="s">
        <v>8298</v>
      </c>
      <c r="AF418" t="s">
        <v>74</v>
      </c>
      <c r="AG418">
        <v>108</v>
      </c>
      <c r="AH418">
        <v>36</v>
      </c>
      <c r="AI418">
        <v>39</v>
      </c>
      <c r="AJ418">
        <v>1</v>
      </c>
      <c r="AK418">
        <v>19</v>
      </c>
      <c r="AL418" t="s">
        <v>902</v>
      </c>
      <c r="AM418" t="s">
        <v>653</v>
      </c>
      <c r="AN418" t="s">
        <v>903</v>
      </c>
      <c r="AO418" t="s">
        <v>1197</v>
      </c>
      <c r="AP418" t="s">
        <v>1198</v>
      </c>
      <c r="AQ418" t="s">
        <v>74</v>
      </c>
      <c r="AR418" t="s">
        <v>1199</v>
      </c>
      <c r="AS418" t="s">
        <v>1200</v>
      </c>
      <c r="AT418" t="s">
        <v>8282</v>
      </c>
      <c r="AU418">
        <v>2014</v>
      </c>
      <c r="AV418">
        <v>394</v>
      </c>
      <c r="AW418" t="s">
        <v>74</v>
      </c>
      <c r="AX418" t="s">
        <v>74</v>
      </c>
      <c r="AY418" t="s">
        <v>74</v>
      </c>
      <c r="AZ418" t="s">
        <v>74</v>
      </c>
      <c r="BA418" t="s">
        <v>74</v>
      </c>
      <c r="BB418">
        <v>99</v>
      </c>
      <c r="BC418">
        <v>118</v>
      </c>
      <c r="BD418" t="s">
        <v>74</v>
      </c>
      <c r="BE418" t="s">
        <v>8299</v>
      </c>
      <c r="BF418" t="str">
        <f>HYPERLINK("http://dx.doi.org/10.1016/j.palaeo.2013.11.015","http://dx.doi.org/10.1016/j.palaeo.2013.11.015")</f>
        <v>http://dx.doi.org/10.1016/j.palaeo.2013.11.015</v>
      </c>
      <c r="BG418" t="s">
        <v>74</v>
      </c>
      <c r="BH418" t="s">
        <v>74</v>
      </c>
      <c r="BI418">
        <v>20</v>
      </c>
      <c r="BJ418" t="s">
        <v>1202</v>
      </c>
      <c r="BK418" t="s">
        <v>101</v>
      </c>
      <c r="BL418" t="s">
        <v>1203</v>
      </c>
      <c r="BM418" t="s">
        <v>8300</v>
      </c>
      <c r="BN418" t="s">
        <v>74</v>
      </c>
      <c r="BO418" t="s">
        <v>270</v>
      </c>
      <c r="BP418" t="s">
        <v>74</v>
      </c>
      <c r="BQ418" t="s">
        <v>74</v>
      </c>
      <c r="BR418" t="s">
        <v>104</v>
      </c>
      <c r="BS418" t="s">
        <v>8301</v>
      </c>
      <c r="BT418" t="str">
        <f>HYPERLINK("https%3A%2F%2Fwww.webofscience.com%2Fwos%2Fwoscc%2Ffull-record%2FWOS:000331681000008","View Full Record in Web of Science")</f>
        <v>View Full Record in Web of Science</v>
      </c>
    </row>
    <row r="419" spans="1:72" x14ac:dyDescent="0.15">
      <c r="A419" t="s">
        <v>72</v>
      </c>
      <c r="B419" t="s">
        <v>8302</v>
      </c>
      <c r="C419" t="s">
        <v>74</v>
      </c>
      <c r="D419" t="s">
        <v>74</v>
      </c>
      <c r="E419" t="s">
        <v>74</v>
      </c>
      <c r="F419" t="s">
        <v>8303</v>
      </c>
      <c r="G419" t="s">
        <v>74</v>
      </c>
      <c r="H419" t="s">
        <v>74</v>
      </c>
      <c r="I419" t="s">
        <v>8304</v>
      </c>
      <c r="J419" t="s">
        <v>5068</v>
      </c>
      <c r="K419" t="s">
        <v>74</v>
      </c>
      <c r="L419" t="s">
        <v>74</v>
      </c>
      <c r="M419" t="s">
        <v>78</v>
      </c>
      <c r="N419" t="s">
        <v>79</v>
      </c>
      <c r="O419" t="s">
        <v>74</v>
      </c>
      <c r="P419" t="s">
        <v>74</v>
      </c>
      <c r="Q419" t="s">
        <v>74</v>
      </c>
      <c r="R419" t="s">
        <v>74</v>
      </c>
      <c r="S419" t="s">
        <v>74</v>
      </c>
      <c r="T419" t="s">
        <v>8305</v>
      </c>
      <c r="U419" t="s">
        <v>8306</v>
      </c>
      <c r="V419" t="s">
        <v>8307</v>
      </c>
      <c r="W419" t="s">
        <v>8308</v>
      </c>
      <c r="X419" t="s">
        <v>8309</v>
      </c>
      <c r="Y419" t="s">
        <v>8310</v>
      </c>
      <c r="Z419" t="s">
        <v>8311</v>
      </c>
      <c r="AA419" t="s">
        <v>8312</v>
      </c>
      <c r="AB419" t="s">
        <v>8313</v>
      </c>
      <c r="AC419" t="s">
        <v>8314</v>
      </c>
      <c r="AD419" t="s">
        <v>8315</v>
      </c>
      <c r="AE419" t="s">
        <v>8316</v>
      </c>
      <c r="AF419" t="s">
        <v>74</v>
      </c>
      <c r="AG419">
        <v>47</v>
      </c>
      <c r="AH419">
        <v>43</v>
      </c>
      <c r="AI419">
        <v>48</v>
      </c>
      <c r="AJ419">
        <v>4</v>
      </c>
      <c r="AK419">
        <v>112</v>
      </c>
      <c r="AL419" t="s">
        <v>902</v>
      </c>
      <c r="AM419" t="s">
        <v>653</v>
      </c>
      <c r="AN419" t="s">
        <v>903</v>
      </c>
      <c r="AO419" t="s">
        <v>5080</v>
      </c>
      <c r="AP419" t="s">
        <v>5081</v>
      </c>
      <c r="AQ419" t="s">
        <v>74</v>
      </c>
      <c r="AR419" t="s">
        <v>5082</v>
      </c>
      <c r="AS419" t="s">
        <v>5083</v>
      </c>
      <c r="AT419" t="s">
        <v>8282</v>
      </c>
      <c r="AU419">
        <v>2014</v>
      </c>
      <c r="AV419">
        <v>468</v>
      </c>
      <c r="AW419" t="s">
        <v>74</v>
      </c>
      <c r="AX419" t="s">
        <v>74</v>
      </c>
      <c r="AY419" t="s">
        <v>74</v>
      </c>
      <c r="AZ419" t="s">
        <v>74</v>
      </c>
      <c r="BA419" t="s">
        <v>74</v>
      </c>
      <c r="BB419">
        <v>578</v>
      </c>
      <c r="BC419">
        <v>583</v>
      </c>
      <c r="BD419" t="s">
        <v>74</v>
      </c>
      <c r="BE419" t="s">
        <v>8317</v>
      </c>
      <c r="BF419" t="str">
        <f>HYPERLINK("http://dx.doi.org/10.1016/j.scitotenv.2013.08.082","http://dx.doi.org/10.1016/j.scitotenv.2013.08.082")</f>
        <v>http://dx.doi.org/10.1016/j.scitotenv.2013.08.082</v>
      </c>
      <c r="BG419" t="s">
        <v>74</v>
      </c>
      <c r="BH419" t="s">
        <v>74</v>
      </c>
      <c r="BI419">
        <v>6</v>
      </c>
      <c r="BJ419" t="s">
        <v>478</v>
      </c>
      <c r="BK419" t="s">
        <v>101</v>
      </c>
      <c r="BL419" t="s">
        <v>102</v>
      </c>
      <c r="BM419" t="s">
        <v>8318</v>
      </c>
      <c r="BN419">
        <v>24056448</v>
      </c>
      <c r="BO419" t="s">
        <v>74</v>
      </c>
      <c r="BP419" t="s">
        <v>74</v>
      </c>
      <c r="BQ419" t="s">
        <v>74</v>
      </c>
      <c r="BR419" t="s">
        <v>104</v>
      </c>
      <c r="BS419" t="s">
        <v>8319</v>
      </c>
      <c r="BT419" t="str">
        <f>HYPERLINK("https%3A%2F%2Fwww.webofscience.com%2Fwos%2Fwoscc%2Ffull-record%2FWOS:000331776000062","View Full Record in Web of Science")</f>
        <v>View Full Record in Web of Science</v>
      </c>
    </row>
    <row r="420" spans="1:72" x14ac:dyDescent="0.15">
      <c r="A420" t="s">
        <v>72</v>
      </c>
      <c r="B420" t="s">
        <v>8320</v>
      </c>
      <c r="C420" t="s">
        <v>74</v>
      </c>
      <c r="D420" t="s">
        <v>74</v>
      </c>
      <c r="E420" t="s">
        <v>74</v>
      </c>
      <c r="F420" t="s">
        <v>8321</v>
      </c>
      <c r="G420" t="s">
        <v>74</v>
      </c>
      <c r="H420" t="s">
        <v>74</v>
      </c>
      <c r="I420" t="s">
        <v>8322</v>
      </c>
      <c r="J420" t="s">
        <v>8323</v>
      </c>
      <c r="K420" t="s">
        <v>74</v>
      </c>
      <c r="L420" t="s">
        <v>74</v>
      </c>
      <c r="M420" t="s">
        <v>78</v>
      </c>
      <c r="N420" t="s">
        <v>79</v>
      </c>
      <c r="O420" t="s">
        <v>74</v>
      </c>
      <c r="P420" t="s">
        <v>74</v>
      </c>
      <c r="Q420" t="s">
        <v>74</v>
      </c>
      <c r="R420" t="s">
        <v>74</v>
      </c>
      <c r="S420" t="s">
        <v>74</v>
      </c>
      <c r="T420" t="s">
        <v>8324</v>
      </c>
      <c r="U420" t="s">
        <v>8325</v>
      </c>
      <c r="V420" t="s">
        <v>8326</v>
      </c>
      <c r="W420" t="s">
        <v>8327</v>
      </c>
      <c r="X420" t="s">
        <v>8328</v>
      </c>
      <c r="Y420" t="s">
        <v>8329</v>
      </c>
      <c r="Z420" t="s">
        <v>8330</v>
      </c>
      <c r="AA420" t="s">
        <v>8331</v>
      </c>
      <c r="AB420" t="s">
        <v>8332</v>
      </c>
      <c r="AC420" t="s">
        <v>8333</v>
      </c>
      <c r="AD420" t="s">
        <v>8334</v>
      </c>
      <c r="AE420" t="s">
        <v>8335</v>
      </c>
      <c r="AF420" t="s">
        <v>74</v>
      </c>
      <c r="AG420">
        <v>34</v>
      </c>
      <c r="AH420">
        <v>8</v>
      </c>
      <c r="AI420">
        <v>8</v>
      </c>
      <c r="AJ420">
        <v>0</v>
      </c>
      <c r="AK420">
        <v>15</v>
      </c>
      <c r="AL420" t="s">
        <v>521</v>
      </c>
      <c r="AM420" t="s">
        <v>522</v>
      </c>
      <c r="AN420" t="s">
        <v>523</v>
      </c>
      <c r="AO420" t="s">
        <v>8336</v>
      </c>
      <c r="AP420" t="s">
        <v>8337</v>
      </c>
      <c r="AQ420" t="s">
        <v>74</v>
      </c>
      <c r="AR420" t="s">
        <v>8338</v>
      </c>
      <c r="AS420" t="s">
        <v>8339</v>
      </c>
      <c r="AT420" t="s">
        <v>8282</v>
      </c>
      <c r="AU420">
        <v>2014</v>
      </c>
      <c r="AV420">
        <v>53</v>
      </c>
      <c r="AW420">
        <v>2</v>
      </c>
      <c r="AX420" t="s">
        <v>74</v>
      </c>
      <c r="AY420" t="s">
        <v>74</v>
      </c>
      <c r="AZ420" t="s">
        <v>74</v>
      </c>
      <c r="BA420" t="s">
        <v>74</v>
      </c>
      <c r="BB420">
        <v>257</v>
      </c>
      <c r="BC420">
        <v>265</v>
      </c>
      <c r="BD420" t="s">
        <v>74</v>
      </c>
      <c r="BE420" t="s">
        <v>8340</v>
      </c>
      <c r="BF420" t="str">
        <f>HYPERLINK("http://dx.doi.org/10.1016/j.asr.2013.11.002","http://dx.doi.org/10.1016/j.asr.2013.11.002")</f>
        <v>http://dx.doi.org/10.1016/j.asr.2013.11.002</v>
      </c>
      <c r="BG420" t="s">
        <v>74</v>
      </c>
      <c r="BH420" t="s">
        <v>74</v>
      </c>
      <c r="BI420">
        <v>9</v>
      </c>
      <c r="BJ420" t="s">
        <v>8341</v>
      </c>
      <c r="BK420" t="s">
        <v>101</v>
      </c>
      <c r="BL420" t="s">
        <v>8342</v>
      </c>
      <c r="BM420" t="s">
        <v>8343</v>
      </c>
      <c r="BN420" t="s">
        <v>74</v>
      </c>
      <c r="BO420" t="s">
        <v>74</v>
      </c>
      <c r="BP420" t="s">
        <v>74</v>
      </c>
      <c r="BQ420" t="s">
        <v>74</v>
      </c>
      <c r="BR420" t="s">
        <v>104</v>
      </c>
      <c r="BS420" t="s">
        <v>8344</v>
      </c>
      <c r="BT420" t="str">
        <f>HYPERLINK("https%3A%2F%2Fwww.webofscience.com%2Fwos%2Fwoscc%2Ffull-record%2FWOS:000331498200009","View Full Record in Web of Science")</f>
        <v>View Full Record in Web of Science</v>
      </c>
    </row>
    <row r="421" spans="1:72" x14ac:dyDescent="0.15">
      <c r="A421" t="s">
        <v>72</v>
      </c>
      <c r="B421" t="s">
        <v>8345</v>
      </c>
      <c r="C421" t="s">
        <v>74</v>
      </c>
      <c r="D421" t="s">
        <v>74</v>
      </c>
      <c r="E421" t="s">
        <v>74</v>
      </c>
      <c r="F421" t="s">
        <v>8346</v>
      </c>
      <c r="G421" t="s">
        <v>74</v>
      </c>
      <c r="H421" t="s">
        <v>74</v>
      </c>
      <c r="I421" t="s">
        <v>8347</v>
      </c>
      <c r="J421" t="s">
        <v>3567</v>
      </c>
      <c r="K421" t="s">
        <v>74</v>
      </c>
      <c r="L421" t="s">
        <v>74</v>
      </c>
      <c r="M421" t="s">
        <v>78</v>
      </c>
      <c r="N421" t="s">
        <v>79</v>
      </c>
      <c r="O421" t="s">
        <v>74</v>
      </c>
      <c r="P421" t="s">
        <v>74</v>
      </c>
      <c r="Q421" t="s">
        <v>74</v>
      </c>
      <c r="R421" t="s">
        <v>74</v>
      </c>
      <c r="S421" t="s">
        <v>74</v>
      </c>
      <c r="T421" t="s">
        <v>74</v>
      </c>
      <c r="U421" t="s">
        <v>8348</v>
      </c>
      <c r="V421" t="s">
        <v>8349</v>
      </c>
      <c r="W421" t="s">
        <v>8350</v>
      </c>
      <c r="X421" t="s">
        <v>8351</v>
      </c>
      <c r="Y421" t="s">
        <v>8352</v>
      </c>
      <c r="Z421" t="s">
        <v>3573</v>
      </c>
      <c r="AA421" t="s">
        <v>8353</v>
      </c>
      <c r="AB421" t="s">
        <v>8354</v>
      </c>
      <c r="AC421" t="s">
        <v>3576</v>
      </c>
      <c r="AD421" t="s">
        <v>3577</v>
      </c>
      <c r="AE421" t="s">
        <v>8355</v>
      </c>
      <c r="AF421" t="s">
        <v>74</v>
      </c>
      <c r="AG421">
        <v>35</v>
      </c>
      <c r="AH421">
        <v>23</v>
      </c>
      <c r="AI421">
        <v>26</v>
      </c>
      <c r="AJ421">
        <v>0</v>
      </c>
      <c r="AK421">
        <v>24</v>
      </c>
      <c r="AL421" t="s">
        <v>946</v>
      </c>
      <c r="AM421" t="s">
        <v>522</v>
      </c>
      <c r="AN421" t="s">
        <v>947</v>
      </c>
      <c r="AO421" t="s">
        <v>3579</v>
      </c>
      <c r="AP421" t="s">
        <v>3580</v>
      </c>
      <c r="AQ421" t="s">
        <v>74</v>
      </c>
      <c r="AR421" t="s">
        <v>3581</v>
      </c>
      <c r="AS421" t="s">
        <v>3582</v>
      </c>
      <c r="AT421" t="s">
        <v>8282</v>
      </c>
      <c r="AU421">
        <v>2014</v>
      </c>
      <c r="AV421">
        <v>125</v>
      </c>
      <c r="AW421" t="s">
        <v>74</v>
      </c>
      <c r="AX421" t="s">
        <v>74</v>
      </c>
      <c r="AY421" t="s">
        <v>74</v>
      </c>
      <c r="AZ421" t="s">
        <v>74</v>
      </c>
      <c r="BA421" t="s">
        <v>74</v>
      </c>
      <c r="BB421">
        <v>23</v>
      </c>
      <c r="BC421">
        <v>33</v>
      </c>
      <c r="BD421" t="s">
        <v>74</v>
      </c>
      <c r="BE421" t="s">
        <v>8356</v>
      </c>
      <c r="BF421" t="str">
        <f>HYPERLINK("http://dx.doi.org/10.1016/j.gca.2013.09.033","http://dx.doi.org/10.1016/j.gca.2013.09.033")</f>
        <v>http://dx.doi.org/10.1016/j.gca.2013.09.033</v>
      </c>
      <c r="BG421" t="s">
        <v>74</v>
      </c>
      <c r="BH421" t="s">
        <v>74</v>
      </c>
      <c r="BI421">
        <v>11</v>
      </c>
      <c r="BJ421" t="s">
        <v>574</v>
      </c>
      <c r="BK421" t="s">
        <v>101</v>
      </c>
      <c r="BL421" t="s">
        <v>574</v>
      </c>
      <c r="BM421" t="s">
        <v>8357</v>
      </c>
      <c r="BN421" t="s">
        <v>74</v>
      </c>
      <c r="BO421" t="s">
        <v>74</v>
      </c>
      <c r="BP421" t="s">
        <v>74</v>
      </c>
      <c r="BQ421" t="s">
        <v>74</v>
      </c>
      <c r="BR421" t="s">
        <v>104</v>
      </c>
      <c r="BS421" t="s">
        <v>8358</v>
      </c>
      <c r="BT421" t="str">
        <f>HYPERLINK("https%3A%2F%2Fwww.webofscience.com%2Fwos%2Fwoscc%2Ffull-record%2FWOS:000329066500002","View Full Record in Web of Science")</f>
        <v>View Full Record in Web of Science</v>
      </c>
    </row>
    <row r="422" spans="1:72" x14ac:dyDescent="0.15">
      <c r="A422" t="s">
        <v>72</v>
      </c>
      <c r="B422" t="s">
        <v>8359</v>
      </c>
      <c r="C422" t="s">
        <v>74</v>
      </c>
      <c r="D422" t="s">
        <v>74</v>
      </c>
      <c r="E422" t="s">
        <v>74</v>
      </c>
      <c r="F422" t="s">
        <v>8360</v>
      </c>
      <c r="G422" t="s">
        <v>74</v>
      </c>
      <c r="H422" t="s">
        <v>74</v>
      </c>
      <c r="I422" t="s">
        <v>8361</v>
      </c>
      <c r="J422" t="s">
        <v>3567</v>
      </c>
      <c r="K422" t="s">
        <v>74</v>
      </c>
      <c r="L422" t="s">
        <v>74</v>
      </c>
      <c r="M422" t="s">
        <v>78</v>
      </c>
      <c r="N422" t="s">
        <v>79</v>
      </c>
      <c r="O422" t="s">
        <v>74</v>
      </c>
      <c r="P422" t="s">
        <v>74</v>
      </c>
      <c r="Q422" t="s">
        <v>74</v>
      </c>
      <c r="R422" t="s">
        <v>74</v>
      </c>
      <c r="S422" t="s">
        <v>74</v>
      </c>
      <c r="T422" t="s">
        <v>74</v>
      </c>
      <c r="U422" t="s">
        <v>8362</v>
      </c>
      <c r="V422" t="s">
        <v>8363</v>
      </c>
      <c r="W422" t="s">
        <v>8364</v>
      </c>
      <c r="X422" t="s">
        <v>8365</v>
      </c>
      <c r="Y422" t="s">
        <v>8366</v>
      </c>
      <c r="Z422" t="s">
        <v>8367</v>
      </c>
      <c r="AA422" t="s">
        <v>8368</v>
      </c>
      <c r="AB422" t="s">
        <v>8369</v>
      </c>
      <c r="AC422" t="s">
        <v>8370</v>
      </c>
      <c r="AD422" t="s">
        <v>8371</v>
      </c>
      <c r="AE422" t="s">
        <v>8372</v>
      </c>
      <c r="AF422" t="s">
        <v>74</v>
      </c>
      <c r="AG422">
        <v>39</v>
      </c>
      <c r="AH422">
        <v>41</v>
      </c>
      <c r="AI422">
        <v>43</v>
      </c>
      <c r="AJ422">
        <v>2</v>
      </c>
      <c r="AK422">
        <v>68</v>
      </c>
      <c r="AL422" t="s">
        <v>946</v>
      </c>
      <c r="AM422" t="s">
        <v>522</v>
      </c>
      <c r="AN422" t="s">
        <v>947</v>
      </c>
      <c r="AO422" t="s">
        <v>3579</v>
      </c>
      <c r="AP422" t="s">
        <v>3580</v>
      </c>
      <c r="AQ422" t="s">
        <v>74</v>
      </c>
      <c r="AR422" t="s">
        <v>3581</v>
      </c>
      <c r="AS422" t="s">
        <v>3582</v>
      </c>
      <c r="AT422" t="s">
        <v>8282</v>
      </c>
      <c r="AU422">
        <v>2014</v>
      </c>
      <c r="AV422">
        <v>125</v>
      </c>
      <c r="AW422" t="s">
        <v>74</v>
      </c>
      <c r="AX422" t="s">
        <v>74</v>
      </c>
      <c r="AY422" t="s">
        <v>74</v>
      </c>
      <c r="AZ422" t="s">
        <v>74</v>
      </c>
      <c r="BA422" t="s">
        <v>74</v>
      </c>
      <c r="BB422">
        <v>539</v>
      </c>
      <c r="BC422">
        <v>550</v>
      </c>
      <c r="BD422" t="s">
        <v>74</v>
      </c>
      <c r="BE422" t="s">
        <v>8373</v>
      </c>
      <c r="BF422" t="str">
        <f>HYPERLINK("http://dx.doi.org/10.1016/j.gca.2013.10.032","http://dx.doi.org/10.1016/j.gca.2013.10.032")</f>
        <v>http://dx.doi.org/10.1016/j.gca.2013.10.032</v>
      </c>
      <c r="BG422" t="s">
        <v>74</v>
      </c>
      <c r="BH422" t="s">
        <v>74</v>
      </c>
      <c r="BI422">
        <v>12</v>
      </c>
      <c r="BJ422" t="s">
        <v>574</v>
      </c>
      <c r="BK422" t="s">
        <v>101</v>
      </c>
      <c r="BL422" t="s">
        <v>574</v>
      </c>
      <c r="BM422" t="s">
        <v>8357</v>
      </c>
      <c r="BN422" t="s">
        <v>74</v>
      </c>
      <c r="BO422" t="s">
        <v>74</v>
      </c>
      <c r="BP422" t="s">
        <v>74</v>
      </c>
      <c r="BQ422" t="s">
        <v>74</v>
      </c>
      <c r="BR422" t="s">
        <v>104</v>
      </c>
      <c r="BS422" t="s">
        <v>8374</v>
      </c>
      <c r="BT422" t="str">
        <f>HYPERLINK("https%3A%2F%2Fwww.webofscience.com%2Fwos%2Fwoscc%2Ffull-record%2FWOS:000329066500033","View Full Record in Web of Science")</f>
        <v>View Full Record in Web of Science</v>
      </c>
    </row>
    <row r="423" spans="1:72" x14ac:dyDescent="0.15">
      <c r="A423" t="s">
        <v>72</v>
      </c>
      <c r="B423" t="s">
        <v>8375</v>
      </c>
      <c r="C423" t="s">
        <v>74</v>
      </c>
      <c r="D423" t="s">
        <v>74</v>
      </c>
      <c r="E423" t="s">
        <v>74</v>
      </c>
      <c r="F423" t="s">
        <v>8376</v>
      </c>
      <c r="G423" t="s">
        <v>74</v>
      </c>
      <c r="H423" t="s">
        <v>74</v>
      </c>
      <c r="I423" t="s">
        <v>8377</v>
      </c>
      <c r="J423" t="s">
        <v>3567</v>
      </c>
      <c r="K423" t="s">
        <v>74</v>
      </c>
      <c r="L423" t="s">
        <v>74</v>
      </c>
      <c r="M423" t="s">
        <v>78</v>
      </c>
      <c r="N423" t="s">
        <v>79</v>
      </c>
      <c r="O423" t="s">
        <v>74</v>
      </c>
      <c r="P423" t="s">
        <v>74</v>
      </c>
      <c r="Q423" t="s">
        <v>74</v>
      </c>
      <c r="R423" t="s">
        <v>74</v>
      </c>
      <c r="S423" t="s">
        <v>74</v>
      </c>
      <c r="T423" t="s">
        <v>74</v>
      </c>
      <c r="U423" t="s">
        <v>8378</v>
      </c>
      <c r="V423" t="s">
        <v>8379</v>
      </c>
      <c r="W423" t="s">
        <v>8380</v>
      </c>
      <c r="X423" t="s">
        <v>8381</v>
      </c>
      <c r="Y423" t="s">
        <v>8382</v>
      </c>
      <c r="Z423" t="s">
        <v>8383</v>
      </c>
      <c r="AA423" t="s">
        <v>74</v>
      </c>
      <c r="AB423" t="s">
        <v>8384</v>
      </c>
      <c r="AC423" t="s">
        <v>8385</v>
      </c>
      <c r="AD423" t="s">
        <v>8386</v>
      </c>
      <c r="AE423" t="s">
        <v>8387</v>
      </c>
      <c r="AF423" t="s">
        <v>74</v>
      </c>
      <c r="AG423">
        <v>74</v>
      </c>
      <c r="AH423">
        <v>137</v>
      </c>
      <c r="AI423">
        <v>148</v>
      </c>
      <c r="AJ423">
        <v>2</v>
      </c>
      <c r="AK423">
        <v>84</v>
      </c>
      <c r="AL423" t="s">
        <v>946</v>
      </c>
      <c r="AM423" t="s">
        <v>522</v>
      </c>
      <c r="AN423" t="s">
        <v>947</v>
      </c>
      <c r="AO423" t="s">
        <v>3579</v>
      </c>
      <c r="AP423" t="s">
        <v>3580</v>
      </c>
      <c r="AQ423" t="s">
        <v>74</v>
      </c>
      <c r="AR423" t="s">
        <v>3581</v>
      </c>
      <c r="AS423" t="s">
        <v>3582</v>
      </c>
      <c r="AT423" t="s">
        <v>8282</v>
      </c>
      <c r="AU423">
        <v>2014</v>
      </c>
      <c r="AV423">
        <v>125</v>
      </c>
      <c r="AW423" t="s">
        <v>74</v>
      </c>
      <c r="AX423" t="s">
        <v>74</v>
      </c>
      <c r="AY423" t="s">
        <v>74</v>
      </c>
      <c r="AZ423" t="s">
        <v>74</v>
      </c>
      <c r="BA423" t="s">
        <v>74</v>
      </c>
      <c r="BB423">
        <v>653</v>
      </c>
      <c r="BC423">
        <v>672</v>
      </c>
      <c r="BD423" t="s">
        <v>74</v>
      </c>
      <c r="BE423" t="s">
        <v>8388</v>
      </c>
      <c r="BF423" t="str">
        <f>HYPERLINK("http://dx.doi.org/10.1016/j.gca.2013.07.045","http://dx.doi.org/10.1016/j.gca.2013.07.045")</f>
        <v>http://dx.doi.org/10.1016/j.gca.2013.07.045</v>
      </c>
      <c r="BG423" t="s">
        <v>74</v>
      </c>
      <c r="BH423" t="s">
        <v>74</v>
      </c>
      <c r="BI423">
        <v>20</v>
      </c>
      <c r="BJ423" t="s">
        <v>574</v>
      </c>
      <c r="BK423" t="s">
        <v>101</v>
      </c>
      <c r="BL423" t="s">
        <v>574</v>
      </c>
      <c r="BM423" t="s">
        <v>8357</v>
      </c>
      <c r="BN423" t="s">
        <v>74</v>
      </c>
      <c r="BO423" t="s">
        <v>252</v>
      </c>
      <c r="BP423" t="s">
        <v>74</v>
      </c>
      <c r="BQ423" t="s">
        <v>74</v>
      </c>
      <c r="BR423" t="s">
        <v>104</v>
      </c>
      <c r="BS423" t="s">
        <v>8389</v>
      </c>
      <c r="BT423" t="str">
        <f>HYPERLINK("https%3A%2F%2Fwww.webofscience.com%2Fwos%2Fwoscc%2Ffull-record%2FWOS:000329066500038","View Full Record in Web of Science")</f>
        <v>View Full Record in Web of Science</v>
      </c>
    </row>
    <row r="424" spans="1:72" x14ac:dyDescent="0.15">
      <c r="A424" t="s">
        <v>72</v>
      </c>
      <c r="B424" t="s">
        <v>8390</v>
      </c>
      <c r="C424" t="s">
        <v>74</v>
      </c>
      <c r="D424" t="s">
        <v>74</v>
      </c>
      <c r="E424" t="s">
        <v>74</v>
      </c>
      <c r="F424" t="s">
        <v>8391</v>
      </c>
      <c r="G424" t="s">
        <v>74</v>
      </c>
      <c r="H424" t="s">
        <v>74</v>
      </c>
      <c r="I424" t="s">
        <v>8392</v>
      </c>
      <c r="J424" t="s">
        <v>8393</v>
      </c>
      <c r="K424" t="s">
        <v>74</v>
      </c>
      <c r="L424" t="s">
        <v>74</v>
      </c>
      <c r="M424" t="s">
        <v>78</v>
      </c>
      <c r="N424" t="s">
        <v>79</v>
      </c>
      <c r="O424" t="s">
        <v>74</v>
      </c>
      <c r="P424" t="s">
        <v>74</v>
      </c>
      <c r="Q424" t="s">
        <v>74</v>
      </c>
      <c r="R424" t="s">
        <v>74</v>
      </c>
      <c r="S424" t="s">
        <v>74</v>
      </c>
      <c r="T424" t="s">
        <v>8394</v>
      </c>
      <c r="U424" t="s">
        <v>8395</v>
      </c>
      <c r="V424" t="s">
        <v>8396</v>
      </c>
      <c r="W424" t="s">
        <v>8397</v>
      </c>
      <c r="X424" t="s">
        <v>8398</v>
      </c>
      <c r="Y424" t="s">
        <v>8399</v>
      </c>
      <c r="Z424" t="s">
        <v>8400</v>
      </c>
      <c r="AA424" t="s">
        <v>8401</v>
      </c>
      <c r="AB424" t="s">
        <v>8402</v>
      </c>
      <c r="AC424" t="s">
        <v>8403</v>
      </c>
      <c r="AD424" t="s">
        <v>8404</v>
      </c>
      <c r="AE424" t="s">
        <v>8405</v>
      </c>
      <c r="AF424" t="s">
        <v>74</v>
      </c>
      <c r="AG424">
        <v>39</v>
      </c>
      <c r="AH424">
        <v>31</v>
      </c>
      <c r="AI424">
        <v>33</v>
      </c>
      <c r="AJ424">
        <v>1</v>
      </c>
      <c r="AK424">
        <v>14</v>
      </c>
      <c r="AL424" t="s">
        <v>4404</v>
      </c>
      <c r="AM424" t="s">
        <v>4405</v>
      </c>
      <c r="AN424" t="s">
        <v>4406</v>
      </c>
      <c r="AO424" t="s">
        <v>8406</v>
      </c>
      <c r="AP424" t="s">
        <v>74</v>
      </c>
      <c r="AQ424" t="s">
        <v>74</v>
      </c>
      <c r="AR424" t="s">
        <v>8407</v>
      </c>
      <c r="AS424" t="s">
        <v>8408</v>
      </c>
      <c r="AT424" t="s">
        <v>8282</v>
      </c>
      <c r="AU424">
        <v>2014</v>
      </c>
      <c r="AV424">
        <v>17</v>
      </c>
      <c r="AW424">
        <v>1</v>
      </c>
      <c r="AX424" t="s">
        <v>74</v>
      </c>
      <c r="AY424" t="s">
        <v>74</v>
      </c>
      <c r="AZ424" t="s">
        <v>74</v>
      </c>
      <c r="BA424" t="s">
        <v>74</v>
      </c>
      <c r="BB424" t="s">
        <v>74</v>
      </c>
      <c r="BC424" t="s">
        <v>74</v>
      </c>
      <c r="BD424" t="s">
        <v>74</v>
      </c>
      <c r="BE424" t="s">
        <v>8409</v>
      </c>
      <c r="BF424" t="str">
        <f>HYPERLINK("http://dx.doi.org/10.1016/j.ejbt.2013.12.001","http://dx.doi.org/10.1016/j.ejbt.2013.12.001")</f>
        <v>http://dx.doi.org/10.1016/j.ejbt.2013.12.001</v>
      </c>
      <c r="BG424" t="s">
        <v>74</v>
      </c>
      <c r="BH424" t="s">
        <v>74</v>
      </c>
      <c r="BI424">
        <v>5</v>
      </c>
      <c r="BJ424" t="s">
        <v>153</v>
      </c>
      <c r="BK424" t="s">
        <v>101</v>
      </c>
      <c r="BL424" t="s">
        <v>153</v>
      </c>
      <c r="BM424" t="s">
        <v>8410</v>
      </c>
      <c r="BN424" t="s">
        <v>74</v>
      </c>
      <c r="BO424" t="s">
        <v>2318</v>
      </c>
      <c r="BP424" t="s">
        <v>74</v>
      </c>
      <c r="BQ424" t="s">
        <v>74</v>
      </c>
      <c r="BR424" t="s">
        <v>104</v>
      </c>
      <c r="BS424" t="s">
        <v>8411</v>
      </c>
      <c r="BT424" t="str">
        <f>HYPERLINK("https%3A%2F%2Fwww.webofscience.com%2Fwos%2Fwoscc%2Ffull-record%2FWOS:000334440900002","View Full Record in Web of Science")</f>
        <v>View Full Record in Web of Science</v>
      </c>
    </row>
    <row r="425" spans="1:72" x14ac:dyDescent="0.15">
      <c r="A425" t="s">
        <v>72</v>
      </c>
      <c r="B425" t="s">
        <v>8412</v>
      </c>
      <c r="C425" t="s">
        <v>74</v>
      </c>
      <c r="D425" t="s">
        <v>74</v>
      </c>
      <c r="E425" t="s">
        <v>74</v>
      </c>
      <c r="F425" t="s">
        <v>8413</v>
      </c>
      <c r="G425" t="s">
        <v>74</v>
      </c>
      <c r="H425" t="s">
        <v>74</v>
      </c>
      <c r="I425" t="s">
        <v>8414</v>
      </c>
      <c r="J425" t="s">
        <v>1397</v>
      </c>
      <c r="K425" t="s">
        <v>74</v>
      </c>
      <c r="L425" t="s">
        <v>74</v>
      </c>
      <c r="M425" t="s">
        <v>78</v>
      </c>
      <c r="N425" t="s">
        <v>79</v>
      </c>
      <c r="O425" t="s">
        <v>74</v>
      </c>
      <c r="P425" t="s">
        <v>74</v>
      </c>
      <c r="Q425" t="s">
        <v>74</v>
      </c>
      <c r="R425" t="s">
        <v>74</v>
      </c>
      <c r="S425" t="s">
        <v>74</v>
      </c>
      <c r="T425" t="s">
        <v>8415</v>
      </c>
      <c r="U425" t="s">
        <v>8416</v>
      </c>
      <c r="V425" t="s">
        <v>8417</v>
      </c>
      <c r="W425" t="s">
        <v>8418</v>
      </c>
      <c r="X425" t="s">
        <v>8419</v>
      </c>
      <c r="Y425" t="s">
        <v>8420</v>
      </c>
      <c r="Z425" t="s">
        <v>8421</v>
      </c>
      <c r="AA425" t="s">
        <v>8422</v>
      </c>
      <c r="AB425" t="s">
        <v>8423</v>
      </c>
      <c r="AC425" t="s">
        <v>8424</v>
      </c>
      <c r="AD425" t="s">
        <v>8425</v>
      </c>
      <c r="AE425" t="s">
        <v>8426</v>
      </c>
      <c r="AF425" t="s">
        <v>74</v>
      </c>
      <c r="AG425">
        <v>54</v>
      </c>
      <c r="AH425">
        <v>188</v>
      </c>
      <c r="AI425">
        <v>219</v>
      </c>
      <c r="AJ425">
        <v>4</v>
      </c>
      <c r="AK425">
        <v>127</v>
      </c>
      <c r="AL425" t="s">
        <v>946</v>
      </c>
      <c r="AM425" t="s">
        <v>522</v>
      </c>
      <c r="AN425" t="s">
        <v>947</v>
      </c>
      <c r="AO425" t="s">
        <v>1410</v>
      </c>
      <c r="AP425" t="s">
        <v>1411</v>
      </c>
      <c r="AQ425" t="s">
        <v>74</v>
      </c>
      <c r="AR425" t="s">
        <v>1412</v>
      </c>
      <c r="AS425" t="s">
        <v>1413</v>
      </c>
      <c r="AT425" t="s">
        <v>8282</v>
      </c>
      <c r="AU425">
        <v>2014</v>
      </c>
      <c r="AV425">
        <v>84</v>
      </c>
      <c r="AW425" t="s">
        <v>74</v>
      </c>
      <c r="AX425" t="s">
        <v>74</v>
      </c>
      <c r="AY425" t="s">
        <v>74</v>
      </c>
      <c r="AZ425" t="s">
        <v>74</v>
      </c>
      <c r="BA425" t="s">
        <v>74</v>
      </c>
      <c r="BB425">
        <v>1</v>
      </c>
      <c r="BC425">
        <v>6</v>
      </c>
      <c r="BD425" t="s">
        <v>74</v>
      </c>
      <c r="BE425" t="s">
        <v>8427</v>
      </c>
      <c r="BF425" t="str">
        <f>HYPERLINK("http://dx.doi.org/10.1016/j.quascirev.2013.11.002","http://dx.doi.org/10.1016/j.quascirev.2013.11.002")</f>
        <v>http://dx.doi.org/10.1016/j.quascirev.2013.11.002</v>
      </c>
      <c r="BG425" t="s">
        <v>74</v>
      </c>
      <c r="BH425" t="s">
        <v>74</v>
      </c>
      <c r="BI425">
        <v>6</v>
      </c>
      <c r="BJ425" t="s">
        <v>1415</v>
      </c>
      <c r="BK425" t="s">
        <v>101</v>
      </c>
      <c r="BL425" t="s">
        <v>1416</v>
      </c>
      <c r="BM425" t="s">
        <v>8428</v>
      </c>
      <c r="BN425" t="s">
        <v>74</v>
      </c>
      <c r="BO425" t="s">
        <v>74</v>
      </c>
      <c r="BP425" t="s">
        <v>74</v>
      </c>
      <c r="BQ425" t="s">
        <v>74</v>
      </c>
      <c r="BR425" t="s">
        <v>104</v>
      </c>
      <c r="BS425" t="s">
        <v>8429</v>
      </c>
      <c r="BT425" t="str">
        <f>HYPERLINK("https%3A%2F%2Fwww.webofscience.com%2Fwos%2Fwoscc%2Ffull-record%2FWOS:000331682200001","View Full Record in Web of Science")</f>
        <v>View Full Record in Web of Science</v>
      </c>
    </row>
    <row r="426" spans="1:72" x14ac:dyDescent="0.15">
      <c r="A426" t="s">
        <v>72</v>
      </c>
      <c r="B426" t="s">
        <v>8430</v>
      </c>
      <c r="C426" t="s">
        <v>74</v>
      </c>
      <c r="D426" t="s">
        <v>74</v>
      </c>
      <c r="E426" t="s">
        <v>74</v>
      </c>
      <c r="F426" t="s">
        <v>8431</v>
      </c>
      <c r="G426" t="s">
        <v>74</v>
      </c>
      <c r="H426" t="s">
        <v>74</v>
      </c>
      <c r="I426" t="s">
        <v>8432</v>
      </c>
      <c r="J426" t="s">
        <v>1275</v>
      </c>
      <c r="K426" t="s">
        <v>74</v>
      </c>
      <c r="L426" t="s">
        <v>74</v>
      </c>
      <c r="M426" t="s">
        <v>78</v>
      </c>
      <c r="N426" t="s">
        <v>79</v>
      </c>
      <c r="O426" t="s">
        <v>74</v>
      </c>
      <c r="P426" t="s">
        <v>74</v>
      </c>
      <c r="Q426" t="s">
        <v>74</v>
      </c>
      <c r="R426" t="s">
        <v>74</v>
      </c>
      <c r="S426" t="s">
        <v>74</v>
      </c>
      <c r="T426" t="s">
        <v>74</v>
      </c>
      <c r="U426" t="s">
        <v>8433</v>
      </c>
      <c r="V426" t="s">
        <v>8434</v>
      </c>
      <c r="W426" t="s">
        <v>8435</v>
      </c>
      <c r="X426" t="s">
        <v>8436</v>
      </c>
      <c r="Y426" t="s">
        <v>8437</v>
      </c>
      <c r="Z426" t="s">
        <v>8438</v>
      </c>
      <c r="AA426" t="s">
        <v>8439</v>
      </c>
      <c r="AB426" t="s">
        <v>8440</v>
      </c>
      <c r="AC426" t="s">
        <v>8441</v>
      </c>
      <c r="AD426" t="s">
        <v>8442</v>
      </c>
      <c r="AE426" t="s">
        <v>8443</v>
      </c>
      <c r="AF426" t="s">
        <v>74</v>
      </c>
      <c r="AG426">
        <v>64</v>
      </c>
      <c r="AH426">
        <v>14</v>
      </c>
      <c r="AI426">
        <v>18</v>
      </c>
      <c r="AJ426">
        <v>0</v>
      </c>
      <c r="AK426">
        <v>29</v>
      </c>
      <c r="AL426" t="s">
        <v>1261</v>
      </c>
      <c r="AM426" t="s">
        <v>1262</v>
      </c>
      <c r="AN426" t="s">
        <v>1263</v>
      </c>
      <c r="AO426" t="s">
        <v>1287</v>
      </c>
      <c r="AP426" t="s">
        <v>74</v>
      </c>
      <c r="AQ426" t="s">
        <v>74</v>
      </c>
      <c r="AR426" t="s">
        <v>1275</v>
      </c>
      <c r="AS426" t="s">
        <v>1288</v>
      </c>
      <c r="AT426" t="s">
        <v>8444</v>
      </c>
      <c r="AU426">
        <v>2014</v>
      </c>
      <c r="AV426">
        <v>9</v>
      </c>
      <c r="AW426">
        <v>1</v>
      </c>
      <c r="AX426" t="s">
        <v>74</v>
      </c>
      <c r="AY426" t="s">
        <v>74</v>
      </c>
      <c r="AZ426" t="s">
        <v>74</v>
      </c>
      <c r="BA426" t="s">
        <v>74</v>
      </c>
      <c r="BB426" t="s">
        <v>74</v>
      </c>
      <c r="BC426" t="s">
        <v>74</v>
      </c>
      <c r="BD426" t="s">
        <v>8445</v>
      </c>
      <c r="BE426" t="s">
        <v>8446</v>
      </c>
      <c r="BF426" t="str">
        <f>HYPERLINK("http://dx.doi.org/10.1371/journal.pone.0085895","http://dx.doi.org/10.1371/journal.pone.0085895")</f>
        <v>http://dx.doi.org/10.1371/journal.pone.0085895</v>
      </c>
      <c r="BG426" t="s">
        <v>74</v>
      </c>
      <c r="BH426" t="s">
        <v>74</v>
      </c>
      <c r="BI426">
        <v>9</v>
      </c>
      <c r="BJ426" t="s">
        <v>1100</v>
      </c>
      <c r="BK426" t="s">
        <v>101</v>
      </c>
      <c r="BL426" t="s">
        <v>1101</v>
      </c>
      <c r="BM426" t="s">
        <v>8447</v>
      </c>
      <c r="BN426">
        <v>24454945</v>
      </c>
      <c r="BO426" t="s">
        <v>7188</v>
      </c>
      <c r="BP426" t="s">
        <v>74</v>
      </c>
      <c r="BQ426" t="s">
        <v>74</v>
      </c>
      <c r="BR426" t="s">
        <v>104</v>
      </c>
      <c r="BS426" t="s">
        <v>8448</v>
      </c>
      <c r="BT426" t="str">
        <f>HYPERLINK("https%3A%2F%2Fwww.webofscience.com%2Fwos%2Fwoscc%2Ffull-record%2FWOS:000329922500059","View Full Record in Web of Science")</f>
        <v>View Full Record in Web of Science</v>
      </c>
    </row>
    <row r="427" spans="1:72" x14ac:dyDescent="0.15">
      <c r="A427" t="s">
        <v>72</v>
      </c>
      <c r="B427" t="s">
        <v>8449</v>
      </c>
      <c r="C427" t="s">
        <v>74</v>
      </c>
      <c r="D427" t="s">
        <v>74</v>
      </c>
      <c r="E427" t="s">
        <v>74</v>
      </c>
      <c r="F427" t="s">
        <v>8450</v>
      </c>
      <c r="G427" t="s">
        <v>74</v>
      </c>
      <c r="H427" t="s">
        <v>74</v>
      </c>
      <c r="I427" t="s">
        <v>8451</v>
      </c>
      <c r="J427" t="s">
        <v>8452</v>
      </c>
      <c r="K427" t="s">
        <v>74</v>
      </c>
      <c r="L427" t="s">
        <v>74</v>
      </c>
      <c r="M427" t="s">
        <v>78</v>
      </c>
      <c r="N427" t="s">
        <v>79</v>
      </c>
      <c r="O427" t="s">
        <v>74</v>
      </c>
      <c r="P427" t="s">
        <v>74</v>
      </c>
      <c r="Q427" t="s">
        <v>74</v>
      </c>
      <c r="R427" t="s">
        <v>74</v>
      </c>
      <c r="S427" t="s">
        <v>74</v>
      </c>
      <c r="T427" t="s">
        <v>8453</v>
      </c>
      <c r="U427" t="s">
        <v>8454</v>
      </c>
      <c r="V427" t="s">
        <v>8455</v>
      </c>
      <c r="W427" t="s">
        <v>8456</v>
      </c>
      <c r="X427" t="s">
        <v>8457</v>
      </c>
      <c r="Y427" t="s">
        <v>8458</v>
      </c>
      <c r="Z427" t="s">
        <v>8459</v>
      </c>
      <c r="AA427" t="s">
        <v>8460</v>
      </c>
      <c r="AB427" t="s">
        <v>8461</v>
      </c>
      <c r="AC427" t="s">
        <v>8462</v>
      </c>
      <c r="AD427" t="s">
        <v>8463</v>
      </c>
      <c r="AE427" t="s">
        <v>8464</v>
      </c>
      <c r="AF427" t="s">
        <v>74</v>
      </c>
      <c r="AG427">
        <v>77</v>
      </c>
      <c r="AH427">
        <v>20</v>
      </c>
      <c r="AI427">
        <v>20</v>
      </c>
      <c r="AJ427">
        <v>1</v>
      </c>
      <c r="AK427">
        <v>55</v>
      </c>
      <c r="AL427" t="s">
        <v>902</v>
      </c>
      <c r="AM427" t="s">
        <v>653</v>
      </c>
      <c r="AN427" t="s">
        <v>903</v>
      </c>
      <c r="AO427" t="s">
        <v>8465</v>
      </c>
      <c r="AP427" t="s">
        <v>8466</v>
      </c>
      <c r="AQ427" t="s">
        <v>74</v>
      </c>
      <c r="AR427" t="s">
        <v>8467</v>
      </c>
      <c r="AS427" t="s">
        <v>8468</v>
      </c>
      <c r="AT427" t="s">
        <v>8469</v>
      </c>
      <c r="AU427">
        <v>2014</v>
      </c>
      <c r="AV427">
        <v>363</v>
      </c>
      <c r="AW427" t="s">
        <v>74</v>
      </c>
      <c r="AX427" t="s">
        <v>74</v>
      </c>
      <c r="AY427" t="s">
        <v>74</v>
      </c>
      <c r="AZ427" t="s">
        <v>74</v>
      </c>
      <c r="BA427" t="s">
        <v>74</v>
      </c>
      <c r="BB427">
        <v>91</v>
      </c>
      <c r="BC427">
        <v>100</v>
      </c>
      <c r="BD427" t="s">
        <v>74</v>
      </c>
      <c r="BE427" t="s">
        <v>8470</v>
      </c>
      <c r="BF427" t="str">
        <f>HYPERLINK("http://dx.doi.org/10.1016/j.chemgeo.2013.10.031","http://dx.doi.org/10.1016/j.chemgeo.2013.10.031")</f>
        <v>http://dx.doi.org/10.1016/j.chemgeo.2013.10.031</v>
      </c>
      <c r="BG427" t="s">
        <v>74</v>
      </c>
      <c r="BH427" t="s">
        <v>74</v>
      </c>
      <c r="BI427">
        <v>10</v>
      </c>
      <c r="BJ427" t="s">
        <v>574</v>
      </c>
      <c r="BK427" t="s">
        <v>101</v>
      </c>
      <c r="BL427" t="s">
        <v>574</v>
      </c>
      <c r="BM427" t="s">
        <v>8471</v>
      </c>
      <c r="BN427" t="s">
        <v>74</v>
      </c>
      <c r="BO427" t="s">
        <v>74</v>
      </c>
      <c r="BP427" t="s">
        <v>74</v>
      </c>
      <c r="BQ427" t="s">
        <v>74</v>
      </c>
      <c r="BR427" t="s">
        <v>104</v>
      </c>
      <c r="BS427" t="s">
        <v>8472</v>
      </c>
      <c r="BT427" t="str">
        <f>HYPERLINK("https%3A%2F%2Fwww.webofscience.com%2Fwos%2Fwoscc%2Ffull-record%2FWOS:000329408900007","View Full Record in Web of Science")</f>
        <v>View Full Record in Web of Science</v>
      </c>
    </row>
    <row r="428" spans="1:72" x14ac:dyDescent="0.15">
      <c r="A428" t="s">
        <v>72</v>
      </c>
      <c r="B428" t="s">
        <v>6836</v>
      </c>
      <c r="C428" t="s">
        <v>74</v>
      </c>
      <c r="D428" t="s">
        <v>74</v>
      </c>
      <c r="E428" t="s">
        <v>74</v>
      </c>
      <c r="F428" t="s">
        <v>6836</v>
      </c>
      <c r="G428" t="s">
        <v>74</v>
      </c>
      <c r="H428" t="s">
        <v>74</v>
      </c>
      <c r="I428" t="s">
        <v>8473</v>
      </c>
      <c r="J428" t="s">
        <v>4802</v>
      </c>
      <c r="K428" t="s">
        <v>74</v>
      </c>
      <c r="L428" t="s">
        <v>74</v>
      </c>
      <c r="M428" t="s">
        <v>78</v>
      </c>
      <c r="N428" t="s">
        <v>4884</v>
      </c>
      <c r="O428" t="s">
        <v>74</v>
      </c>
      <c r="P428" t="s">
        <v>74</v>
      </c>
      <c r="Q428" t="s">
        <v>74</v>
      </c>
      <c r="R428" t="s">
        <v>74</v>
      </c>
      <c r="S428" t="s">
        <v>74</v>
      </c>
      <c r="T428" t="s">
        <v>74</v>
      </c>
      <c r="U428" t="s">
        <v>74</v>
      </c>
      <c r="V428" t="s">
        <v>74</v>
      </c>
      <c r="W428" t="s">
        <v>74</v>
      </c>
      <c r="X428" t="s">
        <v>74</v>
      </c>
      <c r="Y428" t="s">
        <v>74</v>
      </c>
      <c r="Z428" t="s">
        <v>74</v>
      </c>
      <c r="AA428" t="s">
        <v>74</v>
      </c>
      <c r="AB428" t="s">
        <v>74</v>
      </c>
      <c r="AC428" t="s">
        <v>74</v>
      </c>
      <c r="AD428" t="s">
        <v>74</v>
      </c>
      <c r="AE428" t="s">
        <v>74</v>
      </c>
      <c r="AF428" t="s">
        <v>74</v>
      </c>
      <c r="AG428">
        <v>0</v>
      </c>
      <c r="AH428">
        <v>0</v>
      </c>
      <c r="AI428">
        <v>0</v>
      </c>
      <c r="AJ428">
        <v>0</v>
      </c>
      <c r="AK428">
        <v>2</v>
      </c>
      <c r="AL428" t="s">
        <v>4814</v>
      </c>
      <c r="AM428" t="s">
        <v>447</v>
      </c>
      <c r="AN428" t="s">
        <v>4815</v>
      </c>
      <c r="AO428" t="s">
        <v>4816</v>
      </c>
      <c r="AP428" t="s">
        <v>4817</v>
      </c>
      <c r="AQ428" t="s">
        <v>74</v>
      </c>
      <c r="AR428" t="s">
        <v>4802</v>
      </c>
      <c r="AS428" t="s">
        <v>4818</v>
      </c>
      <c r="AT428" t="s">
        <v>8469</v>
      </c>
      <c r="AU428">
        <v>2014</v>
      </c>
      <c r="AV428">
        <v>343</v>
      </c>
      <c r="AW428">
        <v>6167</v>
      </c>
      <c r="AX428" t="s">
        <v>74</v>
      </c>
      <c r="AY428" t="s">
        <v>74</v>
      </c>
      <c r="AZ428" t="s">
        <v>74</v>
      </c>
      <c r="BA428" t="s">
        <v>74</v>
      </c>
      <c r="BB428">
        <v>122</v>
      </c>
      <c r="BC428">
        <v>122</v>
      </c>
      <c r="BD428" t="s">
        <v>74</v>
      </c>
      <c r="BE428" t="s">
        <v>74</v>
      </c>
      <c r="BF428" t="s">
        <v>74</v>
      </c>
      <c r="BG428" t="s">
        <v>74</v>
      </c>
      <c r="BH428" t="s">
        <v>74</v>
      </c>
      <c r="BI428">
        <v>1</v>
      </c>
      <c r="BJ428" t="s">
        <v>1100</v>
      </c>
      <c r="BK428" t="s">
        <v>101</v>
      </c>
      <c r="BL428" t="s">
        <v>1101</v>
      </c>
      <c r="BM428" t="s">
        <v>8474</v>
      </c>
      <c r="BN428" t="s">
        <v>74</v>
      </c>
      <c r="BO428" t="s">
        <v>74</v>
      </c>
      <c r="BP428" t="s">
        <v>74</v>
      </c>
      <c r="BQ428" t="s">
        <v>74</v>
      </c>
      <c r="BR428" t="s">
        <v>104</v>
      </c>
      <c r="BS428" t="s">
        <v>8475</v>
      </c>
      <c r="BT428" t="str">
        <f>HYPERLINK("https%3A%2F%2Fwww.webofscience.com%2Fwos%2Fwoscc%2Ffull-record%2FWOS:000329440800002","View Full Record in Web of Science")</f>
        <v>View Full Record in Web of Science</v>
      </c>
    </row>
    <row r="429" spans="1:72" x14ac:dyDescent="0.15">
      <c r="A429" t="s">
        <v>72</v>
      </c>
      <c r="B429" t="s">
        <v>8476</v>
      </c>
      <c r="C429" t="s">
        <v>74</v>
      </c>
      <c r="D429" t="s">
        <v>74</v>
      </c>
      <c r="E429" t="s">
        <v>74</v>
      </c>
      <c r="F429" t="s">
        <v>8477</v>
      </c>
      <c r="G429" t="s">
        <v>74</v>
      </c>
      <c r="H429" t="s">
        <v>74</v>
      </c>
      <c r="I429" t="s">
        <v>8478</v>
      </c>
      <c r="J429" t="s">
        <v>4802</v>
      </c>
      <c r="K429" t="s">
        <v>74</v>
      </c>
      <c r="L429" t="s">
        <v>74</v>
      </c>
      <c r="M429" t="s">
        <v>78</v>
      </c>
      <c r="N429" t="s">
        <v>79</v>
      </c>
      <c r="O429" t="s">
        <v>74</v>
      </c>
      <c r="P429" t="s">
        <v>74</v>
      </c>
      <c r="Q429" t="s">
        <v>74</v>
      </c>
      <c r="R429" t="s">
        <v>74</v>
      </c>
      <c r="S429" t="s">
        <v>74</v>
      </c>
      <c r="T429" t="s">
        <v>74</v>
      </c>
      <c r="U429" t="s">
        <v>8479</v>
      </c>
      <c r="V429" t="s">
        <v>8480</v>
      </c>
      <c r="W429" t="s">
        <v>8481</v>
      </c>
      <c r="X429" t="s">
        <v>8482</v>
      </c>
      <c r="Y429" t="s">
        <v>8483</v>
      </c>
      <c r="Z429" t="s">
        <v>8484</v>
      </c>
      <c r="AA429" t="s">
        <v>8485</v>
      </c>
      <c r="AB429" t="s">
        <v>8486</v>
      </c>
      <c r="AC429" t="s">
        <v>8487</v>
      </c>
      <c r="AD429" t="s">
        <v>8488</v>
      </c>
      <c r="AE429" t="s">
        <v>8489</v>
      </c>
      <c r="AF429" t="s">
        <v>74</v>
      </c>
      <c r="AG429">
        <v>34</v>
      </c>
      <c r="AH429">
        <v>318</v>
      </c>
      <c r="AI429">
        <v>345</v>
      </c>
      <c r="AJ429">
        <v>4</v>
      </c>
      <c r="AK429">
        <v>126</v>
      </c>
      <c r="AL429" t="s">
        <v>4814</v>
      </c>
      <c r="AM429" t="s">
        <v>447</v>
      </c>
      <c r="AN429" t="s">
        <v>4815</v>
      </c>
      <c r="AO429" t="s">
        <v>4816</v>
      </c>
      <c r="AP429" t="s">
        <v>4817</v>
      </c>
      <c r="AQ429" t="s">
        <v>74</v>
      </c>
      <c r="AR429" t="s">
        <v>4802</v>
      </c>
      <c r="AS429" t="s">
        <v>4818</v>
      </c>
      <c r="AT429" t="s">
        <v>8469</v>
      </c>
      <c r="AU429">
        <v>2014</v>
      </c>
      <c r="AV429">
        <v>343</v>
      </c>
      <c r="AW429">
        <v>6167</v>
      </c>
      <c r="AX429" t="s">
        <v>74</v>
      </c>
      <c r="AY429" t="s">
        <v>74</v>
      </c>
      <c r="AZ429" t="s">
        <v>74</v>
      </c>
      <c r="BA429" t="s">
        <v>74</v>
      </c>
      <c r="BB429">
        <v>174</v>
      </c>
      <c r="BC429">
        <v>178</v>
      </c>
      <c r="BD429" t="s">
        <v>74</v>
      </c>
      <c r="BE429" t="s">
        <v>8490</v>
      </c>
      <c r="BF429" t="str">
        <f>HYPERLINK("http://dx.doi.org/10.1126/science.1244341","http://dx.doi.org/10.1126/science.1244341")</f>
        <v>http://dx.doi.org/10.1126/science.1244341</v>
      </c>
      <c r="BG429" t="s">
        <v>74</v>
      </c>
      <c r="BH429" t="s">
        <v>74</v>
      </c>
      <c r="BI429">
        <v>5</v>
      </c>
      <c r="BJ429" t="s">
        <v>1100</v>
      </c>
      <c r="BK429" t="s">
        <v>101</v>
      </c>
      <c r="BL429" t="s">
        <v>1101</v>
      </c>
      <c r="BM429" t="s">
        <v>8474</v>
      </c>
      <c r="BN429">
        <v>24385606</v>
      </c>
      <c r="BO429" t="s">
        <v>3977</v>
      </c>
      <c r="BP429" t="s">
        <v>811</v>
      </c>
      <c r="BQ429" t="s">
        <v>812</v>
      </c>
      <c r="BR429" t="s">
        <v>104</v>
      </c>
      <c r="BS429" t="s">
        <v>8491</v>
      </c>
      <c r="BT429" t="str">
        <f>HYPERLINK("https%3A%2F%2Fwww.webofscience.com%2Fwos%2Fwoscc%2Ffull-record%2FWOS:000329440800040","View Full Record in Web of Science")</f>
        <v>View Full Record in Web of Science</v>
      </c>
    </row>
    <row r="430" spans="1:72" x14ac:dyDescent="0.15">
      <c r="A430" t="s">
        <v>72</v>
      </c>
      <c r="B430" t="s">
        <v>8492</v>
      </c>
      <c r="C430" t="s">
        <v>74</v>
      </c>
      <c r="D430" t="s">
        <v>74</v>
      </c>
      <c r="E430" t="s">
        <v>74</v>
      </c>
      <c r="F430" t="s">
        <v>8493</v>
      </c>
      <c r="G430" t="s">
        <v>74</v>
      </c>
      <c r="H430" t="s">
        <v>74</v>
      </c>
      <c r="I430" t="s">
        <v>8494</v>
      </c>
      <c r="J430" t="s">
        <v>5207</v>
      </c>
      <c r="K430" t="s">
        <v>74</v>
      </c>
      <c r="L430" t="s">
        <v>74</v>
      </c>
      <c r="M430" t="s">
        <v>78</v>
      </c>
      <c r="N430" t="s">
        <v>189</v>
      </c>
      <c r="O430" t="s">
        <v>74</v>
      </c>
      <c r="P430" t="s">
        <v>74</v>
      </c>
      <c r="Q430" t="s">
        <v>74</v>
      </c>
      <c r="R430" t="s">
        <v>74</v>
      </c>
      <c r="S430" t="s">
        <v>74</v>
      </c>
      <c r="T430" t="s">
        <v>74</v>
      </c>
      <c r="U430" t="s">
        <v>74</v>
      </c>
      <c r="V430" t="s">
        <v>74</v>
      </c>
      <c r="W430" t="s">
        <v>8495</v>
      </c>
      <c r="X430" t="s">
        <v>5312</v>
      </c>
      <c r="Y430" t="s">
        <v>8496</v>
      </c>
      <c r="Z430" t="s">
        <v>8497</v>
      </c>
      <c r="AA430" t="s">
        <v>8498</v>
      </c>
      <c r="AB430" t="s">
        <v>8499</v>
      </c>
      <c r="AC430" t="s">
        <v>74</v>
      </c>
      <c r="AD430" t="s">
        <v>74</v>
      </c>
      <c r="AE430" t="s">
        <v>74</v>
      </c>
      <c r="AF430" t="s">
        <v>74</v>
      </c>
      <c r="AG430">
        <v>0</v>
      </c>
      <c r="AH430">
        <v>2</v>
      </c>
      <c r="AI430">
        <v>2</v>
      </c>
      <c r="AJ430">
        <v>1</v>
      </c>
      <c r="AK430">
        <v>5</v>
      </c>
      <c r="AL430" t="s">
        <v>1073</v>
      </c>
      <c r="AM430" t="s">
        <v>704</v>
      </c>
      <c r="AN430" t="s">
        <v>1074</v>
      </c>
      <c r="AO430" t="s">
        <v>5219</v>
      </c>
      <c r="AP430" t="s">
        <v>5220</v>
      </c>
      <c r="AQ430" t="s">
        <v>74</v>
      </c>
      <c r="AR430" t="s">
        <v>5207</v>
      </c>
      <c r="AS430" t="s">
        <v>5221</v>
      </c>
      <c r="AT430" t="s">
        <v>8500</v>
      </c>
      <c r="AU430">
        <v>2014</v>
      </c>
      <c r="AV430">
        <v>505</v>
      </c>
      <c r="AW430">
        <v>7482</v>
      </c>
      <c r="AX430" t="s">
        <v>74</v>
      </c>
      <c r="AY430" t="s">
        <v>74</v>
      </c>
      <c r="AZ430" t="s">
        <v>74</v>
      </c>
      <c r="BA430" t="s">
        <v>74</v>
      </c>
      <c r="BB430">
        <v>133</v>
      </c>
      <c r="BC430">
        <v>133</v>
      </c>
      <c r="BD430" t="s">
        <v>74</v>
      </c>
      <c r="BE430" t="s">
        <v>8501</v>
      </c>
      <c r="BF430" t="str">
        <f>HYPERLINK("http://dx.doi.org/10.1038/505133a","http://dx.doi.org/10.1038/505133a")</f>
        <v>http://dx.doi.org/10.1038/505133a</v>
      </c>
      <c r="BG430" t="s">
        <v>74</v>
      </c>
      <c r="BH430" t="s">
        <v>74</v>
      </c>
      <c r="BI430">
        <v>1</v>
      </c>
      <c r="BJ430" t="s">
        <v>1100</v>
      </c>
      <c r="BK430" t="s">
        <v>479</v>
      </c>
      <c r="BL430" t="s">
        <v>1101</v>
      </c>
      <c r="BM430" t="s">
        <v>8502</v>
      </c>
      <c r="BN430">
        <v>24402248</v>
      </c>
      <c r="BO430" t="s">
        <v>200</v>
      </c>
      <c r="BP430" t="s">
        <v>74</v>
      </c>
      <c r="BQ430" t="s">
        <v>74</v>
      </c>
      <c r="BR430" t="s">
        <v>104</v>
      </c>
      <c r="BS430" t="s">
        <v>8503</v>
      </c>
      <c r="BT430" t="str">
        <f>HYPERLINK("https%3A%2F%2Fwww.webofscience.com%2Fwos%2Fwoscc%2Ffull-record%2FWOS:000329441500004","View Full Record in Web of Science")</f>
        <v>View Full Record in Web of Science</v>
      </c>
    </row>
    <row r="431" spans="1:72" x14ac:dyDescent="0.15">
      <c r="A431" t="s">
        <v>72</v>
      </c>
      <c r="B431" t="s">
        <v>8504</v>
      </c>
      <c r="C431" t="s">
        <v>74</v>
      </c>
      <c r="D431" t="s">
        <v>74</v>
      </c>
      <c r="E431" t="s">
        <v>74</v>
      </c>
      <c r="F431" t="s">
        <v>8505</v>
      </c>
      <c r="G431" t="s">
        <v>74</v>
      </c>
      <c r="H431" t="s">
        <v>74</v>
      </c>
      <c r="I431" t="s">
        <v>8506</v>
      </c>
      <c r="J431" t="s">
        <v>5207</v>
      </c>
      <c r="K431" t="s">
        <v>74</v>
      </c>
      <c r="L431" t="s">
        <v>74</v>
      </c>
      <c r="M431" t="s">
        <v>78</v>
      </c>
      <c r="N431" t="s">
        <v>79</v>
      </c>
      <c r="O431" t="s">
        <v>74</v>
      </c>
      <c r="P431" t="s">
        <v>74</v>
      </c>
      <c r="Q431" t="s">
        <v>74</v>
      </c>
      <c r="R431" t="s">
        <v>74</v>
      </c>
      <c r="S431" t="s">
        <v>74</v>
      </c>
      <c r="T431" t="s">
        <v>74</v>
      </c>
      <c r="U431" t="s">
        <v>8507</v>
      </c>
      <c r="V431" t="s">
        <v>8508</v>
      </c>
      <c r="W431" t="s">
        <v>8509</v>
      </c>
      <c r="X431" t="s">
        <v>8510</v>
      </c>
      <c r="Y431" t="s">
        <v>8511</v>
      </c>
      <c r="Z431" t="s">
        <v>8512</v>
      </c>
      <c r="AA431" t="s">
        <v>8513</v>
      </c>
      <c r="AB431" t="s">
        <v>8514</v>
      </c>
      <c r="AC431" t="s">
        <v>8515</v>
      </c>
      <c r="AD431" t="s">
        <v>8516</v>
      </c>
      <c r="AE431" t="s">
        <v>74</v>
      </c>
      <c r="AF431" t="s">
        <v>74</v>
      </c>
      <c r="AG431">
        <v>45</v>
      </c>
      <c r="AH431">
        <v>99</v>
      </c>
      <c r="AI431">
        <v>112</v>
      </c>
      <c r="AJ431">
        <v>2</v>
      </c>
      <c r="AK431">
        <v>130</v>
      </c>
      <c r="AL431" t="s">
        <v>1073</v>
      </c>
      <c r="AM431" t="s">
        <v>704</v>
      </c>
      <c r="AN431" t="s">
        <v>1074</v>
      </c>
      <c r="AO431" t="s">
        <v>5219</v>
      </c>
      <c r="AP431" t="s">
        <v>5220</v>
      </c>
      <c r="AQ431" t="s">
        <v>74</v>
      </c>
      <c r="AR431" t="s">
        <v>5207</v>
      </c>
      <c r="AS431" t="s">
        <v>5221</v>
      </c>
      <c r="AT431" t="s">
        <v>8500</v>
      </c>
      <c r="AU431">
        <v>2014</v>
      </c>
      <c r="AV431">
        <v>505</v>
      </c>
      <c r="AW431">
        <v>7482</v>
      </c>
      <c r="AX431" t="s">
        <v>74</v>
      </c>
      <c r="AY431" t="s">
        <v>74</v>
      </c>
      <c r="AZ431" t="s">
        <v>74</v>
      </c>
      <c r="BA431" t="s">
        <v>74</v>
      </c>
      <c r="BB431">
        <v>204</v>
      </c>
      <c r="BC431" t="s">
        <v>5223</v>
      </c>
      <c r="BD431" t="s">
        <v>74</v>
      </c>
      <c r="BE431" t="s">
        <v>8517</v>
      </c>
      <c r="BF431" t="str">
        <f>HYPERLINK("http://dx.doi.org/10.1038/nature12778","http://dx.doi.org/10.1038/nature12778")</f>
        <v>http://dx.doi.org/10.1038/nature12778</v>
      </c>
      <c r="BG431" t="s">
        <v>74</v>
      </c>
      <c r="BH431" t="s">
        <v>74</v>
      </c>
      <c r="BI431">
        <v>8</v>
      </c>
      <c r="BJ431" t="s">
        <v>1100</v>
      </c>
      <c r="BK431" t="s">
        <v>101</v>
      </c>
      <c r="BL431" t="s">
        <v>1101</v>
      </c>
      <c r="BM431" t="s">
        <v>8502</v>
      </c>
      <c r="BN431">
        <v>24291793</v>
      </c>
      <c r="BO431" t="s">
        <v>4629</v>
      </c>
      <c r="BP431" t="s">
        <v>74</v>
      </c>
      <c r="BQ431" t="s">
        <v>74</v>
      </c>
      <c r="BR431" t="s">
        <v>104</v>
      </c>
      <c r="BS431" t="s">
        <v>8518</v>
      </c>
      <c r="BT431" t="str">
        <f>HYPERLINK("https%3A%2F%2Fwww.webofscience.com%2Fwos%2Fwoscc%2Ffull-record%2FWOS:000329441500036","View Full Record in Web of Science")</f>
        <v>View Full Record in Web of Science</v>
      </c>
    </row>
    <row r="432" spans="1:72" x14ac:dyDescent="0.15">
      <c r="A432" t="s">
        <v>72</v>
      </c>
      <c r="B432" t="s">
        <v>8519</v>
      </c>
      <c r="C432" t="s">
        <v>74</v>
      </c>
      <c r="D432" t="s">
        <v>74</v>
      </c>
      <c r="E432" t="s">
        <v>74</v>
      </c>
      <c r="F432" t="s">
        <v>8520</v>
      </c>
      <c r="G432" t="s">
        <v>74</v>
      </c>
      <c r="H432" t="s">
        <v>74</v>
      </c>
      <c r="I432" t="s">
        <v>8521</v>
      </c>
      <c r="J432" t="s">
        <v>1275</v>
      </c>
      <c r="K432" t="s">
        <v>74</v>
      </c>
      <c r="L432" t="s">
        <v>74</v>
      </c>
      <c r="M432" t="s">
        <v>78</v>
      </c>
      <c r="N432" t="s">
        <v>79</v>
      </c>
      <c r="O432" t="s">
        <v>74</v>
      </c>
      <c r="P432" t="s">
        <v>74</v>
      </c>
      <c r="Q432" t="s">
        <v>74</v>
      </c>
      <c r="R432" t="s">
        <v>74</v>
      </c>
      <c r="S432" t="s">
        <v>74</v>
      </c>
      <c r="T432" t="s">
        <v>74</v>
      </c>
      <c r="U432" t="s">
        <v>8522</v>
      </c>
      <c r="V432" t="s">
        <v>8523</v>
      </c>
      <c r="W432" t="s">
        <v>8524</v>
      </c>
      <c r="X432" t="s">
        <v>8525</v>
      </c>
      <c r="Y432" t="s">
        <v>8526</v>
      </c>
      <c r="Z432" t="s">
        <v>8527</v>
      </c>
      <c r="AA432" t="s">
        <v>74</v>
      </c>
      <c r="AB432" t="s">
        <v>8528</v>
      </c>
      <c r="AC432" t="s">
        <v>8529</v>
      </c>
      <c r="AD432" t="s">
        <v>8530</v>
      </c>
      <c r="AE432" t="s">
        <v>8531</v>
      </c>
      <c r="AF432" t="s">
        <v>74</v>
      </c>
      <c r="AG432">
        <v>55</v>
      </c>
      <c r="AH432">
        <v>56</v>
      </c>
      <c r="AI432">
        <v>61</v>
      </c>
      <c r="AJ432">
        <v>0</v>
      </c>
      <c r="AK432">
        <v>64</v>
      </c>
      <c r="AL432" t="s">
        <v>1261</v>
      </c>
      <c r="AM432" t="s">
        <v>1262</v>
      </c>
      <c r="AN432" t="s">
        <v>1263</v>
      </c>
      <c r="AO432" t="s">
        <v>1287</v>
      </c>
      <c r="AP432" t="s">
        <v>74</v>
      </c>
      <c r="AQ432" t="s">
        <v>74</v>
      </c>
      <c r="AR432" t="s">
        <v>1275</v>
      </c>
      <c r="AS432" t="s">
        <v>1288</v>
      </c>
      <c r="AT432" t="s">
        <v>8500</v>
      </c>
      <c r="AU432">
        <v>2014</v>
      </c>
      <c r="AV432">
        <v>9</v>
      </c>
      <c r="AW432">
        <v>1</v>
      </c>
      <c r="AX432" t="s">
        <v>74</v>
      </c>
      <c r="AY432" t="s">
        <v>74</v>
      </c>
      <c r="AZ432" t="s">
        <v>74</v>
      </c>
      <c r="BA432" t="s">
        <v>74</v>
      </c>
      <c r="BB432" t="s">
        <v>74</v>
      </c>
      <c r="BC432" t="s">
        <v>74</v>
      </c>
      <c r="BD432" t="s">
        <v>8532</v>
      </c>
      <c r="BE432" t="s">
        <v>8533</v>
      </c>
      <c r="BF432" t="str">
        <f>HYPERLINK("http://dx.doi.org/10.1371/journal.pone.0085572","http://dx.doi.org/10.1371/journal.pone.0085572")</f>
        <v>http://dx.doi.org/10.1371/journal.pone.0085572</v>
      </c>
      <c r="BG432" t="s">
        <v>74</v>
      </c>
      <c r="BH432" t="s">
        <v>74</v>
      </c>
      <c r="BI432">
        <v>11</v>
      </c>
      <c r="BJ432" t="s">
        <v>1100</v>
      </c>
      <c r="BK432" t="s">
        <v>101</v>
      </c>
      <c r="BL432" t="s">
        <v>1101</v>
      </c>
      <c r="BM432" t="s">
        <v>8534</v>
      </c>
      <c r="BN432">
        <v>24416429</v>
      </c>
      <c r="BO432" t="s">
        <v>8535</v>
      </c>
      <c r="BP432" t="s">
        <v>74</v>
      </c>
      <c r="BQ432" t="s">
        <v>74</v>
      </c>
      <c r="BR432" t="s">
        <v>104</v>
      </c>
      <c r="BS432" t="s">
        <v>8536</v>
      </c>
      <c r="BT432" t="str">
        <f>HYPERLINK("https%3A%2F%2Fwww.webofscience.com%2Fwos%2Fwoscc%2Ffull-record%2FWOS:000329866300090","View Full Record in Web of Science")</f>
        <v>View Full Record in Web of Science</v>
      </c>
    </row>
    <row r="433" spans="1:72" x14ac:dyDescent="0.15">
      <c r="A433" t="s">
        <v>72</v>
      </c>
      <c r="B433" t="s">
        <v>8537</v>
      </c>
      <c r="C433" t="s">
        <v>74</v>
      </c>
      <c r="D433" t="s">
        <v>74</v>
      </c>
      <c r="E433" t="s">
        <v>74</v>
      </c>
      <c r="F433" t="s">
        <v>8538</v>
      </c>
      <c r="G433" t="s">
        <v>74</v>
      </c>
      <c r="H433" t="s">
        <v>74</v>
      </c>
      <c r="I433" t="s">
        <v>8539</v>
      </c>
      <c r="J433" t="s">
        <v>1275</v>
      </c>
      <c r="K433" t="s">
        <v>74</v>
      </c>
      <c r="L433" t="s">
        <v>74</v>
      </c>
      <c r="M433" t="s">
        <v>78</v>
      </c>
      <c r="N433" t="s">
        <v>79</v>
      </c>
      <c r="O433" t="s">
        <v>74</v>
      </c>
      <c r="P433" t="s">
        <v>74</v>
      </c>
      <c r="Q433" t="s">
        <v>74</v>
      </c>
      <c r="R433" t="s">
        <v>74</v>
      </c>
      <c r="S433" t="s">
        <v>74</v>
      </c>
      <c r="T433" t="s">
        <v>74</v>
      </c>
      <c r="U433" t="s">
        <v>8540</v>
      </c>
      <c r="V433" t="s">
        <v>8541</v>
      </c>
      <c r="W433" t="s">
        <v>8542</v>
      </c>
      <c r="X433" t="s">
        <v>8543</v>
      </c>
      <c r="Y433" t="s">
        <v>8544</v>
      </c>
      <c r="Z433" t="s">
        <v>988</v>
      </c>
      <c r="AA433" t="s">
        <v>8545</v>
      </c>
      <c r="AB433" t="s">
        <v>8546</v>
      </c>
      <c r="AC433" t="s">
        <v>8547</v>
      </c>
      <c r="AD433" t="s">
        <v>8548</v>
      </c>
      <c r="AE433" t="s">
        <v>8549</v>
      </c>
      <c r="AF433" t="s">
        <v>74</v>
      </c>
      <c r="AG433">
        <v>78</v>
      </c>
      <c r="AH433">
        <v>51</v>
      </c>
      <c r="AI433">
        <v>53</v>
      </c>
      <c r="AJ433">
        <v>0</v>
      </c>
      <c r="AK433">
        <v>18</v>
      </c>
      <c r="AL433" t="s">
        <v>1261</v>
      </c>
      <c r="AM433" t="s">
        <v>1262</v>
      </c>
      <c r="AN433" t="s">
        <v>1263</v>
      </c>
      <c r="AO433" t="s">
        <v>1287</v>
      </c>
      <c r="AP433" t="s">
        <v>74</v>
      </c>
      <c r="AQ433" t="s">
        <v>74</v>
      </c>
      <c r="AR433" t="s">
        <v>1275</v>
      </c>
      <c r="AS433" t="s">
        <v>1288</v>
      </c>
      <c r="AT433" t="s">
        <v>8550</v>
      </c>
      <c r="AU433">
        <v>2014</v>
      </c>
      <c r="AV433">
        <v>9</v>
      </c>
      <c r="AW433">
        <v>1</v>
      </c>
      <c r="AX433" t="s">
        <v>74</v>
      </c>
      <c r="AY433" t="s">
        <v>74</v>
      </c>
      <c r="AZ433" t="s">
        <v>74</v>
      </c>
      <c r="BA433" t="s">
        <v>74</v>
      </c>
      <c r="BB433" t="s">
        <v>74</v>
      </c>
      <c r="BC433" t="s">
        <v>74</v>
      </c>
      <c r="BD433" t="s">
        <v>8551</v>
      </c>
      <c r="BE433" t="s">
        <v>8552</v>
      </c>
      <c r="BF433" t="str">
        <f>HYPERLINK("http://dx.doi.org/10.1371/journal.pone.0085370","http://dx.doi.org/10.1371/journal.pone.0085370")</f>
        <v>http://dx.doi.org/10.1371/journal.pone.0085370</v>
      </c>
      <c r="BG433" t="s">
        <v>74</v>
      </c>
      <c r="BH433" t="s">
        <v>74</v>
      </c>
      <c r="BI433">
        <v>11</v>
      </c>
      <c r="BJ433" t="s">
        <v>1100</v>
      </c>
      <c r="BK433" t="s">
        <v>101</v>
      </c>
      <c r="BL433" t="s">
        <v>1101</v>
      </c>
      <c r="BM433" t="s">
        <v>8553</v>
      </c>
      <c r="BN433">
        <v>24416396</v>
      </c>
      <c r="BO433" t="s">
        <v>8554</v>
      </c>
      <c r="BP433" t="s">
        <v>74</v>
      </c>
      <c r="BQ433" t="s">
        <v>74</v>
      </c>
      <c r="BR433" t="s">
        <v>104</v>
      </c>
      <c r="BS433" t="s">
        <v>8555</v>
      </c>
      <c r="BT433" t="str">
        <f>HYPERLINK("https%3A%2F%2Fwww.webofscience.com%2Fwos%2Fwoscc%2Ffull-record%2FWOS:000329862500242","View Full Record in Web of Science")</f>
        <v>View Full Record in Web of Science</v>
      </c>
    </row>
    <row r="434" spans="1:72" x14ac:dyDescent="0.15">
      <c r="A434" t="s">
        <v>72</v>
      </c>
      <c r="B434" t="s">
        <v>8556</v>
      </c>
      <c r="C434" t="s">
        <v>74</v>
      </c>
      <c r="D434" t="s">
        <v>74</v>
      </c>
      <c r="E434" t="s">
        <v>74</v>
      </c>
      <c r="F434" t="s">
        <v>8557</v>
      </c>
      <c r="G434" t="s">
        <v>74</v>
      </c>
      <c r="H434" t="s">
        <v>74</v>
      </c>
      <c r="I434" t="s">
        <v>8558</v>
      </c>
      <c r="J434" t="s">
        <v>1275</v>
      </c>
      <c r="K434" t="s">
        <v>74</v>
      </c>
      <c r="L434" t="s">
        <v>74</v>
      </c>
      <c r="M434" t="s">
        <v>78</v>
      </c>
      <c r="N434" t="s">
        <v>79</v>
      </c>
      <c r="O434" t="s">
        <v>74</v>
      </c>
      <c r="P434" t="s">
        <v>74</v>
      </c>
      <c r="Q434" t="s">
        <v>74</v>
      </c>
      <c r="R434" t="s">
        <v>74</v>
      </c>
      <c r="S434" t="s">
        <v>74</v>
      </c>
      <c r="T434" t="s">
        <v>74</v>
      </c>
      <c r="U434" t="s">
        <v>8559</v>
      </c>
      <c r="V434" t="s">
        <v>8560</v>
      </c>
      <c r="W434" t="s">
        <v>8561</v>
      </c>
      <c r="X434" t="s">
        <v>8562</v>
      </c>
      <c r="Y434" t="s">
        <v>8563</v>
      </c>
      <c r="Z434" t="s">
        <v>5236</v>
      </c>
      <c r="AA434" t="s">
        <v>74</v>
      </c>
      <c r="AB434" t="s">
        <v>8564</v>
      </c>
      <c r="AC434" t="s">
        <v>8565</v>
      </c>
      <c r="AD434" t="s">
        <v>8566</v>
      </c>
      <c r="AE434" t="s">
        <v>8567</v>
      </c>
      <c r="AF434" t="s">
        <v>74</v>
      </c>
      <c r="AG434">
        <v>29</v>
      </c>
      <c r="AH434">
        <v>75</v>
      </c>
      <c r="AI434">
        <v>86</v>
      </c>
      <c r="AJ434">
        <v>3</v>
      </c>
      <c r="AK434">
        <v>119</v>
      </c>
      <c r="AL434" t="s">
        <v>1261</v>
      </c>
      <c r="AM434" t="s">
        <v>1262</v>
      </c>
      <c r="AN434" t="s">
        <v>1263</v>
      </c>
      <c r="AO434" t="s">
        <v>1287</v>
      </c>
      <c r="AP434" t="s">
        <v>74</v>
      </c>
      <c r="AQ434" t="s">
        <v>74</v>
      </c>
      <c r="AR434" t="s">
        <v>1275</v>
      </c>
      <c r="AS434" t="s">
        <v>1288</v>
      </c>
      <c r="AT434" t="s">
        <v>8550</v>
      </c>
      <c r="AU434">
        <v>2014</v>
      </c>
      <c r="AV434">
        <v>9</v>
      </c>
      <c r="AW434">
        <v>1</v>
      </c>
      <c r="AX434" t="s">
        <v>74</v>
      </c>
      <c r="AY434" t="s">
        <v>74</v>
      </c>
      <c r="AZ434" t="s">
        <v>74</v>
      </c>
      <c r="BA434" t="s">
        <v>74</v>
      </c>
      <c r="BB434" t="s">
        <v>74</v>
      </c>
      <c r="BC434" t="s">
        <v>74</v>
      </c>
      <c r="BD434" t="s">
        <v>8568</v>
      </c>
      <c r="BE434" t="s">
        <v>8569</v>
      </c>
      <c r="BF434" t="str">
        <f>HYPERLINK("http://dx.doi.org/10.1371/journal.pone.0085285","http://dx.doi.org/10.1371/journal.pone.0085285")</f>
        <v>http://dx.doi.org/10.1371/journal.pone.0085285</v>
      </c>
      <c r="BG434" t="s">
        <v>74</v>
      </c>
      <c r="BH434" t="s">
        <v>74</v>
      </c>
      <c r="BI434">
        <v>9</v>
      </c>
      <c r="BJ434" t="s">
        <v>1100</v>
      </c>
      <c r="BK434" t="s">
        <v>101</v>
      </c>
      <c r="BL434" t="s">
        <v>1101</v>
      </c>
      <c r="BM434" t="s">
        <v>8553</v>
      </c>
      <c r="BN434">
        <v>24416381</v>
      </c>
      <c r="BO434" t="s">
        <v>8570</v>
      </c>
      <c r="BP434" t="s">
        <v>74</v>
      </c>
      <c r="BQ434" t="s">
        <v>74</v>
      </c>
      <c r="BR434" t="s">
        <v>104</v>
      </c>
      <c r="BS434" t="s">
        <v>8571</v>
      </c>
      <c r="BT434" t="str">
        <f>HYPERLINK("https%3A%2F%2Fwww.webofscience.com%2Fwos%2Fwoscc%2Ffull-record%2FWOS:000329862500234","View Full Record in Web of Science")</f>
        <v>View Full Record in Web of Science</v>
      </c>
    </row>
    <row r="435" spans="1:72" x14ac:dyDescent="0.15">
      <c r="A435" t="s">
        <v>72</v>
      </c>
      <c r="B435" t="s">
        <v>8572</v>
      </c>
      <c r="C435" t="s">
        <v>74</v>
      </c>
      <c r="D435" t="s">
        <v>74</v>
      </c>
      <c r="E435" t="s">
        <v>74</v>
      </c>
      <c r="F435" t="s">
        <v>8573</v>
      </c>
      <c r="G435" t="s">
        <v>74</v>
      </c>
      <c r="H435" t="s">
        <v>74</v>
      </c>
      <c r="I435" t="s">
        <v>8574</v>
      </c>
      <c r="J435" t="s">
        <v>1275</v>
      </c>
      <c r="K435" t="s">
        <v>74</v>
      </c>
      <c r="L435" t="s">
        <v>74</v>
      </c>
      <c r="M435" t="s">
        <v>78</v>
      </c>
      <c r="N435" t="s">
        <v>79</v>
      </c>
      <c r="O435" t="s">
        <v>74</v>
      </c>
      <c r="P435" t="s">
        <v>74</v>
      </c>
      <c r="Q435" t="s">
        <v>74</v>
      </c>
      <c r="R435" t="s">
        <v>74</v>
      </c>
      <c r="S435" t="s">
        <v>74</v>
      </c>
      <c r="T435" t="s">
        <v>74</v>
      </c>
      <c r="U435" t="s">
        <v>8575</v>
      </c>
      <c r="V435" t="s">
        <v>8576</v>
      </c>
      <c r="W435" t="s">
        <v>8577</v>
      </c>
      <c r="X435" t="s">
        <v>8578</v>
      </c>
      <c r="Y435" t="s">
        <v>8579</v>
      </c>
      <c r="Z435" t="s">
        <v>8580</v>
      </c>
      <c r="AA435" t="s">
        <v>8581</v>
      </c>
      <c r="AB435" t="s">
        <v>8582</v>
      </c>
      <c r="AC435" t="s">
        <v>8583</v>
      </c>
      <c r="AD435" t="s">
        <v>8584</v>
      </c>
      <c r="AE435" t="s">
        <v>8585</v>
      </c>
      <c r="AF435" t="s">
        <v>74</v>
      </c>
      <c r="AG435">
        <v>55</v>
      </c>
      <c r="AH435">
        <v>157</v>
      </c>
      <c r="AI435">
        <v>171</v>
      </c>
      <c r="AJ435">
        <v>5</v>
      </c>
      <c r="AK435">
        <v>195</v>
      </c>
      <c r="AL435" t="s">
        <v>1261</v>
      </c>
      <c r="AM435" t="s">
        <v>1262</v>
      </c>
      <c r="AN435" t="s">
        <v>1263</v>
      </c>
      <c r="AO435" t="s">
        <v>1287</v>
      </c>
      <c r="AP435" t="s">
        <v>74</v>
      </c>
      <c r="AQ435" t="s">
        <v>74</v>
      </c>
      <c r="AR435" t="s">
        <v>1275</v>
      </c>
      <c r="AS435" t="s">
        <v>1288</v>
      </c>
      <c r="AT435" t="s">
        <v>8550</v>
      </c>
      <c r="AU435">
        <v>2014</v>
      </c>
      <c r="AV435">
        <v>9</v>
      </c>
      <c r="AW435">
        <v>1</v>
      </c>
      <c r="AX435" t="s">
        <v>74</v>
      </c>
      <c r="AY435" t="s">
        <v>74</v>
      </c>
      <c r="AZ435" t="s">
        <v>74</v>
      </c>
      <c r="BA435" t="s">
        <v>74</v>
      </c>
      <c r="BB435" t="s">
        <v>74</v>
      </c>
      <c r="BC435" t="s">
        <v>74</v>
      </c>
      <c r="BD435" t="s">
        <v>8586</v>
      </c>
      <c r="BE435" t="s">
        <v>8587</v>
      </c>
      <c r="BF435" t="str">
        <f>HYPERLINK("http://dx.doi.org/10.1371/journal.pone.0082898","http://dx.doi.org/10.1371/journal.pone.0082898")</f>
        <v>http://dx.doi.org/10.1371/journal.pone.0082898</v>
      </c>
      <c r="BG435" t="s">
        <v>74</v>
      </c>
      <c r="BH435" t="s">
        <v>74</v>
      </c>
      <c r="BI435">
        <v>11</v>
      </c>
      <c r="BJ435" t="s">
        <v>1100</v>
      </c>
      <c r="BK435" t="s">
        <v>101</v>
      </c>
      <c r="BL435" t="s">
        <v>1101</v>
      </c>
      <c r="BM435" t="s">
        <v>8553</v>
      </c>
      <c r="BN435">
        <v>24416151</v>
      </c>
      <c r="BO435" t="s">
        <v>2213</v>
      </c>
      <c r="BP435" t="s">
        <v>74</v>
      </c>
      <c r="BQ435" t="s">
        <v>74</v>
      </c>
      <c r="BR435" t="s">
        <v>104</v>
      </c>
      <c r="BS435" t="s">
        <v>8588</v>
      </c>
      <c r="BT435" t="str">
        <f>HYPERLINK("https%3A%2F%2Fwww.webofscience.com%2Fwos%2Fwoscc%2Ffull-record%2FWOS:000329862500023","View Full Record in Web of Science")</f>
        <v>View Full Record in Web of Science</v>
      </c>
    </row>
    <row r="436" spans="1:72" x14ac:dyDescent="0.15">
      <c r="A436" t="s">
        <v>72</v>
      </c>
      <c r="B436" t="s">
        <v>8589</v>
      </c>
      <c r="C436" t="s">
        <v>74</v>
      </c>
      <c r="D436" t="s">
        <v>74</v>
      </c>
      <c r="E436" t="s">
        <v>74</v>
      </c>
      <c r="F436" t="s">
        <v>8590</v>
      </c>
      <c r="G436" t="s">
        <v>74</v>
      </c>
      <c r="H436" t="s">
        <v>74</v>
      </c>
      <c r="I436" t="s">
        <v>8591</v>
      </c>
      <c r="J436" t="s">
        <v>8592</v>
      </c>
      <c r="K436" t="s">
        <v>74</v>
      </c>
      <c r="L436" t="s">
        <v>74</v>
      </c>
      <c r="M436" t="s">
        <v>78</v>
      </c>
      <c r="N436" t="s">
        <v>79</v>
      </c>
      <c r="O436" t="s">
        <v>74</v>
      </c>
      <c r="P436" t="s">
        <v>74</v>
      </c>
      <c r="Q436" t="s">
        <v>74</v>
      </c>
      <c r="R436" t="s">
        <v>74</v>
      </c>
      <c r="S436" t="s">
        <v>74</v>
      </c>
      <c r="T436" t="s">
        <v>8593</v>
      </c>
      <c r="U436" t="s">
        <v>8594</v>
      </c>
      <c r="V436" t="s">
        <v>8595</v>
      </c>
      <c r="W436" t="s">
        <v>8596</v>
      </c>
      <c r="X436" t="s">
        <v>8597</v>
      </c>
      <c r="Y436" t="s">
        <v>8598</v>
      </c>
      <c r="Z436" t="s">
        <v>8599</v>
      </c>
      <c r="AA436" t="s">
        <v>8600</v>
      </c>
      <c r="AB436" t="s">
        <v>8601</v>
      </c>
      <c r="AC436" t="s">
        <v>8602</v>
      </c>
      <c r="AD436" t="s">
        <v>8603</v>
      </c>
      <c r="AE436" t="s">
        <v>8604</v>
      </c>
      <c r="AF436" t="s">
        <v>74</v>
      </c>
      <c r="AG436">
        <v>75</v>
      </c>
      <c r="AH436">
        <v>51</v>
      </c>
      <c r="AI436">
        <v>55</v>
      </c>
      <c r="AJ436">
        <v>0</v>
      </c>
      <c r="AK436">
        <v>38</v>
      </c>
      <c r="AL436" t="s">
        <v>1844</v>
      </c>
      <c r="AM436" t="s">
        <v>704</v>
      </c>
      <c r="AN436" t="s">
        <v>1845</v>
      </c>
      <c r="AO436" t="s">
        <v>8605</v>
      </c>
      <c r="AP436" t="s">
        <v>8606</v>
      </c>
      <c r="AQ436" t="s">
        <v>74</v>
      </c>
      <c r="AR436" t="s">
        <v>8607</v>
      </c>
      <c r="AS436" t="s">
        <v>8608</v>
      </c>
      <c r="AT436" t="s">
        <v>8550</v>
      </c>
      <c r="AU436">
        <v>2014</v>
      </c>
      <c r="AV436">
        <v>470</v>
      </c>
      <c r="AW436">
        <v>2161</v>
      </c>
      <c r="AX436" t="s">
        <v>74</v>
      </c>
      <c r="AY436" t="s">
        <v>74</v>
      </c>
      <c r="AZ436" t="s">
        <v>74</v>
      </c>
      <c r="BA436" t="s">
        <v>74</v>
      </c>
      <c r="BB436" t="s">
        <v>74</v>
      </c>
      <c r="BC436" t="s">
        <v>74</v>
      </c>
      <c r="BD436">
        <v>20130494</v>
      </c>
      <c r="BE436" t="s">
        <v>8609</v>
      </c>
      <c r="BF436" t="str">
        <f>HYPERLINK("http://dx.doi.org/10.1098/rspa.2013.0494","http://dx.doi.org/10.1098/rspa.2013.0494")</f>
        <v>http://dx.doi.org/10.1098/rspa.2013.0494</v>
      </c>
      <c r="BG436" t="s">
        <v>74</v>
      </c>
      <c r="BH436" t="s">
        <v>74</v>
      </c>
      <c r="BI436">
        <v>22</v>
      </c>
      <c r="BJ436" t="s">
        <v>1100</v>
      </c>
      <c r="BK436" t="s">
        <v>101</v>
      </c>
      <c r="BL436" t="s">
        <v>1101</v>
      </c>
      <c r="BM436" t="s">
        <v>8610</v>
      </c>
      <c r="BN436">
        <v>24399921</v>
      </c>
      <c r="BO436" t="s">
        <v>1103</v>
      </c>
      <c r="BP436" t="s">
        <v>74</v>
      </c>
      <c r="BQ436" t="s">
        <v>74</v>
      </c>
      <c r="BR436" t="s">
        <v>104</v>
      </c>
      <c r="BS436" t="s">
        <v>8611</v>
      </c>
      <c r="BT436" t="str">
        <f>HYPERLINK("https%3A%2F%2Fwww.webofscience.com%2Fwos%2Fwoscc%2Ffull-record%2FWOS:000332392800008","View Full Record in Web of Science")</f>
        <v>View Full Record in Web of Science</v>
      </c>
    </row>
    <row r="437" spans="1:72" x14ac:dyDescent="0.15">
      <c r="A437" t="s">
        <v>72</v>
      </c>
      <c r="B437" t="s">
        <v>8612</v>
      </c>
      <c r="C437" t="s">
        <v>74</v>
      </c>
      <c r="D437" t="s">
        <v>74</v>
      </c>
      <c r="E437" t="s">
        <v>74</v>
      </c>
      <c r="F437" t="s">
        <v>8613</v>
      </c>
      <c r="G437" t="s">
        <v>74</v>
      </c>
      <c r="H437" t="s">
        <v>74</v>
      </c>
      <c r="I437" t="s">
        <v>8614</v>
      </c>
      <c r="J437" t="s">
        <v>5326</v>
      </c>
      <c r="K437" t="s">
        <v>74</v>
      </c>
      <c r="L437" t="s">
        <v>74</v>
      </c>
      <c r="M437" t="s">
        <v>78</v>
      </c>
      <c r="N437" t="s">
        <v>79</v>
      </c>
      <c r="O437" t="s">
        <v>74</v>
      </c>
      <c r="P437" t="s">
        <v>74</v>
      </c>
      <c r="Q437" t="s">
        <v>74</v>
      </c>
      <c r="R437" t="s">
        <v>74</v>
      </c>
      <c r="S437" t="s">
        <v>74</v>
      </c>
      <c r="T437" t="s">
        <v>74</v>
      </c>
      <c r="U437" t="s">
        <v>8615</v>
      </c>
      <c r="V437" t="s">
        <v>8616</v>
      </c>
      <c r="W437" t="s">
        <v>8617</v>
      </c>
      <c r="X437" t="s">
        <v>8618</v>
      </c>
      <c r="Y437" t="s">
        <v>8619</v>
      </c>
      <c r="Z437" t="s">
        <v>8620</v>
      </c>
      <c r="AA437" t="s">
        <v>8621</v>
      </c>
      <c r="AB437" t="s">
        <v>8622</v>
      </c>
      <c r="AC437" t="s">
        <v>8623</v>
      </c>
      <c r="AD437" t="s">
        <v>8624</v>
      </c>
      <c r="AE437" t="s">
        <v>8625</v>
      </c>
      <c r="AF437" t="s">
        <v>74</v>
      </c>
      <c r="AG437">
        <v>98</v>
      </c>
      <c r="AH437">
        <v>26</v>
      </c>
      <c r="AI437">
        <v>30</v>
      </c>
      <c r="AJ437">
        <v>3</v>
      </c>
      <c r="AK437">
        <v>89</v>
      </c>
      <c r="AL437" t="s">
        <v>3145</v>
      </c>
      <c r="AM437" t="s">
        <v>447</v>
      </c>
      <c r="AN437" t="s">
        <v>3146</v>
      </c>
      <c r="AO437" t="s">
        <v>5336</v>
      </c>
      <c r="AP437" t="s">
        <v>5337</v>
      </c>
      <c r="AQ437" t="s">
        <v>74</v>
      </c>
      <c r="AR437" t="s">
        <v>5338</v>
      </c>
      <c r="AS437" t="s">
        <v>5339</v>
      </c>
      <c r="AT437" t="s">
        <v>8626</v>
      </c>
      <c r="AU437">
        <v>2014</v>
      </c>
      <c r="AV437">
        <v>48</v>
      </c>
      <c r="AW437">
        <v>1</v>
      </c>
      <c r="AX437" t="s">
        <v>74</v>
      </c>
      <c r="AY437" t="s">
        <v>74</v>
      </c>
      <c r="AZ437" t="s">
        <v>74</v>
      </c>
      <c r="BA437" t="s">
        <v>74</v>
      </c>
      <c r="BB437">
        <v>713</v>
      </c>
      <c r="BC437">
        <v>722</v>
      </c>
      <c r="BD437" t="s">
        <v>74</v>
      </c>
      <c r="BE437" t="s">
        <v>8627</v>
      </c>
      <c r="BF437" t="str">
        <f>HYPERLINK("http://dx.doi.org/10.1021/es402815s","http://dx.doi.org/10.1021/es402815s")</f>
        <v>http://dx.doi.org/10.1021/es402815s</v>
      </c>
      <c r="BG437" t="s">
        <v>74</v>
      </c>
      <c r="BH437" t="s">
        <v>74</v>
      </c>
      <c r="BI437">
        <v>10</v>
      </c>
      <c r="BJ437" t="s">
        <v>3642</v>
      </c>
      <c r="BK437" t="s">
        <v>101</v>
      </c>
      <c r="BL437" t="s">
        <v>3643</v>
      </c>
      <c r="BM437" t="s">
        <v>8628</v>
      </c>
      <c r="BN437">
        <v>24299658</v>
      </c>
      <c r="BO437" t="s">
        <v>74</v>
      </c>
      <c r="BP437" t="s">
        <v>74</v>
      </c>
      <c r="BQ437" t="s">
        <v>74</v>
      </c>
      <c r="BR437" t="s">
        <v>104</v>
      </c>
      <c r="BS437" t="s">
        <v>8629</v>
      </c>
      <c r="BT437" t="str">
        <f>HYPERLINK("https%3A%2F%2Fwww.webofscience.com%2Fwos%2Fwoscc%2Ffull-record%2FWOS:000329548800091","View Full Record in Web of Science")</f>
        <v>View Full Record in Web of Science</v>
      </c>
    </row>
    <row r="438" spans="1:72" x14ac:dyDescent="0.15">
      <c r="A438" t="s">
        <v>72</v>
      </c>
      <c r="B438" t="s">
        <v>8630</v>
      </c>
      <c r="C438" t="s">
        <v>74</v>
      </c>
      <c r="D438" t="s">
        <v>74</v>
      </c>
      <c r="E438" t="s">
        <v>74</v>
      </c>
      <c r="F438" t="s">
        <v>8631</v>
      </c>
      <c r="G438" t="s">
        <v>74</v>
      </c>
      <c r="H438" t="s">
        <v>74</v>
      </c>
      <c r="I438" t="s">
        <v>8632</v>
      </c>
      <c r="J438" t="s">
        <v>8633</v>
      </c>
      <c r="K438" t="s">
        <v>74</v>
      </c>
      <c r="L438" t="s">
        <v>74</v>
      </c>
      <c r="M438" t="s">
        <v>78</v>
      </c>
      <c r="N438" t="s">
        <v>933</v>
      </c>
      <c r="O438" t="s">
        <v>74</v>
      </c>
      <c r="P438" t="s">
        <v>74</v>
      </c>
      <c r="Q438" t="s">
        <v>74</v>
      </c>
      <c r="R438" t="s">
        <v>74</v>
      </c>
      <c r="S438" t="s">
        <v>74</v>
      </c>
      <c r="T438" t="s">
        <v>8634</v>
      </c>
      <c r="U438" t="s">
        <v>8635</v>
      </c>
      <c r="V438" t="s">
        <v>8636</v>
      </c>
      <c r="W438" t="s">
        <v>8637</v>
      </c>
      <c r="X438" t="s">
        <v>8638</v>
      </c>
      <c r="Y438" t="s">
        <v>8639</v>
      </c>
      <c r="Z438" t="s">
        <v>8640</v>
      </c>
      <c r="AA438" t="s">
        <v>74</v>
      </c>
      <c r="AB438" t="s">
        <v>74</v>
      </c>
      <c r="AC438" t="s">
        <v>8641</v>
      </c>
      <c r="AD438" t="s">
        <v>8641</v>
      </c>
      <c r="AE438" t="s">
        <v>8642</v>
      </c>
      <c r="AF438" t="s">
        <v>74</v>
      </c>
      <c r="AG438">
        <v>40</v>
      </c>
      <c r="AH438">
        <v>14</v>
      </c>
      <c r="AI438">
        <v>15</v>
      </c>
      <c r="AJ438">
        <v>1</v>
      </c>
      <c r="AK438">
        <v>21</v>
      </c>
      <c r="AL438" t="s">
        <v>5746</v>
      </c>
      <c r="AM438" t="s">
        <v>5747</v>
      </c>
      <c r="AN438" t="s">
        <v>8643</v>
      </c>
      <c r="AO438" t="s">
        <v>8644</v>
      </c>
      <c r="AP438" t="s">
        <v>8645</v>
      </c>
      <c r="AQ438" t="s">
        <v>74</v>
      </c>
      <c r="AR438" t="s">
        <v>8646</v>
      </c>
      <c r="AS438" t="s">
        <v>8647</v>
      </c>
      <c r="AT438" t="s">
        <v>8648</v>
      </c>
      <c r="AU438">
        <v>2014</v>
      </c>
      <c r="AV438">
        <v>57</v>
      </c>
      <c r="AW438">
        <v>1</v>
      </c>
      <c r="AX438" t="s">
        <v>74</v>
      </c>
      <c r="AY438" t="s">
        <v>74</v>
      </c>
      <c r="AZ438" t="s">
        <v>74</v>
      </c>
      <c r="BA438" t="s">
        <v>74</v>
      </c>
      <c r="BB438">
        <v>86</v>
      </c>
      <c r="BC438">
        <v>101</v>
      </c>
      <c r="BD438" t="s">
        <v>74</v>
      </c>
      <c r="BE438" t="s">
        <v>8649</v>
      </c>
      <c r="BF438" t="str">
        <f>HYPERLINK("http://dx.doi.org/10.1080/00288306.2013.847469","http://dx.doi.org/10.1080/00288306.2013.847469")</f>
        <v>http://dx.doi.org/10.1080/00288306.2013.847469</v>
      </c>
      <c r="BG438" t="s">
        <v>74</v>
      </c>
      <c r="BH438" t="s">
        <v>74</v>
      </c>
      <c r="BI438">
        <v>16</v>
      </c>
      <c r="BJ438" t="s">
        <v>8650</v>
      </c>
      <c r="BK438" t="s">
        <v>101</v>
      </c>
      <c r="BL438" t="s">
        <v>597</v>
      </c>
      <c r="BM438" t="s">
        <v>8651</v>
      </c>
      <c r="BN438" t="s">
        <v>74</v>
      </c>
      <c r="BO438" t="s">
        <v>200</v>
      </c>
      <c r="BP438" t="s">
        <v>74</v>
      </c>
      <c r="BQ438" t="s">
        <v>74</v>
      </c>
      <c r="BR438" t="s">
        <v>104</v>
      </c>
      <c r="BS438" t="s">
        <v>8652</v>
      </c>
      <c r="BT438" t="str">
        <f>HYPERLINK("https%3A%2F%2Fwww.webofscience.com%2Fwos%2Fwoscc%2Ffull-record%2FWOS:000331691000006","View Full Record in Web of Science")</f>
        <v>View Full Record in Web of Science</v>
      </c>
    </row>
    <row r="439" spans="1:72" x14ac:dyDescent="0.15">
      <c r="A439" t="s">
        <v>72</v>
      </c>
      <c r="B439" t="s">
        <v>8653</v>
      </c>
      <c r="C439" t="s">
        <v>74</v>
      </c>
      <c r="D439" t="s">
        <v>74</v>
      </c>
      <c r="E439" t="s">
        <v>74</v>
      </c>
      <c r="F439" t="s">
        <v>8654</v>
      </c>
      <c r="G439" t="s">
        <v>74</v>
      </c>
      <c r="H439" t="s">
        <v>74</v>
      </c>
      <c r="I439" t="s">
        <v>8655</v>
      </c>
      <c r="J439" t="s">
        <v>8656</v>
      </c>
      <c r="K439" t="s">
        <v>74</v>
      </c>
      <c r="L439" t="s">
        <v>74</v>
      </c>
      <c r="M439" t="s">
        <v>78</v>
      </c>
      <c r="N439" t="s">
        <v>79</v>
      </c>
      <c r="O439" t="s">
        <v>74</v>
      </c>
      <c r="P439" t="s">
        <v>74</v>
      </c>
      <c r="Q439" t="s">
        <v>74</v>
      </c>
      <c r="R439" t="s">
        <v>74</v>
      </c>
      <c r="S439" t="s">
        <v>74</v>
      </c>
      <c r="T439" t="s">
        <v>8657</v>
      </c>
      <c r="U439" t="s">
        <v>8658</v>
      </c>
      <c r="V439" t="s">
        <v>8659</v>
      </c>
      <c r="W439" t="s">
        <v>8660</v>
      </c>
      <c r="X439" t="s">
        <v>8661</v>
      </c>
      <c r="Y439" t="s">
        <v>8662</v>
      </c>
      <c r="Z439" t="s">
        <v>8663</v>
      </c>
      <c r="AA439" t="s">
        <v>74</v>
      </c>
      <c r="AB439" t="s">
        <v>8664</v>
      </c>
      <c r="AC439" t="s">
        <v>74</v>
      </c>
      <c r="AD439" t="s">
        <v>74</v>
      </c>
      <c r="AE439" t="s">
        <v>74</v>
      </c>
      <c r="AF439" t="s">
        <v>74</v>
      </c>
      <c r="AG439">
        <v>31</v>
      </c>
      <c r="AH439">
        <v>3</v>
      </c>
      <c r="AI439">
        <v>3</v>
      </c>
      <c r="AJ439">
        <v>0</v>
      </c>
      <c r="AK439">
        <v>7</v>
      </c>
      <c r="AL439" t="s">
        <v>5746</v>
      </c>
      <c r="AM439" t="s">
        <v>5747</v>
      </c>
      <c r="AN439" t="s">
        <v>5748</v>
      </c>
      <c r="AO439" t="s">
        <v>8665</v>
      </c>
      <c r="AP439" t="s">
        <v>8666</v>
      </c>
      <c r="AQ439" t="s">
        <v>74</v>
      </c>
      <c r="AR439" t="s">
        <v>8667</v>
      </c>
      <c r="AS439" t="s">
        <v>8668</v>
      </c>
      <c r="AT439" t="s">
        <v>8648</v>
      </c>
      <c r="AU439">
        <v>2014</v>
      </c>
      <c r="AV439">
        <v>48</v>
      </c>
      <c r="AW439">
        <v>1</v>
      </c>
      <c r="AX439" t="s">
        <v>74</v>
      </c>
      <c r="AY439" t="s">
        <v>74</v>
      </c>
      <c r="AZ439" t="s">
        <v>74</v>
      </c>
      <c r="BA439" t="s">
        <v>74</v>
      </c>
      <c r="BB439">
        <v>70</v>
      </c>
      <c r="BC439">
        <v>85</v>
      </c>
      <c r="BD439" t="s">
        <v>74</v>
      </c>
      <c r="BE439" t="s">
        <v>8669</v>
      </c>
      <c r="BF439" t="str">
        <f>HYPERLINK("http://dx.doi.org/10.1080/00288330.2013.843574","http://dx.doi.org/10.1080/00288330.2013.843574")</f>
        <v>http://dx.doi.org/10.1080/00288330.2013.843574</v>
      </c>
      <c r="BG439" t="s">
        <v>74</v>
      </c>
      <c r="BH439" t="s">
        <v>74</v>
      </c>
      <c r="BI439">
        <v>16</v>
      </c>
      <c r="BJ439" t="s">
        <v>4129</v>
      </c>
      <c r="BK439" t="s">
        <v>101</v>
      </c>
      <c r="BL439" t="s">
        <v>4129</v>
      </c>
      <c r="BM439" t="s">
        <v>8670</v>
      </c>
      <c r="BN439" t="s">
        <v>74</v>
      </c>
      <c r="BO439" t="s">
        <v>74</v>
      </c>
      <c r="BP439" t="s">
        <v>74</v>
      </c>
      <c r="BQ439" t="s">
        <v>74</v>
      </c>
      <c r="BR439" t="s">
        <v>104</v>
      </c>
      <c r="BS439" t="s">
        <v>8671</v>
      </c>
      <c r="BT439" t="str">
        <f>HYPERLINK("https%3A%2F%2Fwww.webofscience.com%2Fwos%2Fwoscc%2Ffull-record%2FWOS:000331690600007","View Full Record in Web of Science")</f>
        <v>View Full Record in Web of Science</v>
      </c>
    </row>
    <row r="440" spans="1:72" x14ac:dyDescent="0.15">
      <c r="A440" t="s">
        <v>72</v>
      </c>
      <c r="B440" t="s">
        <v>8672</v>
      </c>
      <c r="C440" t="s">
        <v>74</v>
      </c>
      <c r="D440" t="s">
        <v>74</v>
      </c>
      <c r="E440" t="s">
        <v>74</v>
      </c>
      <c r="F440" t="s">
        <v>8673</v>
      </c>
      <c r="G440" t="s">
        <v>74</v>
      </c>
      <c r="H440" t="s">
        <v>74</v>
      </c>
      <c r="I440" t="s">
        <v>8674</v>
      </c>
      <c r="J440" t="s">
        <v>8656</v>
      </c>
      <c r="K440" t="s">
        <v>74</v>
      </c>
      <c r="L440" t="s">
        <v>74</v>
      </c>
      <c r="M440" t="s">
        <v>78</v>
      </c>
      <c r="N440" t="s">
        <v>79</v>
      </c>
      <c r="O440" t="s">
        <v>74</v>
      </c>
      <c r="P440" t="s">
        <v>74</v>
      </c>
      <c r="Q440" t="s">
        <v>74</v>
      </c>
      <c r="R440" t="s">
        <v>74</v>
      </c>
      <c r="S440" t="s">
        <v>74</v>
      </c>
      <c r="T440" t="s">
        <v>8675</v>
      </c>
      <c r="U440" t="s">
        <v>74</v>
      </c>
      <c r="V440" t="s">
        <v>8676</v>
      </c>
      <c r="W440" t="s">
        <v>8677</v>
      </c>
      <c r="X440" t="s">
        <v>2827</v>
      </c>
      <c r="Y440" t="s">
        <v>8678</v>
      </c>
      <c r="Z440" t="s">
        <v>8679</v>
      </c>
      <c r="AA440" t="s">
        <v>8680</v>
      </c>
      <c r="AB440" t="s">
        <v>8681</v>
      </c>
      <c r="AC440" t="s">
        <v>8682</v>
      </c>
      <c r="AD440" t="s">
        <v>8682</v>
      </c>
      <c r="AE440" t="s">
        <v>8683</v>
      </c>
      <c r="AF440" t="s">
        <v>74</v>
      </c>
      <c r="AG440">
        <v>13</v>
      </c>
      <c r="AH440">
        <v>1</v>
      </c>
      <c r="AI440">
        <v>1</v>
      </c>
      <c r="AJ440">
        <v>0</v>
      </c>
      <c r="AK440">
        <v>4</v>
      </c>
      <c r="AL440" t="s">
        <v>5746</v>
      </c>
      <c r="AM440" t="s">
        <v>5747</v>
      </c>
      <c r="AN440" t="s">
        <v>8643</v>
      </c>
      <c r="AO440" t="s">
        <v>8665</v>
      </c>
      <c r="AP440" t="s">
        <v>8666</v>
      </c>
      <c r="AQ440" t="s">
        <v>74</v>
      </c>
      <c r="AR440" t="s">
        <v>8667</v>
      </c>
      <c r="AS440" t="s">
        <v>8668</v>
      </c>
      <c r="AT440" t="s">
        <v>8648</v>
      </c>
      <c r="AU440">
        <v>2014</v>
      </c>
      <c r="AV440">
        <v>48</v>
      </c>
      <c r="AW440">
        <v>1</v>
      </c>
      <c r="AX440" t="s">
        <v>74</v>
      </c>
      <c r="AY440" t="s">
        <v>74</v>
      </c>
      <c r="AZ440" t="s">
        <v>74</v>
      </c>
      <c r="BA440" t="s">
        <v>74</v>
      </c>
      <c r="BB440">
        <v>139</v>
      </c>
      <c r="BC440">
        <v>146</v>
      </c>
      <c r="BD440" t="s">
        <v>74</v>
      </c>
      <c r="BE440" t="s">
        <v>8684</v>
      </c>
      <c r="BF440" t="str">
        <f>HYPERLINK("http://dx.doi.org/10.1080/00288330.2013.835269","http://dx.doi.org/10.1080/00288330.2013.835269")</f>
        <v>http://dx.doi.org/10.1080/00288330.2013.835269</v>
      </c>
      <c r="BG440" t="s">
        <v>74</v>
      </c>
      <c r="BH440" t="s">
        <v>74</v>
      </c>
      <c r="BI440">
        <v>8</v>
      </c>
      <c r="BJ440" t="s">
        <v>4129</v>
      </c>
      <c r="BK440" t="s">
        <v>101</v>
      </c>
      <c r="BL440" t="s">
        <v>4129</v>
      </c>
      <c r="BM440" t="s">
        <v>8670</v>
      </c>
      <c r="BN440" t="s">
        <v>74</v>
      </c>
      <c r="BO440" t="s">
        <v>200</v>
      </c>
      <c r="BP440" t="s">
        <v>74</v>
      </c>
      <c r="BQ440" t="s">
        <v>74</v>
      </c>
      <c r="BR440" t="s">
        <v>104</v>
      </c>
      <c r="BS440" t="s">
        <v>8685</v>
      </c>
      <c r="BT440" t="str">
        <f>HYPERLINK("https%3A%2F%2Fwww.webofscience.com%2Fwos%2Fwoscc%2Ffull-record%2FWOS:000331690600012","View Full Record in Web of Science")</f>
        <v>View Full Record in Web of Science</v>
      </c>
    </row>
    <row r="441" spans="1:72" x14ac:dyDescent="0.15">
      <c r="A441" t="s">
        <v>72</v>
      </c>
      <c r="B441" t="s">
        <v>8686</v>
      </c>
      <c r="C441" t="s">
        <v>74</v>
      </c>
      <c r="D441" t="s">
        <v>74</v>
      </c>
      <c r="E441" t="s">
        <v>74</v>
      </c>
      <c r="F441" t="s">
        <v>8687</v>
      </c>
      <c r="G441" t="s">
        <v>74</v>
      </c>
      <c r="H441" t="s">
        <v>74</v>
      </c>
      <c r="I441" t="s">
        <v>8688</v>
      </c>
      <c r="J441" t="s">
        <v>8689</v>
      </c>
      <c r="K441" t="s">
        <v>74</v>
      </c>
      <c r="L441" t="s">
        <v>74</v>
      </c>
      <c r="M441" t="s">
        <v>78</v>
      </c>
      <c r="N441" t="s">
        <v>79</v>
      </c>
      <c r="O441" t="s">
        <v>74</v>
      </c>
      <c r="P441" t="s">
        <v>74</v>
      </c>
      <c r="Q441" t="s">
        <v>74</v>
      </c>
      <c r="R441" t="s">
        <v>74</v>
      </c>
      <c r="S441" t="s">
        <v>74</v>
      </c>
      <c r="T441" t="s">
        <v>8690</v>
      </c>
      <c r="U441" t="s">
        <v>8691</v>
      </c>
      <c r="V441" t="s">
        <v>8692</v>
      </c>
      <c r="W441" t="s">
        <v>8693</v>
      </c>
      <c r="X441" t="s">
        <v>8694</v>
      </c>
      <c r="Y441" t="s">
        <v>8695</v>
      </c>
      <c r="Z441" t="s">
        <v>8696</v>
      </c>
      <c r="AA441" t="s">
        <v>74</v>
      </c>
      <c r="AB441" t="s">
        <v>8697</v>
      </c>
      <c r="AC441" t="s">
        <v>8698</v>
      </c>
      <c r="AD441" t="s">
        <v>8699</v>
      </c>
      <c r="AE441" t="s">
        <v>8700</v>
      </c>
      <c r="AF441" t="s">
        <v>74</v>
      </c>
      <c r="AG441">
        <v>15</v>
      </c>
      <c r="AH441">
        <v>5</v>
      </c>
      <c r="AI441">
        <v>6</v>
      </c>
      <c r="AJ441">
        <v>0</v>
      </c>
      <c r="AK441">
        <v>16</v>
      </c>
      <c r="AL441" t="s">
        <v>5746</v>
      </c>
      <c r="AM441" t="s">
        <v>5747</v>
      </c>
      <c r="AN441" t="s">
        <v>8643</v>
      </c>
      <c r="AO441" t="s">
        <v>8701</v>
      </c>
      <c r="AP441" t="s">
        <v>8702</v>
      </c>
      <c r="AQ441" t="s">
        <v>74</v>
      </c>
      <c r="AR441" t="s">
        <v>8703</v>
      </c>
      <c r="AS441" t="s">
        <v>8704</v>
      </c>
      <c r="AT441" t="s">
        <v>8648</v>
      </c>
      <c r="AU441">
        <v>2014</v>
      </c>
      <c r="AV441">
        <v>41</v>
      </c>
      <c r="AW441">
        <v>1</v>
      </c>
      <c r="AX441" t="s">
        <v>74</v>
      </c>
      <c r="AY441" t="s">
        <v>74</v>
      </c>
      <c r="AZ441" t="s">
        <v>74</v>
      </c>
      <c r="BA441" t="s">
        <v>74</v>
      </c>
      <c r="BB441">
        <v>46</v>
      </c>
      <c r="BC441">
        <v>57</v>
      </c>
      <c r="BD441" t="s">
        <v>74</v>
      </c>
      <c r="BE441" t="s">
        <v>8705</v>
      </c>
      <c r="BF441" t="str">
        <f>HYPERLINK("http://dx.doi.org/10.1080/03014223.2013.827581","http://dx.doi.org/10.1080/03014223.2013.827581")</f>
        <v>http://dx.doi.org/10.1080/03014223.2013.827581</v>
      </c>
      <c r="BG441" t="s">
        <v>74</v>
      </c>
      <c r="BH441" t="s">
        <v>74</v>
      </c>
      <c r="BI441">
        <v>12</v>
      </c>
      <c r="BJ441" t="s">
        <v>384</v>
      </c>
      <c r="BK441" t="s">
        <v>101</v>
      </c>
      <c r="BL441" t="s">
        <v>384</v>
      </c>
      <c r="BM441" t="s">
        <v>8706</v>
      </c>
      <c r="BN441" t="s">
        <v>74</v>
      </c>
      <c r="BO441" t="s">
        <v>200</v>
      </c>
      <c r="BP441" t="s">
        <v>74</v>
      </c>
      <c r="BQ441" t="s">
        <v>74</v>
      </c>
      <c r="BR441" t="s">
        <v>104</v>
      </c>
      <c r="BS441" t="s">
        <v>8707</v>
      </c>
      <c r="BT441" t="str">
        <f>HYPERLINK("https%3A%2F%2Fwww.webofscience.com%2Fwos%2Fwoscc%2Ffull-record%2FWOS:000333928300019","View Full Record in Web of Science")</f>
        <v>View Full Record in Web of Science</v>
      </c>
    </row>
    <row r="442" spans="1:72" x14ac:dyDescent="0.15">
      <c r="A442" t="s">
        <v>72</v>
      </c>
      <c r="B442" t="s">
        <v>8708</v>
      </c>
      <c r="C442" t="s">
        <v>74</v>
      </c>
      <c r="D442" t="s">
        <v>74</v>
      </c>
      <c r="E442" t="s">
        <v>74</v>
      </c>
      <c r="F442" t="s">
        <v>8709</v>
      </c>
      <c r="G442" t="s">
        <v>74</v>
      </c>
      <c r="H442" t="s">
        <v>74</v>
      </c>
      <c r="I442" t="s">
        <v>8710</v>
      </c>
      <c r="J442" t="s">
        <v>8711</v>
      </c>
      <c r="K442" t="s">
        <v>74</v>
      </c>
      <c r="L442" t="s">
        <v>74</v>
      </c>
      <c r="M442" t="s">
        <v>78</v>
      </c>
      <c r="N442" t="s">
        <v>79</v>
      </c>
      <c r="O442" t="s">
        <v>74</v>
      </c>
      <c r="P442" t="s">
        <v>74</v>
      </c>
      <c r="Q442" t="s">
        <v>74</v>
      </c>
      <c r="R442" t="s">
        <v>74</v>
      </c>
      <c r="S442" t="s">
        <v>74</v>
      </c>
      <c r="T442" t="s">
        <v>8712</v>
      </c>
      <c r="U442" t="s">
        <v>74</v>
      </c>
      <c r="V442" t="s">
        <v>8713</v>
      </c>
      <c r="W442" t="s">
        <v>8714</v>
      </c>
      <c r="X442" t="s">
        <v>74</v>
      </c>
      <c r="Y442" t="s">
        <v>8715</v>
      </c>
      <c r="Z442" t="s">
        <v>8716</v>
      </c>
      <c r="AA442" t="s">
        <v>74</v>
      </c>
      <c r="AB442" t="s">
        <v>74</v>
      </c>
      <c r="AC442" t="s">
        <v>74</v>
      </c>
      <c r="AD442" t="s">
        <v>74</v>
      </c>
      <c r="AE442" t="s">
        <v>74</v>
      </c>
      <c r="AF442" t="s">
        <v>74</v>
      </c>
      <c r="AG442">
        <v>0</v>
      </c>
      <c r="AH442">
        <v>0</v>
      </c>
      <c r="AI442">
        <v>0</v>
      </c>
      <c r="AJ442">
        <v>1</v>
      </c>
      <c r="AK442">
        <v>4</v>
      </c>
      <c r="AL442" t="s">
        <v>8717</v>
      </c>
      <c r="AM442" t="s">
        <v>5747</v>
      </c>
      <c r="AN442" t="s">
        <v>8718</v>
      </c>
      <c r="AO442" t="s">
        <v>8719</v>
      </c>
      <c r="AP442" t="s">
        <v>8720</v>
      </c>
      <c r="AQ442" t="s">
        <v>74</v>
      </c>
      <c r="AR442" t="s">
        <v>8721</v>
      </c>
      <c r="AS442" t="s">
        <v>8722</v>
      </c>
      <c r="AT442" t="s">
        <v>8648</v>
      </c>
      <c r="AU442">
        <v>2014</v>
      </c>
      <c r="AV442">
        <v>63</v>
      </c>
      <c r="AW442">
        <v>1</v>
      </c>
      <c r="AX442" t="s">
        <v>74</v>
      </c>
      <c r="AY442" t="s">
        <v>74</v>
      </c>
      <c r="AZ442" t="s">
        <v>74</v>
      </c>
      <c r="BA442" t="s">
        <v>74</v>
      </c>
      <c r="BB442">
        <v>16</v>
      </c>
      <c r="BC442">
        <v>22</v>
      </c>
      <c r="BD442" t="s">
        <v>74</v>
      </c>
      <c r="BE442" t="s">
        <v>8723</v>
      </c>
      <c r="BF442" t="str">
        <f>HYPERLINK("http://dx.doi.org/10.1080/00049670.2013.872551","http://dx.doi.org/10.1080/00049670.2013.872551")</f>
        <v>http://dx.doi.org/10.1080/00049670.2013.872551</v>
      </c>
      <c r="BG442" t="s">
        <v>74</v>
      </c>
      <c r="BH442" t="s">
        <v>74</v>
      </c>
      <c r="BI442">
        <v>7</v>
      </c>
      <c r="BJ442" t="s">
        <v>8724</v>
      </c>
      <c r="BK442" t="s">
        <v>8725</v>
      </c>
      <c r="BL442" t="s">
        <v>8724</v>
      </c>
      <c r="BM442" t="s">
        <v>8726</v>
      </c>
      <c r="BN442" t="s">
        <v>74</v>
      </c>
      <c r="BO442" t="s">
        <v>200</v>
      </c>
      <c r="BP442" t="s">
        <v>74</v>
      </c>
      <c r="BQ442" t="s">
        <v>74</v>
      </c>
      <c r="BR442" t="s">
        <v>104</v>
      </c>
      <c r="BS442" t="s">
        <v>8727</v>
      </c>
      <c r="BT442" t="str">
        <f>HYPERLINK("https%3A%2F%2Fwww.webofscience.com%2Fwos%2Fwoscc%2Ffull-record%2FWOS:000334029900003","View Full Record in Web of Science")</f>
        <v>View Full Record in Web of Science</v>
      </c>
    </row>
    <row r="443" spans="1:72" x14ac:dyDescent="0.15">
      <c r="A443" t="s">
        <v>72</v>
      </c>
      <c r="B443" t="s">
        <v>8728</v>
      </c>
      <c r="C443" t="s">
        <v>74</v>
      </c>
      <c r="D443" t="s">
        <v>74</v>
      </c>
      <c r="E443" t="s">
        <v>74</v>
      </c>
      <c r="F443" t="s">
        <v>8729</v>
      </c>
      <c r="G443" t="s">
        <v>74</v>
      </c>
      <c r="H443" t="s">
        <v>74</v>
      </c>
      <c r="I443" t="s">
        <v>8730</v>
      </c>
      <c r="J443" t="s">
        <v>8731</v>
      </c>
      <c r="K443" t="s">
        <v>74</v>
      </c>
      <c r="L443" t="s">
        <v>74</v>
      </c>
      <c r="M443" t="s">
        <v>78</v>
      </c>
      <c r="N443" t="s">
        <v>79</v>
      </c>
      <c r="O443" t="s">
        <v>74</v>
      </c>
      <c r="P443" t="s">
        <v>74</v>
      </c>
      <c r="Q443" t="s">
        <v>74</v>
      </c>
      <c r="R443" t="s">
        <v>74</v>
      </c>
      <c r="S443" t="s">
        <v>74</v>
      </c>
      <c r="T443" t="s">
        <v>8732</v>
      </c>
      <c r="U443" t="s">
        <v>8733</v>
      </c>
      <c r="V443" t="s">
        <v>8734</v>
      </c>
      <c r="W443" t="s">
        <v>8735</v>
      </c>
      <c r="X443" t="s">
        <v>8736</v>
      </c>
      <c r="Y443" t="s">
        <v>8737</v>
      </c>
      <c r="Z443" t="s">
        <v>8738</v>
      </c>
      <c r="AA443" t="s">
        <v>74</v>
      </c>
      <c r="AB443" t="s">
        <v>74</v>
      </c>
      <c r="AC443" t="s">
        <v>8739</v>
      </c>
      <c r="AD443" t="s">
        <v>8740</v>
      </c>
      <c r="AE443" t="s">
        <v>8741</v>
      </c>
      <c r="AF443" t="s">
        <v>74</v>
      </c>
      <c r="AG443">
        <v>54</v>
      </c>
      <c r="AH443">
        <v>5</v>
      </c>
      <c r="AI443">
        <v>5</v>
      </c>
      <c r="AJ443">
        <v>0</v>
      </c>
      <c r="AK443">
        <v>5</v>
      </c>
      <c r="AL443" t="s">
        <v>5746</v>
      </c>
      <c r="AM443" t="s">
        <v>5747</v>
      </c>
      <c r="AN443" t="s">
        <v>5748</v>
      </c>
      <c r="AO443" t="s">
        <v>8742</v>
      </c>
      <c r="AP443" t="s">
        <v>8743</v>
      </c>
      <c r="AQ443" t="s">
        <v>74</v>
      </c>
      <c r="AR443" t="s">
        <v>8744</v>
      </c>
      <c r="AS443" t="s">
        <v>8745</v>
      </c>
      <c r="AT443" t="s">
        <v>8648</v>
      </c>
      <c r="AU443">
        <v>2014</v>
      </c>
      <c r="AV443">
        <v>12</v>
      </c>
      <c r="AW443">
        <v>1</v>
      </c>
      <c r="AX443" t="s">
        <v>74</v>
      </c>
      <c r="AY443" t="s">
        <v>74</v>
      </c>
      <c r="AZ443" t="s">
        <v>74</v>
      </c>
      <c r="BA443" t="s">
        <v>74</v>
      </c>
      <c r="BB443">
        <v>93</v>
      </c>
      <c r="BC443">
        <v>110</v>
      </c>
      <c r="BD443" t="s">
        <v>74</v>
      </c>
      <c r="BE443" t="s">
        <v>8746</v>
      </c>
      <c r="BF443" t="str">
        <f>HYPERLINK("http://dx.doi.org/10.1080/14772000.2014.882870","http://dx.doi.org/10.1080/14772000.2014.882870")</f>
        <v>http://dx.doi.org/10.1080/14772000.2014.882870</v>
      </c>
      <c r="BG443" t="s">
        <v>74</v>
      </c>
      <c r="BH443" t="s">
        <v>74</v>
      </c>
      <c r="BI443">
        <v>18</v>
      </c>
      <c r="BJ443" t="s">
        <v>8747</v>
      </c>
      <c r="BK443" t="s">
        <v>101</v>
      </c>
      <c r="BL443" t="s">
        <v>8748</v>
      </c>
      <c r="BM443" t="s">
        <v>8749</v>
      </c>
      <c r="BN443" t="s">
        <v>74</v>
      </c>
      <c r="BO443" t="s">
        <v>74</v>
      </c>
      <c r="BP443" t="s">
        <v>74</v>
      </c>
      <c r="BQ443" t="s">
        <v>74</v>
      </c>
      <c r="BR443" t="s">
        <v>104</v>
      </c>
      <c r="BS443" t="s">
        <v>8750</v>
      </c>
      <c r="BT443" t="str">
        <f>HYPERLINK("https%3A%2F%2Fwww.webofscience.com%2Fwos%2Fwoscc%2Ffull-record%2FWOS:000333483500007","View Full Record in Web of Science")</f>
        <v>View Full Record in Web of Science</v>
      </c>
    </row>
    <row r="444" spans="1:72" x14ac:dyDescent="0.15">
      <c r="A444" t="s">
        <v>72</v>
      </c>
      <c r="B444" t="s">
        <v>8751</v>
      </c>
      <c r="C444" t="s">
        <v>74</v>
      </c>
      <c r="D444" t="s">
        <v>74</v>
      </c>
      <c r="E444" t="s">
        <v>74</v>
      </c>
      <c r="F444" t="s">
        <v>8752</v>
      </c>
      <c r="G444" t="s">
        <v>74</v>
      </c>
      <c r="H444" t="s">
        <v>74</v>
      </c>
      <c r="I444" t="s">
        <v>8753</v>
      </c>
      <c r="J444" t="s">
        <v>8754</v>
      </c>
      <c r="K444" t="s">
        <v>74</v>
      </c>
      <c r="L444" t="s">
        <v>74</v>
      </c>
      <c r="M444" t="s">
        <v>78</v>
      </c>
      <c r="N444" t="s">
        <v>79</v>
      </c>
      <c r="O444" t="s">
        <v>74</v>
      </c>
      <c r="P444" t="s">
        <v>74</v>
      </c>
      <c r="Q444" t="s">
        <v>74</v>
      </c>
      <c r="R444" t="s">
        <v>74</v>
      </c>
      <c r="S444" t="s">
        <v>74</v>
      </c>
      <c r="T444" t="s">
        <v>8755</v>
      </c>
      <c r="U444" t="s">
        <v>8756</v>
      </c>
      <c r="V444" t="s">
        <v>8757</v>
      </c>
      <c r="W444" t="s">
        <v>8758</v>
      </c>
      <c r="X444" t="s">
        <v>8759</v>
      </c>
      <c r="Y444" t="s">
        <v>8760</v>
      </c>
      <c r="Z444" t="s">
        <v>8761</v>
      </c>
      <c r="AA444" t="s">
        <v>8762</v>
      </c>
      <c r="AB444" t="s">
        <v>8763</v>
      </c>
      <c r="AC444" t="s">
        <v>8764</v>
      </c>
      <c r="AD444" t="s">
        <v>8765</v>
      </c>
      <c r="AE444" t="s">
        <v>8766</v>
      </c>
      <c r="AF444" t="s">
        <v>74</v>
      </c>
      <c r="AG444">
        <v>55</v>
      </c>
      <c r="AH444">
        <v>5</v>
      </c>
      <c r="AI444">
        <v>8</v>
      </c>
      <c r="AJ444">
        <v>0</v>
      </c>
      <c r="AK444">
        <v>11</v>
      </c>
      <c r="AL444" t="s">
        <v>5746</v>
      </c>
      <c r="AM444" t="s">
        <v>5747</v>
      </c>
      <c r="AN444" t="s">
        <v>5748</v>
      </c>
      <c r="AO444" t="s">
        <v>8767</v>
      </c>
      <c r="AP444" t="s">
        <v>8768</v>
      </c>
      <c r="AQ444" t="s">
        <v>74</v>
      </c>
      <c r="AR444" t="s">
        <v>8769</v>
      </c>
      <c r="AS444" t="s">
        <v>8770</v>
      </c>
      <c r="AT444" t="s">
        <v>8648</v>
      </c>
      <c r="AU444">
        <v>2014</v>
      </c>
      <c r="AV444">
        <v>29</v>
      </c>
      <c r="AW444">
        <v>1</v>
      </c>
      <c r="AX444" t="s">
        <v>74</v>
      </c>
      <c r="AY444" t="s">
        <v>74</v>
      </c>
      <c r="AZ444" t="s">
        <v>74</v>
      </c>
      <c r="BA444" t="s">
        <v>74</v>
      </c>
      <c r="BB444">
        <v>27</v>
      </c>
      <c r="BC444">
        <v>40</v>
      </c>
      <c r="BD444" t="s">
        <v>74</v>
      </c>
      <c r="BE444" t="s">
        <v>8771</v>
      </c>
      <c r="BF444" t="str">
        <f>HYPERLINK("http://dx.doi.org/10.1080/0269249X.2013.822020","http://dx.doi.org/10.1080/0269249X.2013.822020")</f>
        <v>http://dx.doi.org/10.1080/0269249X.2013.822020</v>
      </c>
      <c r="BG444" t="s">
        <v>74</v>
      </c>
      <c r="BH444" t="s">
        <v>74</v>
      </c>
      <c r="BI444">
        <v>14</v>
      </c>
      <c r="BJ444" t="s">
        <v>1028</v>
      </c>
      <c r="BK444" t="s">
        <v>101</v>
      </c>
      <c r="BL444" t="s">
        <v>1028</v>
      </c>
      <c r="BM444" t="s">
        <v>8772</v>
      </c>
      <c r="BN444" t="s">
        <v>74</v>
      </c>
      <c r="BO444" t="s">
        <v>74</v>
      </c>
      <c r="BP444" t="s">
        <v>74</v>
      </c>
      <c r="BQ444" t="s">
        <v>74</v>
      </c>
      <c r="BR444" t="s">
        <v>104</v>
      </c>
      <c r="BS444" t="s">
        <v>8773</v>
      </c>
      <c r="BT444" t="str">
        <f>HYPERLINK("https%3A%2F%2Fwww.webofscience.com%2Fwos%2Fwoscc%2Ffull-record%2FWOS:000330933100005","View Full Record in Web of Science")</f>
        <v>View Full Record in Web of Science</v>
      </c>
    </row>
    <row r="445" spans="1:72" x14ac:dyDescent="0.15">
      <c r="A445" t="s">
        <v>8774</v>
      </c>
      <c r="B445" t="s">
        <v>8775</v>
      </c>
      <c r="C445" t="s">
        <v>74</v>
      </c>
      <c r="D445" t="s">
        <v>74</v>
      </c>
      <c r="E445" t="s">
        <v>8776</v>
      </c>
      <c r="F445" t="s">
        <v>8777</v>
      </c>
      <c r="G445" t="s">
        <v>74</v>
      </c>
      <c r="H445" t="s">
        <v>74</v>
      </c>
      <c r="I445" t="s">
        <v>8778</v>
      </c>
      <c r="J445" t="s">
        <v>8779</v>
      </c>
      <c r="K445" t="s">
        <v>8780</v>
      </c>
      <c r="L445" t="s">
        <v>74</v>
      </c>
      <c r="M445" t="s">
        <v>78</v>
      </c>
      <c r="N445" t="s">
        <v>8781</v>
      </c>
      <c r="O445" t="s">
        <v>8782</v>
      </c>
      <c r="P445" t="s">
        <v>8783</v>
      </c>
      <c r="Q445" t="s">
        <v>8784</v>
      </c>
      <c r="R445" t="s">
        <v>74</v>
      </c>
      <c r="S445" t="s">
        <v>74</v>
      </c>
      <c r="T445" t="s">
        <v>8785</v>
      </c>
      <c r="U445" t="s">
        <v>74</v>
      </c>
      <c r="V445" t="s">
        <v>8786</v>
      </c>
      <c r="W445" t="s">
        <v>8787</v>
      </c>
      <c r="X445" t="s">
        <v>8788</v>
      </c>
      <c r="Y445" t="s">
        <v>8789</v>
      </c>
      <c r="Z445" t="s">
        <v>74</v>
      </c>
      <c r="AA445" t="s">
        <v>8790</v>
      </c>
      <c r="AB445" t="s">
        <v>8791</v>
      </c>
      <c r="AC445" t="s">
        <v>74</v>
      </c>
      <c r="AD445" t="s">
        <v>74</v>
      </c>
      <c r="AE445" t="s">
        <v>74</v>
      </c>
      <c r="AF445" t="s">
        <v>74</v>
      </c>
      <c r="AG445">
        <v>15</v>
      </c>
      <c r="AH445">
        <v>0</v>
      </c>
      <c r="AI445">
        <v>0</v>
      </c>
      <c r="AJ445">
        <v>0</v>
      </c>
      <c r="AK445">
        <v>1</v>
      </c>
      <c r="AL445" t="s">
        <v>8792</v>
      </c>
      <c r="AM445" t="s">
        <v>8793</v>
      </c>
      <c r="AN445" t="s">
        <v>8794</v>
      </c>
      <c r="AO445" t="s">
        <v>8795</v>
      </c>
      <c r="AP445" t="s">
        <v>74</v>
      </c>
      <c r="AQ445" t="s">
        <v>8796</v>
      </c>
      <c r="AR445" t="s">
        <v>8797</v>
      </c>
      <c r="AS445" t="s">
        <v>74</v>
      </c>
      <c r="AT445" t="s">
        <v>74</v>
      </c>
      <c r="AU445">
        <v>2014</v>
      </c>
      <c r="AV445" t="s">
        <v>74</v>
      </c>
      <c r="AW445" t="s">
        <v>74</v>
      </c>
      <c r="AX445" t="s">
        <v>74</v>
      </c>
      <c r="AY445" t="s">
        <v>74</v>
      </c>
      <c r="AZ445" t="s">
        <v>74</v>
      </c>
      <c r="BA445" t="s">
        <v>74</v>
      </c>
      <c r="BB445">
        <v>293</v>
      </c>
      <c r="BC445">
        <v>300</v>
      </c>
      <c r="BD445" t="s">
        <v>74</v>
      </c>
      <c r="BE445" t="s">
        <v>74</v>
      </c>
      <c r="BF445" t="s">
        <v>74</v>
      </c>
      <c r="BG445" t="s">
        <v>74</v>
      </c>
      <c r="BH445" t="s">
        <v>74</v>
      </c>
      <c r="BI445">
        <v>8</v>
      </c>
      <c r="BJ445" t="s">
        <v>8798</v>
      </c>
      <c r="BK445" t="s">
        <v>8799</v>
      </c>
      <c r="BL445" t="s">
        <v>8800</v>
      </c>
      <c r="BM445" t="s">
        <v>8801</v>
      </c>
      <c r="BN445" t="s">
        <v>74</v>
      </c>
      <c r="BO445" t="s">
        <v>74</v>
      </c>
      <c r="BP445" t="s">
        <v>74</v>
      </c>
      <c r="BQ445" t="s">
        <v>74</v>
      </c>
      <c r="BR445" t="s">
        <v>104</v>
      </c>
      <c r="BS445" t="s">
        <v>8802</v>
      </c>
      <c r="BT445" t="str">
        <f>HYPERLINK("https%3A%2F%2Fwww.webofscience.com%2Fwos%2Fwoscc%2Ffull-record%2FWOS:000366136600041","View Full Record in Web of Science")</f>
        <v>View Full Record in Web of Science</v>
      </c>
    </row>
    <row r="446" spans="1:72" x14ac:dyDescent="0.15">
      <c r="A446" t="s">
        <v>8803</v>
      </c>
      <c r="B446" t="s">
        <v>8804</v>
      </c>
      <c r="C446" t="s">
        <v>8804</v>
      </c>
      <c r="D446" t="s">
        <v>74</v>
      </c>
      <c r="E446" t="s">
        <v>74</v>
      </c>
      <c r="F446" t="s">
        <v>8805</v>
      </c>
      <c r="G446" t="s">
        <v>8804</v>
      </c>
      <c r="H446" t="s">
        <v>74</v>
      </c>
      <c r="I446" t="s">
        <v>8806</v>
      </c>
      <c r="J446" t="s">
        <v>8807</v>
      </c>
      <c r="K446" t="s">
        <v>8808</v>
      </c>
      <c r="L446" t="s">
        <v>74</v>
      </c>
      <c r="M446" t="s">
        <v>78</v>
      </c>
      <c r="N446" t="s">
        <v>8809</v>
      </c>
      <c r="O446" t="s">
        <v>74</v>
      </c>
      <c r="P446" t="s">
        <v>74</v>
      </c>
      <c r="Q446" t="s">
        <v>74</v>
      </c>
      <c r="R446" t="s">
        <v>74</v>
      </c>
      <c r="S446" t="s">
        <v>74</v>
      </c>
      <c r="T446" t="s">
        <v>74</v>
      </c>
      <c r="U446" t="s">
        <v>74</v>
      </c>
      <c r="V446" t="s">
        <v>74</v>
      </c>
      <c r="W446" t="s">
        <v>74</v>
      </c>
      <c r="X446" t="s">
        <v>74</v>
      </c>
      <c r="Y446" t="s">
        <v>74</v>
      </c>
      <c r="Z446" t="s">
        <v>74</v>
      </c>
      <c r="AA446" t="s">
        <v>74</v>
      </c>
      <c r="AB446" t="s">
        <v>74</v>
      </c>
      <c r="AC446" t="s">
        <v>74</v>
      </c>
      <c r="AD446" t="s">
        <v>74</v>
      </c>
      <c r="AE446" t="s">
        <v>74</v>
      </c>
      <c r="AF446" t="s">
        <v>74</v>
      </c>
      <c r="AG446">
        <v>0</v>
      </c>
      <c r="AH446">
        <v>0</v>
      </c>
      <c r="AI446">
        <v>0</v>
      </c>
      <c r="AJ446">
        <v>0</v>
      </c>
      <c r="AK446">
        <v>1</v>
      </c>
      <c r="AL446" t="s">
        <v>8810</v>
      </c>
      <c r="AM446" t="s">
        <v>704</v>
      </c>
      <c r="AN446" t="s">
        <v>8811</v>
      </c>
      <c r="AO446" t="s">
        <v>74</v>
      </c>
      <c r="AP446" t="s">
        <v>74</v>
      </c>
      <c r="AQ446" t="s">
        <v>8812</v>
      </c>
      <c r="AR446" t="s">
        <v>8813</v>
      </c>
      <c r="AS446" t="s">
        <v>74</v>
      </c>
      <c r="AT446" t="s">
        <v>74</v>
      </c>
      <c r="AU446">
        <v>2014</v>
      </c>
      <c r="AV446" t="s">
        <v>74</v>
      </c>
      <c r="AW446">
        <v>24</v>
      </c>
      <c r="AX446" t="s">
        <v>74</v>
      </c>
      <c r="AY446" t="s">
        <v>74</v>
      </c>
      <c r="AZ446" t="s">
        <v>74</v>
      </c>
      <c r="BA446" t="s">
        <v>74</v>
      </c>
      <c r="BB446">
        <v>9</v>
      </c>
      <c r="BC446" t="s">
        <v>5223</v>
      </c>
      <c r="BD446" t="s">
        <v>74</v>
      </c>
      <c r="BE446" t="s">
        <v>74</v>
      </c>
      <c r="BF446" t="s">
        <v>74</v>
      </c>
      <c r="BG446" t="s">
        <v>74</v>
      </c>
      <c r="BH446" t="s">
        <v>74</v>
      </c>
      <c r="BI446">
        <v>3</v>
      </c>
      <c r="BJ446" t="s">
        <v>8814</v>
      </c>
      <c r="BK446" t="s">
        <v>8815</v>
      </c>
      <c r="BL446" t="s">
        <v>8814</v>
      </c>
      <c r="BM446" t="s">
        <v>8816</v>
      </c>
      <c r="BN446" t="s">
        <v>74</v>
      </c>
      <c r="BO446" t="s">
        <v>74</v>
      </c>
      <c r="BP446" t="s">
        <v>74</v>
      </c>
      <c r="BQ446" t="s">
        <v>74</v>
      </c>
      <c r="BR446" t="s">
        <v>104</v>
      </c>
      <c r="BS446" t="s">
        <v>8817</v>
      </c>
      <c r="BT446" t="str">
        <f>HYPERLINK("https%3A%2F%2Fwww.webofscience.com%2Fwos%2Fwoscc%2Ffull-record%2FWOS:000363723700002","View Full Record in Web of Science")</f>
        <v>View Full Record in Web of Science</v>
      </c>
    </row>
    <row r="447" spans="1:72" x14ac:dyDescent="0.15">
      <c r="A447" t="s">
        <v>8803</v>
      </c>
      <c r="B447" t="s">
        <v>8804</v>
      </c>
      <c r="C447" t="s">
        <v>8804</v>
      </c>
      <c r="D447" t="s">
        <v>74</v>
      </c>
      <c r="E447" t="s">
        <v>74</v>
      </c>
      <c r="F447" t="s">
        <v>8805</v>
      </c>
      <c r="G447" t="s">
        <v>8804</v>
      </c>
      <c r="H447" t="s">
        <v>74</v>
      </c>
      <c r="I447" t="s">
        <v>8818</v>
      </c>
      <c r="J447" t="s">
        <v>8807</v>
      </c>
      <c r="K447" t="s">
        <v>8808</v>
      </c>
      <c r="L447" t="s">
        <v>74</v>
      </c>
      <c r="M447" t="s">
        <v>78</v>
      </c>
      <c r="N447" t="s">
        <v>8809</v>
      </c>
      <c r="O447" t="s">
        <v>74</v>
      </c>
      <c r="P447" t="s">
        <v>74</v>
      </c>
      <c r="Q447" t="s">
        <v>74</v>
      </c>
      <c r="R447" t="s">
        <v>74</v>
      </c>
      <c r="S447" t="s">
        <v>74</v>
      </c>
      <c r="T447" t="s">
        <v>74</v>
      </c>
      <c r="U447" t="s">
        <v>74</v>
      </c>
      <c r="V447" t="s">
        <v>74</v>
      </c>
      <c r="W447" t="s">
        <v>74</v>
      </c>
      <c r="X447" t="s">
        <v>74</v>
      </c>
      <c r="Y447" t="s">
        <v>74</v>
      </c>
      <c r="Z447" t="s">
        <v>74</v>
      </c>
      <c r="AA447" t="s">
        <v>74</v>
      </c>
      <c r="AB447" t="s">
        <v>74</v>
      </c>
      <c r="AC447" t="s">
        <v>74</v>
      </c>
      <c r="AD447" t="s">
        <v>74</v>
      </c>
      <c r="AE447" t="s">
        <v>74</v>
      </c>
      <c r="AF447" t="s">
        <v>74</v>
      </c>
      <c r="AG447">
        <v>0</v>
      </c>
      <c r="AH447">
        <v>0</v>
      </c>
      <c r="AI447">
        <v>0</v>
      </c>
      <c r="AJ447">
        <v>0</v>
      </c>
      <c r="AK447">
        <v>0</v>
      </c>
      <c r="AL447" t="s">
        <v>8810</v>
      </c>
      <c r="AM447" t="s">
        <v>704</v>
      </c>
      <c r="AN447" t="s">
        <v>8811</v>
      </c>
      <c r="AO447" t="s">
        <v>74</v>
      </c>
      <c r="AP447" t="s">
        <v>74</v>
      </c>
      <c r="AQ447" t="s">
        <v>8812</v>
      </c>
      <c r="AR447" t="s">
        <v>8813</v>
      </c>
      <c r="AS447" t="s">
        <v>74</v>
      </c>
      <c r="AT447" t="s">
        <v>74</v>
      </c>
      <c r="AU447">
        <v>2014</v>
      </c>
      <c r="AV447" t="s">
        <v>74</v>
      </c>
      <c r="AW447">
        <v>24</v>
      </c>
      <c r="AX447" t="s">
        <v>74</v>
      </c>
      <c r="AY447" t="s">
        <v>74</v>
      </c>
      <c r="AZ447" t="s">
        <v>74</v>
      </c>
      <c r="BA447" t="s">
        <v>74</v>
      </c>
      <c r="BB447">
        <v>11</v>
      </c>
      <c r="BC447" t="s">
        <v>5223</v>
      </c>
      <c r="BD447" t="s">
        <v>74</v>
      </c>
      <c r="BE447" t="s">
        <v>74</v>
      </c>
      <c r="BF447" t="s">
        <v>74</v>
      </c>
      <c r="BG447" t="s">
        <v>74</v>
      </c>
      <c r="BH447" t="s">
        <v>74</v>
      </c>
      <c r="BI447">
        <v>26</v>
      </c>
      <c r="BJ447" t="s">
        <v>8814</v>
      </c>
      <c r="BK447" t="s">
        <v>8815</v>
      </c>
      <c r="BL447" t="s">
        <v>8814</v>
      </c>
      <c r="BM447" t="s">
        <v>8816</v>
      </c>
      <c r="BN447" t="s">
        <v>74</v>
      </c>
      <c r="BO447" t="s">
        <v>74</v>
      </c>
      <c r="BP447" t="s">
        <v>74</v>
      </c>
      <c r="BQ447" t="s">
        <v>74</v>
      </c>
      <c r="BR447" t="s">
        <v>104</v>
      </c>
      <c r="BS447" t="s">
        <v>8819</v>
      </c>
      <c r="BT447" t="str">
        <f>HYPERLINK("https%3A%2F%2Fwww.webofscience.com%2Fwos%2Fwoscc%2Ffull-record%2FWOS:000363723700003","View Full Record in Web of Science")</f>
        <v>View Full Record in Web of Science</v>
      </c>
    </row>
    <row r="448" spans="1:72" x14ac:dyDescent="0.15">
      <c r="A448" t="s">
        <v>8803</v>
      </c>
      <c r="B448" t="s">
        <v>8804</v>
      </c>
      <c r="C448" t="s">
        <v>8804</v>
      </c>
      <c r="D448" t="s">
        <v>74</v>
      </c>
      <c r="E448" t="s">
        <v>74</v>
      </c>
      <c r="F448" t="s">
        <v>8805</v>
      </c>
      <c r="G448" t="s">
        <v>8804</v>
      </c>
      <c r="H448" t="s">
        <v>74</v>
      </c>
      <c r="I448" t="s">
        <v>8820</v>
      </c>
      <c r="J448" t="s">
        <v>8807</v>
      </c>
      <c r="K448" t="s">
        <v>8808</v>
      </c>
      <c r="L448" t="s">
        <v>74</v>
      </c>
      <c r="M448" t="s">
        <v>78</v>
      </c>
      <c r="N448" t="s">
        <v>8809</v>
      </c>
      <c r="O448" t="s">
        <v>74</v>
      </c>
      <c r="P448" t="s">
        <v>74</v>
      </c>
      <c r="Q448" t="s">
        <v>74</v>
      </c>
      <c r="R448" t="s">
        <v>74</v>
      </c>
      <c r="S448" t="s">
        <v>74</v>
      </c>
      <c r="T448" t="s">
        <v>74</v>
      </c>
      <c r="U448" t="s">
        <v>74</v>
      </c>
      <c r="V448" t="s">
        <v>74</v>
      </c>
      <c r="W448" t="s">
        <v>74</v>
      </c>
      <c r="X448" t="s">
        <v>74</v>
      </c>
      <c r="Y448" t="s">
        <v>74</v>
      </c>
      <c r="Z448" t="s">
        <v>74</v>
      </c>
      <c r="AA448" t="s">
        <v>74</v>
      </c>
      <c r="AB448" t="s">
        <v>74</v>
      </c>
      <c r="AC448" t="s">
        <v>74</v>
      </c>
      <c r="AD448" t="s">
        <v>74</v>
      </c>
      <c r="AE448" t="s">
        <v>74</v>
      </c>
      <c r="AF448" t="s">
        <v>74</v>
      </c>
      <c r="AG448">
        <v>0</v>
      </c>
      <c r="AH448">
        <v>0</v>
      </c>
      <c r="AI448">
        <v>0</v>
      </c>
      <c r="AJ448">
        <v>0</v>
      </c>
      <c r="AK448">
        <v>0</v>
      </c>
      <c r="AL448" t="s">
        <v>8810</v>
      </c>
      <c r="AM448" t="s">
        <v>704</v>
      </c>
      <c r="AN448" t="s">
        <v>8811</v>
      </c>
      <c r="AO448" t="s">
        <v>74</v>
      </c>
      <c r="AP448" t="s">
        <v>74</v>
      </c>
      <c r="AQ448" t="s">
        <v>8812</v>
      </c>
      <c r="AR448" t="s">
        <v>8813</v>
      </c>
      <c r="AS448" t="s">
        <v>74</v>
      </c>
      <c r="AT448" t="s">
        <v>74</v>
      </c>
      <c r="AU448">
        <v>2014</v>
      </c>
      <c r="AV448" t="s">
        <v>74</v>
      </c>
      <c r="AW448">
        <v>24</v>
      </c>
      <c r="AX448" t="s">
        <v>74</v>
      </c>
      <c r="AY448" t="s">
        <v>74</v>
      </c>
      <c r="AZ448" t="s">
        <v>74</v>
      </c>
      <c r="BA448" t="s">
        <v>74</v>
      </c>
      <c r="BB448">
        <v>33</v>
      </c>
      <c r="BC448" t="s">
        <v>5223</v>
      </c>
      <c r="BD448" t="s">
        <v>74</v>
      </c>
      <c r="BE448" t="s">
        <v>74</v>
      </c>
      <c r="BF448" t="s">
        <v>74</v>
      </c>
      <c r="BG448" t="s">
        <v>74</v>
      </c>
      <c r="BH448" t="s">
        <v>74</v>
      </c>
      <c r="BI448">
        <v>25</v>
      </c>
      <c r="BJ448" t="s">
        <v>8814</v>
      </c>
      <c r="BK448" t="s">
        <v>8815</v>
      </c>
      <c r="BL448" t="s">
        <v>8814</v>
      </c>
      <c r="BM448" t="s">
        <v>8816</v>
      </c>
      <c r="BN448" t="s">
        <v>74</v>
      </c>
      <c r="BO448" t="s">
        <v>74</v>
      </c>
      <c r="BP448" t="s">
        <v>74</v>
      </c>
      <c r="BQ448" t="s">
        <v>74</v>
      </c>
      <c r="BR448" t="s">
        <v>104</v>
      </c>
      <c r="BS448" t="s">
        <v>8821</v>
      </c>
      <c r="BT448" t="str">
        <f>HYPERLINK("https%3A%2F%2Fwww.webofscience.com%2Fwos%2Fwoscc%2Ffull-record%2FWOS:000363723700004","View Full Record in Web of Science")</f>
        <v>View Full Record in Web of Science</v>
      </c>
    </row>
    <row r="449" spans="1:72" x14ac:dyDescent="0.15">
      <c r="A449" t="s">
        <v>8803</v>
      </c>
      <c r="B449" t="s">
        <v>8804</v>
      </c>
      <c r="C449" t="s">
        <v>8804</v>
      </c>
      <c r="D449" t="s">
        <v>74</v>
      </c>
      <c r="E449" t="s">
        <v>74</v>
      </c>
      <c r="F449" t="s">
        <v>8805</v>
      </c>
      <c r="G449" t="s">
        <v>8804</v>
      </c>
      <c r="H449" t="s">
        <v>74</v>
      </c>
      <c r="I449" t="s">
        <v>8822</v>
      </c>
      <c r="J449" t="s">
        <v>8807</v>
      </c>
      <c r="K449" t="s">
        <v>8808</v>
      </c>
      <c r="L449" t="s">
        <v>74</v>
      </c>
      <c r="M449" t="s">
        <v>78</v>
      </c>
      <c r="N449" t="s">
        <v>8809</v>
      </c>
      <c r="O449" t="s">
        <v>74</v>
      </c>
      <c r="P449" t="s">
        <v>74</v>
      </c>
      <c r="Q449" t="s">
        <v>74</v>
      </c>
      <c r="R449" t="s">
        <v>74</v>
      </c>
      <c r="S449" t="s">
        <v>74</v>
      </c>
      <c r="T449" t="s">
        <v>74</v>
      </c>
      <c r="U449" t="s">
        <v>74</v>
      </c>
      <c r="V449" t="s">
        <v>74</v>
      </c>
      <c r="W449" t="s">
        <v>74</v>
      </c>
      <c r="X449" t="s">
        <v>74</v>
      </c>
      <c r="Y449" t="s">
        <v>74</v>
      </c>
      <c r="Z449" t="s">
        <v>74</v>
      </c>
      <c r="AA449" t="s">
        <v>74</v>
      </c>
      <c r="AB449" t="s">
        <v>74</v>
      </c>
      <c r="AC449" t="s">
        <v>74</v>
      </c>
      <c r="AD449" t="s">
        <v>74</v>
      </c>
      <c r="AE449" t="s">
        <v>74</v>
      </c>
      <c r="AF449" t="s">
        <v>74</v>
      </c>
      <c r="AG449">
        <v>0</v>
      </c>
      <c r="AH449">
        <v>0</v>
      </c>
      <c r="AI449">
        <v>0</v>
      </c>
      <c r="AJ449">
        <v>0</v>
      </c>
      <c r="AK449">
        <v>0</v>
      </c>
      <c r="AL449" t="s">
        <v>8810</v>
      </c>
      <c r="AM449" t="s">
        <v>704</v>
      </c>
      <c r="AN449" t="s">
        <v>8811</v>
      </c>
      <c r="AO449" t="s">
        <v>74</v>
      </c>
      <c r="AP449" t="s">
        <v>74</v>
      </c>
      <c r="AQ449" t="s">
        <v>8812</v>
      </c>
      <c r="AR449" t="s">
        <v>8813</v>
      </c>
      <c r="AS449" t="s">
        <v>74</v>
      </c>
      <c r="AT449" t="s">
        <v>74</v>
      </c>
      <c r="AU449">
        <v>2014</v>
      </c>
      <c r="AV449" t="s">
        <v>74</v>
      </c>
      <c r="AW449">
        <v>24</v>
      </c>
      <c r="AX449" t="s">
        <v>74</v>
      </c>
      <c r="AY449" t="s">
        <v>74</v>
      </c>
      <c r="AZ449" t="s">
        <v>74</v>
      </c>
      <c r="BA449" t="s">
        <v>74</v>
      </c>
      <c r="BB449">
        <v>55</v>
      </c>
      <c r="BC449">
        <v>55</v>
      </c>
      <c r="BD449" t="s">
        <v>74</v>
      </c>
      <c r="BE449" t="s">
        <v>74</v>
      </c>
      <c r="BF449" t="s">
        <v>74</v>
      </c>
      <c r="BG449" t="s">
        <v>74</v>
      </c>
      <c r="BH449" t="s">
        <v>74</v>
      </c>
      <c r="BI449">
        <v>1</v>
      </c>
      <c r="BJ449" t="s">
        <v>8814</v>
      </c>
      <c r="BK449" t="s">
        <v>8815</v>
      </c>
      <c r="BL449" t="s">
        <v>8814</v>
      </c>
      <c r="BM449" t="s">
        <v>8816</v>
      </c>
      <c r="BN449" t="s">
        <v>74</v>
      </c>
      <c r="BO449" t="s">
        <v>74</v>
      </c>
      <c r="BP449" t="s">
        <v>74</v>
      </c>
      <c r="BQ449" t="s">
        <v>74</v>
      </c>
      <c r="BR449" t="s">
        <v>104</v>
      </c>
      <c r="BS449" t="s">
        <v>8823</v>
      </c>
      <c r="BT449" t="str">
        <f>HYPERLINK("https%3A%2F%2Fwww.webofscience.com%2Fwos%2Fwoscc%2Ffull-record%2FWOS:000363723700005","View Full Record in Web of Science")</f>
        <v>View Full Record in Web of Science</v>
      </c>
    </row>
    <row r="450" spans="1:72" x14ac:dyDescent="0.15">
      <c r="A450" t="s">
        <v>8803</v>
      </c>
      <c r="B450" t="s">
        <v>8804</v>
      </c>
      <c r="C450" t="s">
        <v>8804</v>
      </c>
      <c r="D450" t="s">
        <v>74</v>
      </c>
      <c r="E450" t="s">
        <v>74</v>
      </c>
      <c r="F450" t="s">
        <v>8805</v>
      </c>
      <c r="G450" t="s">
        <v>8804</v>
      </c>
      <c r="H450" t="s">
        <v>74</v>
      </c>
      <c r="I450" t="s">
        <v>8824</v>
      </c>
      <c r="J450" t="s">
        <v>8807</v>
      </c>
      <c r="K450" t="s">
        <v>8808</v>
      </c>
      <c r="L450" t="s">
        <v>74</v>
      </c>
      <c r="M450" t="s">
        <v>78</v>
      </c>
      <c r="N450" t="s">
        <v>8809</v>
      </c>
      <c r="O450" t="s">
        <v>74</v>
      </c>
      <c r="P450" t="s">
        <v>74</v>
      </c>
      <c r="Q450" t="s">
        <v>74</v>
      </c>
      <c r="R450" t="s">
        <v>74</v>
      </c>
      <c r="S450" t="s">
        <v>74</v>
      </c>
      <c r="T450" t="s">
        <v>74</v>
      </c>
      <c r="U450" t="s">
        <v>74</v>
      </c>
      <c r="V450" t="s">
        <v>74</v>
      </c>
      <c r="W450" t="s">
        <v>74</v>
      </c>
      <c r="X450" t="s">
        <v>74</v>
      </c>
      <c r="Y450" t="s">
        <v>74</v>
      </c>
      <c r="Z450" t="s">
        <v>74</v>
      </c>
      <c r="AA450" t="s">
        <v>74</v>
      </c>
      <c r="AB450" t="s">
        <v>74</v>
      </c>
      <c r="AC450" t="s">
        <v>74</v>
      </c>
      <c r="AD450" t="s">
        <v>74</v>
      </c>
      <c r="AE450" t="s">
        <v>74</v>
      </c>
      <c r="AF450" t="s">
        <v>74</v>
      </c>
      <c r="AG450">
        <v>0</v>
      </c>
      <c r="AH450">
        <v>0</v>
      </c>
      <c r="AI450">
        <v>0</v>
      </c>
      <c r="AJ450">
        <v>0</v>
      </c>
      <c r="AK450">
        <v>0</v>
      </c>
      <c r="AL450" t="s">
        <v>8810</v>
      </c>
      <c r="AM450" t="s">
        <v>704</v>
      </c>
      <c r="AN450" t="s">
        <v>8811</v>
      </c>
      <c r="AO450" t="s">
        <v>74</v>
      </c>
      <c r="AP450" t="s">
        <v>74</v>
      </c>
      <c r="AQ450" t="s">
        <v>8812</v>
      </c>
      <c r="AR450" t="s">
        <v>8813</v>
      </c>
      <c r="AS450" t="s">
        <v>74</v>
      </c>
      <c r="AT450" t="s">
        <v>74</v>
      </c>
      <c r="AU450">
        <v>2014</v>
      </c>
      <c r="AV450" t="s">
        <v>74</v>
      </c>
      <c r="AW450">
        <v>24</v>
      </c>
      <c r="AX450" t="s">
        <v>74</v>
      </c>
      <c r="AY450" t="s">
        <v>74</v>
      </c>
      <c r="AZ450" t="s">
        <v>74</v>
      </c>
      <c r="BA450" t="s">
        <v>74</v>
      </c>
      <c r="BB450">
        <v>57</v>
      </c>
      <c r="BC450" t="s">
        <v>5223</v>
      </c>
      <c r="BD450" t="s">
        <v>74</v>
      </c>
      <c r="BE450" t="s">
        <v>74</v>
      </c>
      <c r="BF450" t="s">
        <v>74</v>
      </c>
      <c r="BG450" t="s">
        <v>74</v>
      </c>
      <c r="BH450" t="s">
        <v>74</v>
      </c>
      <c r="BI450">
        <v>25</v>
      </c>
      <c r="BJ450" t="s">
        <v>8814</v>
      </c>
      <c r="BK450" t="s">
        <v>8815</v>
      </c>
      <c r="BL450" t="s">
        <v>8814</v>
      </c>
      <c r="BM450" t="s">
        <v>8816</v>
      </c>
      <c r="BN450" t="s">
        <v>74</v>
      </c>
      <c r="BO450" t="s">
        <v>74</v>
      </c>
      <c r="BP450" t="s">
        <v>74</v>
      </c>
      <c r="BQ450" t="s">
        <v>74</v>
      </c>
      <c r="BR450" t="s">
        <v>104</v>
      </c>
      <c r="BS450" t="s">
        <v>8825</v>
      </c>
      <c r="BT450" t="str">
        <f>HYPERLINK("https%3A%2F%2Fwww.webofscience.com%2Fwos%2Fwoscc%2Ffull-record%2FWOS:000363723700006","View Full Record in Web of Science")</f>
        <v>View Full Record in Web of Science</v>
      </c>
    </row>
    <row r="451" spans="1:72" x14ac:dyDescent="0.15">
      <c r="A451" t="s">
        <v>8803</v>
      </c>
      <c r="B451" t="s">
        <v>8804</v>
      </c>
      <c r="C451" t="s">
        <v>8804</v>
      </c>
      <c r="D451" t="s">
        <v>74</v>
      </c>
      <c r="E451" t="s">
        <v>74</v>
      </c>
      <c r="F451" t="s">
        <v>8805</v>
      </c>
      <c r="G451" t="s">
        <v>8804</v>
      </c>
      <c r="H451" t="s">
        <v>74</v>
      </c>
      <c r="I451" t="s">
        <v>8826</v>
      </c>
      <c r="J451" t="s">
        <v>8807</v>
      </c>
      <c r="K451" t="s">
        <v>8808</v>
      </c>
      <c r="L451" t="s">
        <v>74</v>
      </c>
      <c r="M451" t="s">
        <v>78</v>
      </c>
      <c r="N451" t="s">
        <v>8809</v>
      </c>
      <c r="O451" t="s">
        <v>74</v>
      </c>
      <c r="P451" t="s">
        <v>74</v>
      </c>
      <c r="Q451" t="s">
        <v>74</v>
      </c>
      <c r="R451" t="s">
        <v>74</v>
      </c>
      <c r="S451" t="s">
        <v>74</v>
      </c>
      <c r="T451" t="s">
        <v>74</v>
      </c>
      <c r="U451" t="s">
        <v>74</v>
      </c>
      <c r="V451" t="s">
        <v>74</v>
      </c>
      <c r="W451" t="s">
        <v>74</v>
      </c>
      <c r="X451" t="s">
        <v>74</v>
      </c>
      <c r="Y451" t="s">
        <v>74</v>
      </c>
      <c r="Z451" t="s">
        <v>74</v>
      </c>
      <c r="AA451" t="s">
        <v>74</v>
      </c>
      <c r="AB451" t="s">
        <v>74</v>
      </c>
      <c r="AC451" t="s">
        <v>74</v>
      </c>
      <c r="AD451" t="s">
        <v>74</v>
      </c>
      <c r="AE451" t="s">
        <v>74</v>
      </c>
      <c r="AF451" t="s">
        <v>74</v>
      </c>
      <c r="AG451">
        <v>0</v>
      </c>
      <c r="AH451">
        <v>0</v>
      </c>
      <c r="AI451">
        <v>0</v>
      </c>
      <c r="AJ451">
        <v>0</v>
      </c>
      <c r="AK451">
        <v>0</v>
      </c>
      <c r="AL451" t="s">
        <v>8810</v>
      </c>
      <c r="AM451" t="s">
        <v>704</v>
      </c>
      <c r="AN451" t="s">
        <v>8811</v>
      </c>
      <c r="AO451" t="s">
        <v>74</v>
      </c>
      <c r="AP451" t="s">
        <v>74</v>
      </c>
      <c r="AQ451" t="s">
        <v>8812</v>
      </c>
      <c r="AR451" t="s">
        <v>8813</v>
      </c>
      <c r="AS451" t="s">
        <v>74</v>
      </c>
      <c r="AT451" t="s">
        <v>74</v>
      </c>
      <c r="AU451">
        <v>2014</v>
      </c>
      <c r="AV451" t="s">
        <v>74</v>
      </c>
      <c r="AW451">
        <v>24</v>
      </c>
      <c r="AX451" t="s">
        <v>74</v>
      </c>
      <c r="AY451" t="s">
        <v>74</v>
      </c>
      <c r="AZ451" t="s">
        <v>74</v>
      </c>
      <c r="BA451" t="s">
        <v>74</v>
      </c>
      <c r="BB451">
        <v>79</v>
      </c>
      <c r="BC451" t="s">
        <v>5223</v>
      </c>
      <c r="BD451" t="s">
        <v>74</v>
      </c>
      <c r="BE451" t="s">
        <v>74</v>
      </c>
      <c r="BF451" t="s">
        <v>74</v>
      </c>
      <c r="BG451" t="s">
        <v>74</v>
      </c>
      <c r="BH451" t="s">
        <v>74</v>
      </c>
      <c r="BI451">
        <v>25</v>
      </c>
      <c r="BJ451" t="s">
        <v>8814</v>
      </c>
      <c r="BK451" t="s">
        <v>8815</v>
      </c>
      <c r="BL451" t="s">
        <v>8814</v>
      </c>
      <c r="BM451" t="s">
        <v>8816</v>
      </c>
      <c r="BN451" t="s">
        <v>74</v>
      </c>
      <c r="BO451" t="s">
        <v>74</v>
      </c>
      <c r="BP451" t="s">
        <v>74</v>
      </c>
      <c r="BQ451" t="s">
        <v>74</v>
      </c>
      <c r="BR451" t="s">
        <v>104</v>
      </c>
      <c r="BS451" t="s">
        <v>8827</v>
      </c>
      <c r="BT451" t="str">
        <f>HYPERLINK("https%3A%2F%2Fwww.webofscience.com%2Fwos%2Fwoscc%2Ffull-record%2FWOS:000363723700007","View Full Record in Web of Science")</f>
        <v>View Full Record in Web of Science</v>
      </c>
    </row>
    <row r="452" spans="1:72" x14ac:dyDescent="0.15">
      <c r="A452" t="s">
        <v>8803</v>
      </c>
      <c r="B452" t="s">
        <v>8804</v>
      </c>
      <c r="C452" t="s">
        <v>8804</v>
      </c>
      <c r="D452" t="s">
        <v>74</v>
      </c>
      <c r="E452" t="s">
        <v>74</v>
      </c>
      <c r="F452" t="s">
        <v>8805</v>
      </c>
      <c r="G452" t="s">
        <v>8804</v>
      </c>
      <c r="H452" t="s">
        <v>74</v>
      </c>
      <c r="I452" t="s">
        <v>8828</v>
      </c>
      <c r="J452" t="s">
        <v>8807</v>
      </c>
      <c r="K452" t="s">
        <v>8808</v>
      </c>
      <c r="L452" t="s">
        <v>74</v>
      </c>
      <c r="M452" t="s">
        <v>78</v>
      </c>
      <c r="N452" t="s">
        <v>8809</v>
      </c>
      <c r="O452" t="s">
        <v>74</v>
      </c>
      <c r="P452" t="s">
        <v>74</v>
      </c>
      <c r="Q452" t="s">
        <v>74</v>
      </c>
      <c r="R452" t="s">
        <v>74</v>
      </c>
      <c r="S452" t="s">
        <v>74</v>
      </c>
      <c r="T452" t="s">
        <v>74</v>
      </c>
      <c r="U452" t="s">
        <v>74</v>
      </c>
      <c r="V452" t="s">
        <v>74</v>
      </c>
      <c r="W452" t="s">
        <v>74</v>
      </c>
      <c r="X452" t="s">
        <v>74</v>
      </c>
      <c r="Y452" t="s">
        <v>74</v>
      </c>
      <c r="Z452" t="s">
        <v>74</v>
      </c>
      <c r="AA452" t="s">
        <v>74</v>
      </c>
      <c r="AB452" t="s">
        <v>74</v>
      </c>
      <c r="AC452" t="s">
        <v>74</v>
      </c>
      <c r="AD452" t="s">
        <v>74</v>
      </c>
      <c r="AE452" t="s">
        <v>74</v>
      </c>
      <c r="AF452" t="s">
        <v>74</v>
      </c>
      <c r="AG452">
        <v>0</v>
      </c>
      <c r="AH452">
        <v>0</v>
      </c>
      <c r="AI452">
        <v>0</v>
      </c>
      <c r="AJ452">
        <v>0</v>
      </c>
      <c r="AK452">
        <v>0</v>
      </c>
      <c r="AL452" t="s">
        <v>8810</v>
      </c>
      <c r="AM452" t="s">
        <v>704</v>
      </c>
      <c r="AN452" t="s">
        <v>8811</v>
      </c>
      <c r="AO452" t="s">
        <v>74</v>
      </c>
      <c r="AP452" t="s">
        <v>74</v>
      </c>
      <c r="AQ452" t="s">
        <v>8812</v>
      </c>
      <c r="AR452" t="s">
        <v>8813</v>
      </c>
      <c r="AS452" t="s">
        <v>74</v>
      </c>
      <c r="AT452" t="s">
        <v>74</v>
      </c>
      <c r="AU452">
        <v>2014</v>
      </c>
      <c r="AV452" t="s">
        <v>74</v>
      </c>
      <c r="AW452">
        <v>24</v>
      </c>
      <c r="AX452" t="s">
        <v>74</v>
      </c>
      <c r="AY452" t="s">
        <v>74</v>
      </c>
      <c r="AZ452" t="s">
        <v>74</v>
      </c>
      <c r="BA452" t="s">
        <v>74</v>
      </c>
      <c r="BB452">
        <v>101</v>
      </c>
      <c r="BC452" t="s">
        <v>5223</v>
      </c>
      <c r="BD452" t="s">
        <v>74</v>
      </c>
      <c r="BE452" t="s">
        <v>74</v>
      </c>
      <c r="BF452" t="s">
        <v>74</v>
      </c>
      <c r="BG452" t="s">
        <v>74</v>
      </c>
      <c r="BH452" t="s">
        <v>74</v>
      </c>
      <c r="BI452">
        <v>25</v>
      </c>
      <c r="BJ452" t="s">
        <v>8814</v>
      </c>
      <c r="BK452" t="s">
        <v>8815</v>
      </c>
      <c r="BL452" t="s">
        <v>8814</v>
      </c>
      <c r="BM452" t="s">
        <v>8816</v>
      </c>
      <c r="BN452" t="s">
        <v>74</v>
      </c>
      <c r="BO452" t="s">
        <v>74</v>
      </c>
      <c r="BP452" t="s">
        <v>74</v>
      </c>
      <c r="BQ452" t="s">
        <v>74</v>
      </c>
      <c r="BR452" t="s">
        <v>104</v>
      </c>
      <c r="BS452" t="s">
        <v>8829</v>
      </c>
      <c r="BT452" t="str">
        <f>HYPERLINK("https%3A%2F%2Fwww.webofscience.com%2Fwos%2Fwoscc%2Ffull-record%2FWOS:000363723700008","View Full Record in Web of Science")</f>
        <v>View Full Record in Web of Science</v>
      </c>
    </row>
    <row r="453" spans="1:72" x14ac:dyDescent="0.15">
      <c r="A453" t="s">
        <v>8803</v>
      </c>
      <c r="B453" t="s">
        <v>8804</v>
      </c>
      <c r="C453" t="s">
        <v>8804</v>
      </c>
      <c r="D453" t="s">
        <v>74</v>
      </c>
      <c r="E453" t="s">
        <v>74</v>
      </c>
      <c r="F453" t="s">
        <v>8805</v>
      </c>
      <c r="G453" t="s">
        <v>8804</v>
      </c>
      <c r="H453" t="s">
        <v>74</v>
      </c>
      <c r="I453" t="s">
        <v>8830</v>
      </c>
      <c r="J453" t="s">
        <v>8807</v>
      </c>
      <c r="K453" t="s">
        <v>8808</v>
      </c>
      <c r="L453" t="s">
        <v>74</v>
      </c>
      <c r="M453" t="s">
        <v>78</v>
      </c>
      <c r="N453" t="s">
        <v>8809</v>
      </c>
      <c r="O453" t="s">
        <v>74</v>
      </c>
      <c r="P453" t="s">
        <v>74</v>
      </c>
      <c r="Q453" t="s">
        <v>74</v>
      </c>
      <c r="R453" t="s">
        <v>74</v>
      </c>
      <c r="S453" t="s">
        <v>74</v>
      </c>
      <c r="T453" t="s">
        <v>74</v>
      </c>
      <c r="U453" t="s">
        <v>74</v>
      </c>
      <c r="V453" t="s">
        <v>74</v>
      </c>
      <c r="W453" t="s">
        <v>74</v>
      </c>
      <c r="X453" t="s">
        <v>74</v>
      </c>
      <c r="Y453" t="s">
        <v>74</v>
      </c>
      <c r="Z453" t="s">
        <v>74</v>
      </c>
      <c r="AA453" t="s">
        <v>74</v>
      </c>
      <c r="AB453" t="s">
        <v>74</v>
      </c>
      <c r="AC453" t="s">
        <v>74</v>
      </c>
      <c r="AD453" t="s">
        <v>74</v>
      </c>
      <c r="AE453" t="s">
        <v>74</v>
      </c>
      <c r="AF453" t="s">
        <v>74</v>
      </c>
      <c r="AG453">
        <v>0</v>
      </c>
      <c r="AH453">
        <v>0</v>
      </c>
      <c r="AI453">
        <v>0</v>
      </c>
      <c r="AJ453">
        <v>0</v>
      </c>
      <c r="AK453">
        <v>0</v>
      </c>
      <c r="AL453" t="s">
        <v>8810</v>
      </c>
      <c r="AM453" t="s">
        <v>704</v>
      </c>
      <c r="AN453" t="s">
        <v>8811</v>
      </c>
      <c r="AO453" t="s">
        <v>74</v>
      </c>
      <c r="AP453" t="s">
        <v>74</v>
      </c>
      <c r="AQ453" t="s">
        <v>8812</v>
      </c>
      <c r="AR453" t="s">
        <v>8813</v>
      </c>
      <c r="AS453" t="s">
        <v>74</v>
      </c>
      <c r="AT453" t="s">
        <v>74</v>
      </c>
      <c r="AU453">
        <v>2014</v>
      </c>
      <c r="AV453" t="s">
        <v>74</v>
      </c>
      <c r="AW453">
        <v>24</v>
      </c>
      <c r="AX453" t="s">
        <v>74</v>
      </c>
      <c r="AY453" t="s">
        <v>74</v>
      </c>
      <c r="AZ453" t="s">
        <v>74</v>
      </c>
      <c r="BA453" t="s">
        <v>74</v>
      </c>
      <c r="BB453">
        <v>123</v>
      </c>
      <c r="BC453" t="s">
        <v>5223</v>
      </c>
      <c r="BD453" t="s">
        <v>74</v>
      </c>
      <c r="BE453" t="s">
        <v>74</v>
      </c>
      <c r="BF453" t="s">
        <v>74</v>
      </c>
      <c r="BG453" t="s">
        <v>74</v>
      </c>
      <c r="BH453" t="s">
        <v>74</v>
      </c>
      <c r="BI453">
        <v>26</v>
      </c>
      <c r="BJ453" t="s">
        <v>8814</v>
      </c>
      <c r="BK453" t="s">
        <v>8815</v>
      </c>
      <c r="BL453" t="s">
        <v>8814</v>
      </c>
      <c r="BM453" t="s">
        <v>8816</v>
      </c>
      <c r="BN453" t="s">
        <v>74</v>
      </c>
      <c r="BO453" t="s">
        <v>74</v>
      </c>
      <c r="BP453" t="s">
        <v>74</v>
      </c>
      <c r="BQ453" t="s">
        <v>74</v>
      </c>
      <c r="BR453" t="s">
        <v>104</v>
      </c>
      <c r="BS453" t="s">
        <v>8831</v>
      </c>
      <c r="BT453" t="str">
        <f>HYPERLINK("https%3A%2F%2Fwww.webofscience.com%2Fwos%2Fwoscc%2Ffull-record%2FWOS:000363723700009","View Full Record in Web of Science")</f>
        <v>View Full Record in Web of Science</v>
      </c>
    </row>
    <row r="454" spans="1:72" x14ac:dyDescent="0.15">
      <c r="A454" t="s">
        <v>8803</v>
      </c>
      <c r="B454" t="s">
        <v>8804</v>
      </c>
      <c r="C454" t="s">
        <v>8804</v>
      </c>
      <c r="D454" t="s">
        <v>74</v>
      </c>
      <c r="E454" t="s">
        <v>74</v>
      </c>
      <c r="F454" t="s">
        <v>8805</v>
      </c>
      <c r="G454" t="s">
        <v>8804</v>
      </c>
      <c r="H454" t="s">
        <v>74</v>
      </c>
      <c r="I454" t="s">
        <v>8832</v>
      </c>
      <c r="J454" t="s">
        <v>8807</v>
      </c>
      <c r="K454" t="s">
        <v>8808</v>
      </c>
      <c r="L454" t="s">
        <v>74</v>
      </c>
      <c r="M454" t="s">
        <v>78</v>
      </c>
      <c r="N454" t="s">
        <v>8809</v>
      </c>
      <c r="O454" t="s">
        <v>74</v>
      </c>
      <c r="P454" t="s">
        <v>74</v>
      </c>
      <c r="Q454" t="s">
        <v>74</v>
      </c>
      <c r="R454" t="s">
        <v>74</v>
      </c>
      <c r="S454" t="s">
        <v>74</v>
      </c>
      <c r="T454" t="s">
        <v>74</v>
      </c>
      <c r="U454" t="s">
        <v>74</v>
      </c>
      <c r="V454" t="s">
        <v>74</v>
      </c>
      <c r="W454" t="s">
        <v>74</v>
      </c>
      <c r="X454" t="s">
        <v>74</v>
      </c>
      <c r="Y454" t="s">
        <v>74</v>
      </c>
      <c r="Z454" t="s">
        <v>74</v>
      </c>
      <c r="AA454" t="s">
        <v>74</v>
      </c>
      <c r="AB454" t="s">
        <v>74</v>
      </c>
      <c r="AC454" t="s">
        <v>74</v>
      </c>
      <c r="AD454" t="s">
        <v>74</v>
      </c>
      <c r="AE454" t="s">
        <v>74</v>
      </c>
      <c r="AF454" t="s">
        <v>74</v>
      </c>
      <c r="AG454">
        <v>0</v>
      </c>
      <c r="AH454">
        <v>0</v>
      </c>
      <c r="AI454">
        <v>0</v>
      </c>
      <c r="AJ454">
        <v>0</v>
      </c>
      <c r="AK454">
        <v>1</v>
      </c>
      <c r="AL454" t="s">
        <v>8810</v>
      </c>
      <c r="AM454" t="s">
        <v>704</v>
      </c>
      <c r="AN454" t="s">
        <v>8811</v>
      </c>
      <c r="AO454" t="s">
        <v>74</v>
      </c>
      <c r="AP454" t="s">
        <v>74</v>
      </c>
      <c r="AQ454" t="s">
        <v>8812</v>
      </c>
      <c r="AR454" t="s">
        <v>8813</v>
      </c>
      <c r="AS454" t="s">
        <v>74</v>
      </c>
      <c r="AT454" t="s">
        <v>74</v>
      </c>
      <c r="AU454">
        <v>2014</v>
      </c>
      <c r="AV454" t="s">
        <v>74</v>
      </c>
      <c r="AW454">
        <v>24</v>
      </c>
      <c r="AX454" t="s">
        <v>74</v>
      </c>
      <c r="AY454" t="s">
        <v>74</v>
      </c>
      <c r="AZ454" t="s">
        <v>74</v>
      </c>
      <c r="BA454" t="s">
        <v>74</v>
      </c>
      <c r="BB454">
        <v>147</v>
      </c>
      <c r="BC454">
        <v>147</v>
      </c>
      <c r="BD454" t="s">
        <v>74</v>
      </c>
      <c r="BE454" t="s">
        <v>74</v>
      </c>
      <c r="BF454" t="s">
        <v>74</v>
      </c>
      <c r="BG454" t="s">
        <v>74</v>
      </c>
      <c r="BH454" t="s">
        <v>74</v>
      </c>
      <c r="BI454">
        <v>1</v>
      </c>
      <c r="BJ454" t="s">
        <v>8814</v>
      </c>
      <c r="BK454" t="s">
        <v>8815</v>
      </c>
      <c r="BL454" t="s">
        <v>8814</v>
      </c>
      <c r="BM454" t="s">
        <v>8816</v>
      </c>
      <c r="BN454" t="s">
        <v>74</v>
      </c>
      <c r="BO454" t="s">
        <v>74</v>
      </c>
      <c r="BP454" t="s">
        <v>74</v>
      </c>
      <c r="BQ454" t="s">
        <v>74</v>
      </c>
      <c r="BR454" t="s">
        <v>104</v>
      </c>
      <c r="BS454" t="s">
        <v>8833</v>
      </c>
      <c r="BT454" t="str">
        <f>HYPERLINK("https%3A%2F%2Fwww.webofscience.com%2Fwos%2Fwoscc%2Ffull-record%2FWOS:000363723700010","View Full Record in Web of Science")</f>
        <v>View Full Record in Web of Science</v>
      </c>
    </row>
    <row r="455" spans="1:72" x14ac:dyDescent="0.15">
      <c r="A455" t="s">
        <v>8803</v>
      </c>
      <c r="B455" t="s">
        <v>8804</v>
      </c>
      <c r="C455" t="s">
        <v>8804</v>
      </c>
      <c r="D455" t="s">
        <v>74</v>
      </c>
      <c r="E455" t="s">
        <v>74</v>
      </c>
      <c r="F455" t="s">
        <v>8805</v>
      </c>
      <c r="G455" t="s">
        <v>8804</v>
      </c>
      <c r="H455" t="s">
        <v>74</v>
      </c>
      <c r="I455" t="s">
        <v>8834</v>
      </c>
      <c r="J455" t="s">
        <v>8807</v>
      </c>
      <c r="K455" t="s">
        <v>8808</v>
      </c>
      <c r="L455" t="s">
        <v>74</v>
      </c>
      <c r="M455" t="s">
        <v>78</v>
      </c>
      <c r="N455" t="s">
        <v>8809</v>
      </c>
      <c r="O455" t="s">
        <v>74</v>
      </c>
      <c r="P455" t="s">
        <v>74</v>
      </c>
      <c r="Q455" t="s">
        <v>74</v>
      </c>
      <c r="R455" t="s">
        <v>74</v>
      </c>
      <c r="S455" t="s">
        <v>74</v>
      </c>
      <c r="T455" t="s">
        <v>74</v>
      </c>
      <c r="U455" t="s">
        <v>74</v>
      </c>
      <c r="V455" t="s">
        <v>74</v>
      </c>
      <c r="W455" t="s">
        <v>74</v>
      </c>
      <c r="X455" t="s">
        <v>74</v>
      </c>
      <c r="Y455" t="s">
        <v>74</v>
      </c>
      <c r="Z455" t="s">
        <v>74</v>
      </c>
      <c r="AA455" t="s">
        <v>74</v>
      </c>
      <c r="AB455" t="s">
        <v>74</v>
      </c>
      <c r="AC455" t="s">
        <v>74</v>
      </c>
      <c r="AD455" t="s">
        <v>74</v>
      </c>
      <c r="AE455" t="s">
        <v>74</v>
      </c>
      <c r="AF455" t="s">
        <v>74</v>
      </c>
      <c r="AG455">
        <v>0</v>
      </c>
      <c r="AH455">
        <v>0</v>
      </c>
      <c r="AI455">
        <v>0</v>
      </c>
      <c r="AJ455">
        <v>0</v>
      </c>
      <c r="AK455">
        <v>1</v>
      </c>
      <c r="AL455" t="s">
        <v>8810</v>
      </c>
      <c r="AM455" t="s">
        <v>704</v>
      </c>
      <c r="AN455" t="s">
        <v>8811</v>
      </c>
      <c r="AO455" t="s">
        <v>74</v>
      </c>
      <c r="AP455" t="s">
        <v>74</v>
      </c>
      <c r="AQ455" t="s">
        <v>8812</v>
      </c>
      <c r="AR455" t="s">
        <v>8813</v>
      </c>
      <c r="AS455" t="s">
        <v>74</v>
      </c>
      <c r="AT455" t="s">
        <v>74</v>
      </c>
      <c r="AU455">
        <v>2014</v>
      </c>
      <c r="AV455" t="s">
        <v>74</v>
      </c>
      <c r="AW455">
        <v>24</v>
      </c>
      <c r="AX455" t="s">
        <v>74</v>
      </c>
      <c r="AY455" t="s">
        <v>74</v>
      </c>
      <c r="AZ455" t="s">
        <v>74</v>
      </c>
      <c r="BA455" t="s">
        <v>74</v>
      </c>
      <c r="BB455">
        <v>149</v>
      </c>
      <c r="BC455" t="s">
        <v>5223</v>
      </c>
      <c r="BD455" t="s">
        <v>74</v>
      </c>
      <c r="BE455" t="s">
        <v>74</v>
      </c>
      <c r="BF455" t="s">
        <v>74</v>
      </c>
      <c r="BG455" t="s">
        <v>74</v>
      </c>
      <c r="BH455" t="s">
        <v>74</v>
      </c>
      <c r="BI455">
        <v>21</v>
      </c>
      <c r="BJ455" t="s">
        <v>8814</v>
      </c>
      <c r="BK455" t="s">
        <v>8815</v>
      </c>
      <c r="BL455" t="s">
        <v>8814</v>
      </c>
      <c r="BM455" t="s">
        <v>8816</v>
      </c>
      <c r="BN455" t="s">
        <v>74</v>
      </c>
      <c r="BO455" t="s">
        <v>74</v>
      </c>
      <c r="BP455" t="s">
        <v>74</v>
      </c>
      <c r="BQ455" t="s">
        <v>74</v>
      </c>
      <c r="BR455" t="s">
        <v>104</v>
      </c>
      <c r="BS455" t="s">
        <v>8835</v>
      </c>
      <c r="BT455" t="str">
        <f>HYPERLINK("https%3A%2F%2Fwww.webofscience.com%2Fwos%2Fwoscc%2Ffull-record%2FWOS:000363723700011","View Full Record in Web of Science")</f>
        <v>View Full Record in Web of Science</v>
      </c>
    </row>
    <row r="456" spans="1:72" x14ac:dyDescent="0.15">
      <c r="A456" t="s">
        <v>8803</v>
      </c>
      <c r="B456" t="s">
        <v>8804</v>
      </c>
      <c r="C456" t="s">
        <v>8804</v>
      </c>
      <c r="D456" t="s">
        <v>74</v>
      </c>
      <c r="E456" t="s">
        <v>74</v>
      </c>
      <c r="F456" t="s">
        <v>8805</v>
      </c>
      <c r="G456" t="s">
        <v>8804</v>
      </c>
      <c r="H456" t="s">
        <v>74</v>
      </c>
      <c r="I456" t="s">
        <v>8836</v>
      </c>
      <c r="J456" t="s">
        <v>8807</v>
      </c>
      <c r="K456" t="s">
        <v>8808</v>
      </c>
      <c r="L456" t="s">
        <v>74</v>
      </c>
      <c r="M456" t="s">
        <v>78</v>
      </c>
      <c r="N456" t="s">
        <v>8809</v>
      </c>
      <c r="O456" t="s">
        <v>74</v>
      </c>
      <c r="P456" t="s">
        <v>74</v>
      </c>
      <c r="Q456" t="s">
        <v>74</v>
      </c>
      <c r="R456" t="s">
        <v>74</v>
      </c>
      <c r="S456" t="s">
        <v>74</v>
      </c>
      <c r="T456" t="s">
        <v>74</v>
      </c>
      <c r="U456" t="s">
        <v>74</v>
      </c>
      <c r="V456" t="s">
        <v>74</v>
      </c>
      <c r="W456" t="s">
        <v>74</v>
      </c>
      <c r="X456" t="s">
        <v>74</v>
      </c>
      <c r="Y456" t="s">
        <v>74</v>
      </c>
      <c r="Z456" t="s">
        <v>74</v>
      </c>
      <c r="AA456" t="s">
        <v>74</v>
      </c>
      <c r="AB456" t="s">
        <v>74</v>
      </c>
      <c r="AC456" t="s">
        <v>74</v>
      </c>
      <c r="AD456" t="s">
        <v>74</v>
      </c>
      <c r="AE456" t="s">
        <v>74</v>
      </c>
      <c r="AF456" t="s">
        <v>74</v>
      </c>
      <c r="AG456">
        <v>0</v>
      </c>
      <c r="AH456">
        <v>0</v>
      </c>
      <c r="AI456">
        <v>0</v>
      </c>
      <c r="AJ456">
        <v>0</v>
      </c>
      <c r="AK456">
        <v>0</v>
      </c>
      <c r="AL456" t="s">
        <v>8810</v>
      </c>
      <c r="AM456" t="s">
        <v>704</v>
      </c>
      <c r="AN456" t="s">
        <v>8811</v>
      </c>
      <c r="AO456" t="s">
        <v>74</v>
      </c>
      <c r="AP456" t="s">
        <v>74</v>
      </c>
      <c r="AQ456" t="s">
        <v>8812</v>
      </c>
      <c r="AR456" t="s">
        <v>8813</v>
      </c>
      <c r="AS456" t="s">
        <v>74</v>
      </c>
      <c r="AT456" t="s">
        <v>74</v>
      </c>
      <c r="AU456">
        <v>2014</v>
      </c>
      <c r="AV456" t="s">
        <v>74</v>
      </c>
      <c r="AW456">
        <v>24</v>
      </c>
      <c r="AX456" t="s">
        <v>74</v>
      </c>
      <c r="AY456" t="s">
        <v>74</v>
      </c>
      <c r="AZ456" t="s">
        <v>74</v>
      </c>
      <c r="BA456" t="s">
        <v>74</v>
      </c>
      <c r="BB456">
        <v>167</v>
      </c>
      <c r="BC456" t="s">
        <v>5223</v>
      </c>
      <c r="BD456" t="s">
        <v>74</v>
      </c>
      <c r="BE456" t="s">
        <v>74</v>
      </c>
      <c r="BF456" t="s">
        <v>74</v>
      </c>
      <c r="BG456" t="s">
        <v>74</v>
      </c>
      <c r="BH456" t="s">
        <v>74</v>
      </c>
      <c r="BI456">
        <v>28</v>
      </c>
      <c r="BJ456" t="s">
        <v>8814</v>
      </c>
      <c r="BK456" t="s">
        <v>8815</v>
      </c>
      <c r="BL456" t="s">
        <v>8814</v>
      </c>
      <c r="BM456" t="s">
        <v>8816</v>
      </c>
      <c r="BN456" t="s">
        <v>74</v>
      </c>
      <c r="BO456" t="s">
        <v>74</v>
      </c>
      <c r="BP456" t="s">
        <v>74</v>
      </c>
      <c r="BQ456" t="s">
        <v>74</v>
      </c>
      <c r="BR456" t="s">
        <v>104</v>
      </c>
      <c r="BS456" t="s">
        <v>8837</v>
      </c>
      <c r="BT456" t="str">
        <f>HYPERLINK("https%3A%2F%2Fwww.webofscience.com%2Fwos%2Fwoscc%2Ffull-record%2FWOS:000363723700012","View Full Record in Web of Science")</f>
        <v>View Full Record in Web of Science</v>
      </c>
    </row>
    <row r="457" spans="1:72" x14ac:dyDescent="0.15">
      <c r="A457" t="s">
        <v>8803</v>
      </c>
      <c r="B457" t="s">
        <v>8838</v>
      </c>
      <c r="C457" t="s">
        <v>8839</v>
      </c>
      <c r="D457" t="s">
        <v>74</v>
      </c>
      <c r="E457" t="s">
        <v>74</v>
      </c>
      <c r="F457" t="s">
        <v>8840</v>
      </c>
      <c r="G457" t="s">
        <v>8839</v>
      </c>
      <c r="H457" t="s">
        <v>74</v>
      </c>
      <c r="I457" t="s">
        <v>8841</v>
      </c>
      <c r="J457" t="s">
        <v>8842</v>
      </c>
      <c r="K457" t="s">
        <v>74</v>
      </c>
      <c r="L457" t="s">
        <v>74</v>
      </c>
      <c r="M457" t="s">
        <v>78</v>
      </c>
      <c r="N457" t="s">
        <v>8809</v>
      </c>
      <c r="O457" t="s">
        <v>74</v>
      </c>
      <c r="P457" t="s">
        <v>74</v>
      </c>
      <c r="Q457" t="s">
        <v>74</v>
      </c>
      <c r="R457" t="s">
        <v>74</v>
      </c>
      <c r="S457" t="s">
        <v>74</v>
      </c>
      <c r="T457" t="s">
        <v>74</v>
      </c>
      <c r="U457" t="s">
        <v>74</v>
      </c>
      <c r="V457" t="s">
        <v>74</v>
      </c>
      <c r="W457" t="s">
        <v>8843</v>
      </c>
      <c r="X457" t="s">
        <v>74</v>
      </c>
      <c r="Y457" t="s">
        <v>8844</v>
      </c>
      <c r="Z457" t="s">
        <v>74</v>
      </c>
      <c r="AA457" t="s">
        <v>74</v>
      </c>
      <c r="AB457" t="s">
        <v>74</v>
      </c>
      <c r="AC457" t="s">
        <v>74</v>
      </c>
      <c r="AD457" t="s">
        <v>74</v>
      </c>
      <c r="AE457" t="s">
        <v>74</v>
      </c>
      <c r="AF457" t="s">
        <v>74</v>
      </c>
      <c r="AG457">
        <v>0</v>
      </c>
      <c r="AH457">
        <v>0</v>
      </c>
      <c r="AI457">
        <v>0</v>
      </c>
      <c r="AJ457">
        <v>0</v>
      </c>
      <c r="AK457">
        <v>0</v>
      </c>
      <c r="AL457" t="s">
        <v>8845</v>
      </c>
      <c r="AM457" t="s">
        <v>8846</v>
      </c>
      <c r="AN457" t="s">
        <v>8847</v>
      </c>
      <c r="AO457" t="s">
        <v>74</v>
      </c>
      <c r="AP457" t="s">
        <v>74</v>
      </c>
      <c r="AQ457" t="s">
        <v>8848</v>
      </c>
      <c r="AR457" t="s">
        <v>74</v>
      </c>
      <c r="AS457" t="s">
        <v>74</v>
      </c>
      <c r="AT457" t="s">
        <v>74</v>
      </c>
      <c r="AU457">
        <v>2014</v>
      </c>
      <c r="AV457" t="s">
        <v>74</v>
      </c>
      <c r="AW457" t="s">
        <v>74</v>
      </c>
      <c r="AX457" t="s">
        <v>74</v>
      </c>
      <c r="AY457" t="s">
        <v>74</v>
      </c>
      <c r="AZ457" t="s">
        <v>74</v>
      </c>
      <c r="BA457" t="s">
        <v>74</v>
      </c>
      <c r="BB457">
        <v>17</v>
      </c>
      <c r="BC457">
        <v>35</v>
      </c>
      <c r="BD457" t="s">
        <v>74</v>
      </c>
      <c r="BE457" t="s">
        <v>74</v>
      </c>
      <c r="BF457" t="s">
        <v>74</v>
      </c>
      <c r="BG457" t="s">
        <v>74</v>
      </c>
      <c r="BH457" t="s">
        <v>74</v>
      </c>
      <c r="BI457">
        <v>19</v>
      </c>
      <c r="BJ457" t="s">
        <v>8849</v>
      </c>
      <c r="BK457" t="s">
        <v>8850</v>
      </c>
      <c r="BL457" t="s">
        <v>8851</v>
      </c>
      <c r="BM457" t="s">
        <v>8852</v>
      </c>
      <c r="BN457" t="s">
        <v>74</v>
      </c>
      <c r="BO457" t="s">
        <v>74</v>
      </c>
      <c r="BP457" t="s">
        <v>74</v>
      </c>
      <c r="BQ457" t="s">
        <v>74</v>
      </c>
      <c r="BR457" t="s">
        <v>104</v>
      </c>
      <c r="BS457" t="s">
        <v>8853</v>
      </c>
      <c r="BT457" t="str">
        <f>HYPERLINK("https%3A%2F%2Fwww.webofscience.com%2Fwos%2Fwoscc%2Ffull-record%2FWOS:000363716400004","View Full Record in Web of Science")</f>
        <v>View Full Record in Web of Science</v>
      </c>
    </row>
    <row r="458" spans="1:72" x14ac:dyDescent="0.15">
      <c r="A458" t="s">
        <v>72</v>
      </c>
      <c r="B458" t="s">
        <v>8854</v>
      </c>
      <c r="C458" t="s">
        <v>74</v>
      </c>
      <c r="D458" t="s">
        <v>74</v>
      </c>
      <c r="E458" t="s">
        <v>74</v>
      </c>
      <c r="F458" t="s">
        <v>8855</v>
      </c>
      <c r="G458" t="s">
        <v>74</v>
      </c>
      <c r="H458" t="s">
        <v>74</v>
      </c>
      <c r="I458" t="s">
        <v>8856</v>
      </c>
      <c r="J458" t="s">
        <v>8857</v>
      </c>
      <c r="K458" t="s">
        <v>74</v>
      </c>
      <c r="L458" t="s">
        <v>74</v>
      </c>
      <c r="M458" t="s">
        <v>78</v>
      </c>
      <c r="N458" t="s">
        <v>79</v>
      </c>
      <c r="O458" t="s">
        <v>74</v>
      </c>
      <c r="P458" t="s">
        <v>74</v>
      </c>
      <c r="Q458" t="s">
        <v>74</v>
      </c>
      <c r="R458" t="s">
        <v>74</v>
      </c>
      <c r="S458" t="s">
        <v>74</v>
      </c>
      <c r="T458" t="s">
        <v>74</v>
      </c>
      <c r="U458" t="s">
        <v>74</v>
      </c>
      <c r="V458" t="s">
        <v>8858</v>
      </c>
      <c r="W458" t="s">
        <v>8859</v>
      </c>
      <c r="X458" t="s">
        <v>8860</v>
      </c>
      <c r="Y458" t="s">
        <v>8861</v>
      </c>
      <c r="Z458" t="s">
        <v>8862</v>
      </c>
      <c r="AA458" t="s">
        <v>8863</v>
      </c>
      <c r="AB458" t="s">
        <v>8864</v>
      </c>
      <c r="AC458" t="s">
        <v>8865</v>
      </c>
      <c r="AD458" t="s">
        <v>8866</v>
      </c>
      <c r="AE458" t="s">
        <v>8867</v>
      </c>
      <c r="AF458" t="s">
        <v>74</v>
      </c>
      <c r="AG458">
        <v>36</v>
      </c>
      <c r="AH458">
        <v>10</v>
      </c>
      <c r="AI458">
        <v>10</v>
      </c>
      <c r="AJ458">
        <v>1</v>
      </c>
      <c r="AK458">
        <v>12</v>
      </c>
      <c r="AL458" t="s">
        <v>8868</v>
      </c>
      <c r="AM458" t="s">
        <v>8869</v>
      </c>
      <c r="AN458" t="s">
        <v>8870</v>
      </c>
      <c r="AO458" t="s">
        <v>8871</v>
      </c>
      <c r="AP458" t="s">
        <v>74</v>
      </c>
      <c r="AQ458" t="s">
        <v>74</v>
      </c>
      <c r="AR458" t="s">
        <v>8872</v>
      </c>
      <c r="AS458" t="s">
        <v>8873</v>
      </c>
      <c r="AT458" t="s">
        <v>74</v>
      </c>
      <c r="AU458">
        <v>2014</v>
      </c>
      <c r="AV458">
        <v>64</v>
      </c>
      <c r="AW458">
        <v>4</v>
      </c>
      <c r="AX458" t="s">
        <v>74</v>
      </c>
      <c r="AY458" t="s">
        <v>74</v>
      </c>
      <c r="AZ458" t="s">
        <v>74</v>
      </c>
      <c r="BA458" t="s">
        <v>74</v>
      </c>
      <c r="BB458">
        <v>293</v>
      </c>
      <c r="BC458">
        <v>311</v>
      </c>
      <c r="BD458" t="s">
        <v>74</v>
      </c>
      <c r="BE458" t="s">
        <v>8874</v>
      </c>
      <c r="BF458" t="str">
        <f>HYPERLINK("http://dx.doi.org/10.22499/2.6404.006","http://dx.doi.org/10.22499/2.6404.006")</f>
        <v>http://dx.doi.org/10.22499/2.6404.006</v>
      </c>
      <c r="BG458" t="s">
        <v>74</v>
      </c>
      <c r="BH458" t="s">
        <v>74</v>
      </c>
      <c r="BI458">
        <v>19</v>
      </c>
      <c r="BJ458" t="s">
        <v>6540</v>
      </c>
      <c r="BK458" t="s">
        <v>101</v>
      </c>
      <c r="BL458" t="s">
        <v>6540</v>
      </c>
      <c r="BM458" t="s">
        <v>8875</v>
      </c>
      <c r="BN458" t="s">
        <v>74</v>
      </c>
      <c r="BO458" t="s">
        <v>787</v>
      </c>
      <c r="BP458" t="s">
        <v>74</v>
      </c>
      <c r="BQ458" t="s">
        <v>74</v>
      </c>
      <c r="BR458" t="s">
        <v>104</v>
      </c>
      <c r="BS458" t="s">
        <v>8876</v>
      </c>
      <c r="BT458" t="str">
        <f>HYPERLINK("https%3A%2F%2Fwww.webofscience.com%2Fwos%2Fwoscc%2Ffull-record%2FWOS:000364515800006","View Full Record in Web of Science")</f>
        <v>View Full Record in Web of Science</v>
      </c>
    </row>
    <row r="459" spans="1:72" x14ac:dyDescent="0.15">
      <c r="A459" t="s">
        <v>72</v>
      </c>
      <c r="B459" t="s">
        <v>8877</v>
      </c>
      <c r="C459" t="s">
        <v>74</v>
      </c>
      <c r="D459" t="s">
        <v>74</v>
      </c>
      <c r="E459" t="s">
        <v>74</v>
      </c>
      <c r="F459" t="s">
        <v>8878</v>
      </c>
      <c r="G459" t="s">
        <v>74</v>
      </c>
      <c r="H459" t="s">
        <v>74</v>
      </c>
      <c r="I459" t="s">
        <v>8879</v>
      </c>
      <c r="J459" t="s">
        <v>8857</v>
      </c>
      <c r="K459" t="s">
        <v>74</v>
      </c>
      <c r="L459" t="s">
        <v>74</v>
      </c>
      <c r="M459" t="s">
        <v>78</v>
      </c>
      <c r="N459" t="s">
        <v>79</v>
      </c>
      <c r="O459" t="s">
        <v>74</v>
      </c>
      <c r="P459" t="s">
        <v>74</v>
      </c>
      <c r="Q459" t="s">
        <v>74</v>
      </c>
      <c r="R459" t="s">
        <v>74</v>
      </c>
      <c r="S459" t="s">
        <v>74</v>
      </c>
      <c r="T459" t="s">
        <v>74</v>
      </c>
      <c r="U459" t="s">
        <v>8880</v>
      </c>
      <c r="V459" t="s">
        <v>8881</v>
      </c>
      <c r="W459" t="s">
        <v>8882</v>
      </c>
      <c r="X459" t="s">
        <v>8883</v>
      </c>
      <c r="Y459" t="s">
        <v>8861</v>
      </c>
      <c r="Z459" t="s">
        <v>8862</v>
      </c>
      <c r="AA459" t="s">
        <v>8884</v>
      </c>
      <c r="AB459" t="s">
        <v>8885</v>
      </c>
      <c r="AC459" t="s">
        <v>8886</v>
      </c>
      <c r="AD459" t="s">
        <v>8887</v>
      </c>
      <c r="AE459" t="s">
        <v>8888</v>
      </c>
      <c r="AF459" t="s">
        <v>74</v>
      </c>
      <c r="AG459">
        <v>37</v>
      </c>
      <c r="AH459">
        <v>6</v>
      </c>
      <c r="AI459">
        <v>6</v>
      </c>
      <c r="AJ459">
        <v>0</v>
      </c>
      <c r="AK459">
        <v>6</v>
      </c>
      <c r="AL459" t="s">
        <v>8868</v>
      </c>
      <c r="AM459" t="s">
        <v>8869</v>
      </c>
      <c r="AN459" t="s">
        <v>8870</v>
      </c>
      <c r="AO459" t="s">
        <v>8871</v>
      </c>
      <c r="AP459" t="s">
        <v>74</v>
      </c>
      <c r="AQ459" t="s">
        <v>74</v>
      </c>
      <c r="AR459" t="s">
        <v>8872</v>
      </c>
      <c r="AS459" t="s">
        <v>8873</v>
      </c>
      <c r="AT459" t="s">
        <v>74</v>
      </c>
      <c r="AU459">
        <v>2014</v>
      </c>
      <c r="AV459">
        <v>64</v>
      </c>
      <c r="AW459">
        <v>4</v>
      </c>
      <c r="AX459" t="s">
        <v>74</v>
      </c>
      <c r="AY459" t="s">
        <v>74</v>
      </c>
      <c r="AZ459" t="s">
        <v>74</v>
      </c>
      <c r="BA459" t="s">
        <v>74</v>
      </c>
      <c r="BB459">
        <v>313</v>
      </c>
      <c r="BC459">
        <v>330</v>
      </c>
      <c r="BD459" t="s">
        <v>74</v>
      </c>
      <c r="BE459" t="s">
        <v>8889</v>
      </c>
      <c r="BF459" t="str">
        <f>HYPERLINK("http://dx.doi.org/10.22499/2.6404.007","http://dx.doi.org/10.22499/2.6404.007")</f>
        <v>http://dx.doi.org/10.22499/2.6404.007</v>
      </c>
      <c r="BG459" t="s">
        <v>74</v>
      </c>
      <c r="BH459" t="s">
        <v>74</v>
      </c>
      <c r="BI459">
        <v>18</v>
      </c>
      <c r="BJ459" t="s">
        <v>6540</v>
      </c>
      <c r="BK459" t="s">
        <v>101</v>
      </c>
      <c r="BL459" t="s">
        <v>6540</v>
      </c>
      <c r="BM459" t="s">
        <v>8875</v>
      </c>
      <c r="BN459" t="s">
        <v>74</v>
      </c>
      <c r="BO459" t="s">
        <v>600</v>
      </c>
      <c r="BP459" t="s">
        <v>74</v>
      </c>
      <c r="BQ459" t="s">
        <v>74</v>
      </c>
      <c r="BR459" t="s">
        <v>104</v>
      </c>
      <c r="BS459" t="s">
        <v>8890</v>
      </c>
      <c r="BT459" t="str">
        <f>HYPERLINK("https%3A%2F%2Fwww.webofscience.com%2Fwos%2Fwoscc%2Ffull-record%2FWOS:000364515800007","View Full Record in Web of Science")</f>
        <v>View Full Record in Web of Science</v>
      </c>
    </row>
    <row r="460" spans="1:72" x14ac:dyDescent="0.15">
      <c r="A460" t="s">
        <v>8774</v>
      </c>
      <c r="B460" t="s">
        <v>8891</v>
      </c>
      <c r="C460" t="s">
        <v>74</v>
      </c>
      <c r="D460" t="s">
        <v>8892</v>
      </c>
      <c r="E460" t="s">
        <v>74</v>
      </c>
      <c r="F460" t="s">
        <v>8893</v>
      </c>
      <c r="G460" t="s">
        <v>74</v>
      </c>
      <c r="H460" t="s">
        <v>74</v>
      </c>
      <c r="I460" t="s">
        <v>8894</v>
      </c>
      <c r="J460" t="s">
        <v>8895</v>
      </c>
      <c r="K460" t="s">
        <v>8896</v>
      </c>
      <c r="L460" t="s">
        <v>74</v>
      </c>
      <c r="M460" t="s">
        <v>78</v>
      </c>
      <c r="N460" t="s">
        <v>8781</v>
      </c>
      <c r="O460" t="s">
        <v>8897</v>
      </c>
      <c r="P460" t="s">
        <v>8898</v>
      </c>
      <c r="Q460" t="s">
        <v>8899</v>
      </c>
      <c r="R460" t="s">
        <v>74</v>
      </c>
      <c r="S460" t="s">
        <v>74</v>
      </c>
      <c r="T460" t="s">
        <v>8900</v>
      </c>
      <c r="U460" t="s">
        <v>8901</v>
      </c>
      <c r="V460" t="s">
        <v>8902</v>
      </c>
      <c r="W460" t="s">
        <v>8903</v>
      </c>
      <c r="X460" t="s">
        <v>5675</v>
      </c>
      <c r="Y460" t="s">
        <v>8904</v>
      </c>
      <c r="Z460" t="s">
        <v>8905</v>
      </c>
      <c r="AA460" t="s">
        <v>8906</v>
      </c>
      <c r="AB460" t="s">
        <v>8907</v>
      </c>
      <c r="AC460" t="s">
        <v>74</v>
      </c>
      <c r="AD460" t="s">
        <v>74</v>
      </c>
      <c r="AE460" t="s">
        <v>74</v>
      </c>
      <c r="AF460" t="s">
        <v>74</v>
      </c>
      <c r="AG460">
        <v>21</v>
      </c>
      <c r="AH460">
        <v>0</v>
      </c>
      <c r="AI460">
        <v>0</v>
      </c>
      <c r="AJ460">
        <v>2</v>
      </c>
      <c r="AK460">
        <v>5</v>
      </c>
      <c r="AL460" t="s">
        <v>8908</v>
      </c>
      <c r="AM460" t="s">
        <v>2151</v>
      </c>
      <c r="AN460" t="s">
        <v>8909</v>
      </c>
      <c r="AO460" t="s">
        <v>8910</v>
      </c>
      <c r="AP460" t="s">
        <v>74</v>
      </c>
      <c r="AQ460" t="s">
        <v>8911</v>
      </c>
      <c r="AR460" t="s">
        <v>8912</v>
      </c>
      <c r="AS460" t="s">
        <v>74</v>
      </c>
      <c r="AT460" t="s">
        <v>74</v>
      </c>
      <c r="AU460">
        <v>2014</v>
      </c>
      <c r="AV460">
        <v>139</v>
      </c>
      <c r="AW460" t="s">
        <v>74</v>
      </c>
      <c r="AX460" t="s">
        <v>74</v>
      </c>
      <c r="AY460" t="s">
        <v>74</v>
      </c>
      <c r="AZ460" t="s">
        <v>74</v>
      </c>
      <c r="BA460" t="s">
        <v>74</v>
      </c>
      <c r="BB460">
        <v>81</v>
      </c>
      <c r="BC460">
        <v>87</v>
      </c>
      <c r="BD460" t="s">
        <v>74</v>
      </c>
      <c r="BE460" t="s">
        <v>8913</v>
      </c>
      <c r="BF460" t="str">
        <f>HYPERLINK("http://dx.doi.org/10.1007/978-3-642-37222-3_10","http://dx.doi.org/10.1007/978-3-642-37222-3_10")</f>
        <v>http://dx.doi.org/10.1007/978-3-642-37222-3_10</v>
      </c>
      <c r="BG460" t="s">
        <v>74</v>
      </c>
      <c r="BH460" t="s">
        <v>74</v>
      </c>
      <c r="BI460">
        <v>7</v>
      </c>
      <c r="BJ460" t="s">
        <v>574</v>
      </c>
      <c r="BK460" t="s">
        <v>8799</v>
      </c>
      <c r="BL460" t="s">
        <v>574</v>
      </c>
      <c r="BM460" t="s">
        <v>8914</v>
      </c>
      <c r="BN460" t="s">
        <v>74</v>
      </c>
      <c r="BO460" t="s">
        <v>74</v>
      </c>
      <c r="BP460" t="s">
        <v>74</v>
      </c>
      <c r="BQ460" t="s">
        <v>74</v>
      </c>
      <c r="BR460" t="s">
        <v>104</v>
      </c>
      <c r="BS460" t="s">
        <v>8915</v>
      </c>
      <c r="BT460" t="str">
        <f>HYPERLINK("https%3A%2F%2Fwww.webofscience.com%2Fwos%2Fwoscc%2Ffull-record%2FWOS:000363263400010","View Full Record in Web of Science")</f>
        <v>View Full Record in Web of Science</v>
      </c>
    </row>
    <row r="461" spans="1:72" x14ac:dyDescent="0.15">
      <c r="A461" t="s">
        <v>8774</v>
      </c>
      <c r="B461" t="s">
        <v>8916</v>
      </c>
      <c r="C461" t="s">
        <v>74</v>
      </c>
      <c r="D461" t="s">
        <v>8892</v>
      </c>
      <c r="E461" t="s">
        <v>74</v>
      </c>
      <c r="F461" t="s">
        <v>8917</v>
      </c>
      <c r="G461" t="s">
        <v>74</v>
      </c>
      <c r="H461" t="s">
        <v>74</v>
      </c>
      <c r="I461" t="s">
        <v>8918</v>
      </c>
      <c r="J461" t="s">
        <v>8895</v>
      </c>
      <c r="K461" t="s">
        <v>8896</v>
      </c>
      <c r="L461" t="s">
        <v>74</v>
      </c>
      <c r="M461" t="s">
        <v>78</v>
      </c>
      <c r="N461" t="s">
        <v>8781</v>
      </c>
      <c r="O461" t="s">
        <v>8897</v>
      </c>
      <c r="P461" t="s">
        <v>8898</v>
      </c>
      <c r="Q461" t="s">
        <v>8899</v>
      </c>
      <c r="R461" t="s">
        <v>74</v>
      </c>
      <c r="S461" t="s">
        <v>74</v>
      </c>
      <c r="T461" t="s">
        <v>8919</v>
      </c>
      <c r="U461" t="s">
        <v>8920</v>
      </c>
      <c r="V461" t="s">
        <v>8921</v>
      </c>
      <c r="W461" t="s">
        <v>8922</v>
      </c>
      <c r="X461" t="s">
        <v>8923</v>
      </c>
      <c r="Y461" t="s">
        <v>8924</v>
      </c>
      <c r="Z461" t="s">
        <v>8925</v>
      </c>
      <c r="AA461" t="s">
        <v>8926</v>
      </c>
      <c r="AB461" t="s">
        <v>8927</v>
      </c>
      <c r="AC461" t="s">
        <v>74</v>
      </c>
      <c r="AD461" t="s">
        <v>74</v>
      </c>
      <c r="AE461" t="s">
        <v>74</v>
      </c>
      <c r="AF461" t="s">
        <v>74</v>
      </c>
      <c r="AG461">
        <v>23</v>
      </c>
      <c r="AH461">
        <v>0</v>
      </c>
      <c r="AI461">
        <v>0</v>
      </c>
      <c r="AJ461">
        <v>0</v>
      </c>
      <c r="AK461">
        <v>2</v>
      </c>
      <c r="AL461" t="s">
        <v>8908</v>
      </c>
      <c r="AM461" t="s">
        <v>2151</v>
      </c>
      <c r="AN461" t="s">
        <v>8909</v>
      </c>
      <c r="AO461" t="s">
        <v>8910</v>
      </c>
      <c r="AP461" t="s">
        <v>74</v>
      </c>
      <c r="AQ461" t="s">
        <v>8911</v>
      </c>
      <c r="AR461" t="s">
        <v>8912</v>
      </c>
      <c r="AS461" t="s">
        <v>74</v>
      </c>
      <c r="AT461" t="s">
        <v>74</v>
      </c>
      <c r="AU461">
        <v>2014</v>
      </c>
      <c r="AV461">
        <v>139</v>
      </c>
      <c r="AW461" t="s">
        <v>74</v>
      </c>
      <c r="AX461" t="s">
        <v>74</v>
      </c>
      <c r="AY461" t="s">
        <v>74</v>
      </c>
      <c r="AZ461" t="s">
        <v>74</v>
      </c>
      <c r="BA461" t="s">
        <v>74</v>
      </c>
      <c r="BB461">
        <v>429</v>
      </c>
      <c r="BC461">
        <v>434</v>
      </c>
      <c r="BD461" t="s">
        <v>74</v>
      </c>
      <c r="BE461" t="s">
        <v>8928</v>
      </c>
      <c r="BF461" t="str">
        <f>HYPERLINK("http://dx.doi.org/10.1007/978-3-642-37222-3_57","http://dx.doi.org/10.1007/978-3-642-37222-3_57")</f>
        <v>http://dx.doi.org/10.1007/978-3-642-37222-3_57</v>
      </c>
      <c r="BG461" t="s">
        <v>74</v>
      </c>
      <c r="BH461" t="s">
        <v>74</v>
      </c>
      <c r="BI461">
        <v>6</v>
      </c>
      <c r="BJ461" t="s">
        <v>574</v>
      </c>
      <c r="BK461" t="s">
        <v>8799</v>
      </c>
      <c r="BL461" t="s">
        <v>574</v>
      </c>
      <c r="BM461" t="s">
        <v>8914</v>
      </c>
      <c r="BN461" t="s">
        <v>74</v>
      </c>
      <c r="BO461" t="s">
        <v>74</v>
      </c>
      <c r="BP461" t="s">
        <v>74</v>
      </c>
      <c r="BQ461" t="s">
        <v>74</v>
      </c>
      <c r="BR461" t="s">
        <v>104</v>
      </c>
      <c r="BS461" t="s">
        <v>8929</v>
      </c>
      <c r="BT461" t="str">
        <f>HYPERLINK("https%3A%2F%2Fwww.webofscience.com%2Fwos%2Fwoscc%2Ffull-record%2FWOS:000363263400057","View Full Record in Web of Science")</f>
        <v>View Full Record in Web of Science</v>
      </c>
    </row>
    <row r="462" spans="1:72" x14ac:dyDescent="0.15">
      <c r="A462" t="s">
        <v>8774</v>
      </c>
      <c r="B462" t="s">
        <v>8930</v>
      </c>
      <c r="C462" t="s">
        <v>74</v>
      </c>
      <c r="D462" t="s">
        <v>74</v>
      </c>
      <c r="E462" t="s">
        <v>8931</v>
      </c>
      <c r="F462" t="s">
        <v>8932</v>
      </c>
      <c r="G462" t="s">
        <v>74</v>
      </c>
      <c r="H462" t="s">
        <v>74</v>
      </c>
      <c r="I462" t="s">
        <v>8933</v>
      </c>
      <c r="J462" t="s">
        <v>8934</v>
      </c>
      <c r="K462" t="s">
        <v>74</v>
      </c>
      <c r="L462" t="s">
        <v>74</v>
      </c>
      <c r="M462" t="s">
        <v>78</v>
      </c>
      <c r="N462" t="s">
        <v>8781</v>
      </c>
      <c r="O462" t="s">
        <v>8935</v>
      </c>
      <c r="P462" t="s">
        <v>8936</v>
      </c>
      <c r="Q462" t="s">
        <v>8937</v>
      </c>
      <c r="R462" t="s">
        <v>74</v>
      </c>
      <c r="S462" t="s">
        <v>74</v>
      </c>
      <c r="T462" t="s">
        <v>8938</v>
      </c>
      <c r="U462" t="s">
        <v>74</v>
      </c>
      <c r="V462" t="s">
        <v>8939</v>
      </c>
      <c r="W462" t="s">
        <v>8940</v>
      </c>
      <c r="X462" t="s">
        <v>8941</v>
      </c>
      <c r="Y462" t="s">
        <v>8942</v>
      </c>
      <c r="Z462" t="s">
        <v>8943</v>
      </c>
      <c r="AA462" t="s">
        <v>74</v>
      </c>
      <c r="AB462" t="s">
        <v>8944</v>
      </c>
      <c r="AC462" t="s">
        <v>74</v>
      </c>
      <c r="AD462" t="s">
        <v>74</v>
      </c>
      <c r="AE462" t="s">
        <v>74</v>
      </c>
      <c r="AF462" t="s">
        <v>74</v>
      </c>
      <c r="AG462">
        <v>12</v>
      </c>
      <c r="AH462">
        <v>2</v>
      </c>
      <c r="AI462">
        <v>2</v>
      </c>
      <c r="AJ462">
        <v>0</v>
      </c>
      <c r="AK462">
        <v>2</v>
      </c>
      <c r="AL462" t="s">
        <v>8931</v>
      </c>
      <c r="AM462" t="s">
        <v>92</v>
      </c>
      <c r="AN462" t="s">
        <v>8945</v>
      </c>
      <c r="AO462" t="s">
        <v>74</v>
      </c>
      <c r="AP462" t="s">
        <v>74</v>
      </c>
      <c r="AQ462" t="s">
        <v>8946</v>
      </c>
      <c r="AR462" t="s">
        <v>74</v>
      </c>
      <c r="AS462" t="s">
        <v>74</v>
      </c>
      <c r="AT462" t="s">
        <v>74</v>
      </c>
      <c r="AU462">
        <v>2014</v>
      </c>
      <c r="AV462" t="s">
        <v>74</v>
      </c>
      <c r="AW462" t="s">
        <v>74</v>
      </c>
      <c r="AX462" t="s">
        <v>74</v>
      </c>
      <c r="AY462" t="s">
        <v>74</v>
      </c>
      <c r="AZ462" t="s">
        <v>74</v>
      </c>
      <c r="BA462" t="s">
        <v>74</v>
      </c>
      <c r="BB462">
        <v>1300</v>
      </c>
      <c r="BC462">
        <v>1305</v>
      </c>
      <c r="BD462" t="s">
        <v>74</v>
      </c>
      <c r="BE462" t="s">
        <v>74</v>
      </c>
      <c r="BF462" t="s">
        <v>74</v>
      </c>
      <c r="BG462" t="s">
        <v>74</v>
      </c>
      <c r="BH462" t="s">
        <v>74</v>
      </c>
      <c r="BI462">
        <v>6</v>
      </c>
      <c r="BJ462" t="s">
        <v>8947</v>
      </c>
      <c r="BK462" t="s">
        <v>8799</v>
      </c>
      <c r="BL462" t="s">
        <v>8948</v>
      </c>
      <c r="BM462" t="s">
        <v>8949</v>
      </c>
      <c r="BN462" t="s">
        <v>74</v>
      </c>
      <c r="BO462" t="s">
        <v>74</v>
      </c>
      <c r="BP462" t="s">
        <v>74</v>
      </c>
      <c r="BQ462" t="s">
        <v>74</v>
      </c>
      <c r="BR462" t="s">
        <v>104</v>
      </c>
      <c r="BS462" t="s">
        <v>8950</v>
      </c>
      <c r="BT462" t="str">
        <f>HYPERLINK("https%3A%2F%2Fwww.webofscience.com%2Fwos%2Fwoscc%2Ffull-record%2FWOS:000363815200234","View Full Record in Web of Science")</f>
        <v>View Full Record in Web of Science</v>
      </c>
    </row>
    <row r="463" spans="1:72" x14ac:dyDescent="0.15">
      <c r="A463" t="s">
        <v>8774</v>
      </c>
      <c r="B463" t="s">
        <v>8951</v>
      </c>
      <c r="C463" t="s">
        <v>74</v>
      </c>
      <c r="D463" t="s">
        <v>74</v>
      </c>
      <c r="E463" t="s">
        <v>8952</v>
      </c>
      <c r="F463" t="s">
        <v>8953</v>
      </c>
      <c r="G463" t="s">
        <v>74</v>
      </c>
      <c r="H463" t="s">
        <v>74</v>
      </c>
      <c r="I463" t="s">
        <v>8954</v>
      </c>
      <c r="J463" t="s">
        <v>8955</v>
      </c>
      <c r="K463" t="s">
        <v>74</v>
      </c>
      <c r="L463" t="s">
        <v>74</v>
      </c>
      <c r="M463" t="s">
        <v>78</v>
      </c>
      <c r="N463" t="s">
        <v>8781</v>
      </c>
      <c r="O463" t="s">
        <v>8956</v>
      </c>
      <c r="P463" t="s">
        <v>8957</v>
      </c>
      <c r="Q463" t="s">
        <v>8958</v>
      </c>
      <c r="R463" t="s">
        <v>74</v>
      </c>
      <c r="S463" t="s">
        <v>74</v>
      </c>
      <c r="T463" t="s">
        <v>74</v>
      </c>
      <c r="U463" t="s">
        <v>74</v>
      </c>
      <c r="V463" t="s">
        <v>8959</v>
      </c>
      <c r="W463" t="s">
        <v>8960</v>
      </c>
      <c r="X463" t="s">
        <v>8961</v>
      </c>
      <c r="Y463" t="s">
        <v>8962</v>
      </c>
      <c r="Z463" t="s">
        <v>74</v>
      </c>
      <c r="AA463" t="s">
        <v>74</v>
      </c>
      <c r="AB463" t="s">
        <v>74</v>
      </c>
      <c r="AC463" t="s">
        <v>74</v>
      </c>
      <c r="AD463" t="s">
        <v>74</v>
      </c>
      <c r="AE463" t="s">
        <v>74</v>
      </c>
      <c r="AF463" t="s">
        <v>74</v>
      </c>
      <c r="AG463">
        <v>9</v>
      </c>
      <c r="AH463">
        <v>0</v>
      </c>
      <c r="AI463">
        <v>0</v>
      </c>
      <c r="AJ463">
        <v>0</v>
      </c>
      <c r="AK463">
        <v>0</v>
      </c>
      <c r="AL463" t="s">
        <v>8963</v>
      </c>
      <c r="AM463" t="s">
        <v>92</v>
      </c>
      <c r="AN463" t="s">
        <v>8964</v>
      </c>
      <c r="AO463" t="s">
        <v>74</v>
      </c>
      <c r="AP463" t="s">
        <v>74</v>
      </c>
      <c r="AQ463" t="s">
        <v>8965</v>
      </c>
      <c r="AR463" t="s">
        <v>74</v>
      </c>
      <c r="AS463" t="s">
        <v>74</v>
      </c>
      <c r="AT463" t="s">
        <v>74</v>
      </c>
      <c r="AU463">
        <v>2014</v>
      </c>
      <c r="AV463" t="s">
        <v>74</v>
      </c>
      <c r="AW463" t="s">
        <v>74</v>
      </c>
      <c r="AX463" t="s">
        <v>74</v>
      </c>
      <c r="AY463" t="s">
        <v>74</v>
      </c>
      <c r="AZ463" t="s">
        <v>74</v>
      </c>
      <c r="BA463" t="s">
        <v>74</v>
      </c>
      <c r="BB463" t="s">
        <v>74</v>
      </c>
      <c r="BC463" t="s">
        <v>74</v>
      </c>
      <c r="BD463" t="s">
        <v>8966</v>
      </c>
      <c r="BE463" t="s">
        <v>74</v>
      </c>
      <c r="BF463" t="s">
        <v>74</v>
      </c>
      <c r="BG463" t="s">
        <v>74</v>
      </c>
      <c r="BH463" t="s">
        <v>74</v>
      </c>
      <c r="BI463">
        <v>8</v>
      </c>
      <c r="BJ463" t="s">
        <v>8967</v>
      </c>
      <c r="BK463" t="s">
        <v>8799</v>
      </c>
      <c r="BL463" t="s">
        <v>2757</v>
      </c>
      <c r="BM463" t="s">
        <v>8968</v>
      </c>
      <c r="BN463" t="s">
        <v>74</v>
      </c>
      <c r="BO463" t="s">
        <v>74</v>
      </c>
      <c r="BP463" t="s">
        <v>74</v>
      </c>
      <c r="BQ463" t="s">
        <v>74</v>
      </c>
      <c r="BR463" t="s">
        <v>104</v>
      </c>
      <c r="BS463" t="s">
        <v>8969</v>
      </c>
      <c r="BT463" t="str">
        <f>HYPERLINK("https%3A%2F%2Fwww.webofscience.com%2Fwos%2Fwoscc%2Ffull-record%2FWOS:000363499200007","View Full Record in Web of Science")</f>
        <v>View Full Record in Web of Science</v>
      </c>
    </row>
    <row r="464" spans="1:72" x14ac:dyDescent="0.15">
      <c r="A464" t="s">
        <v>8774</v>
      </c>
      <c r="B464" t="s">
        <v>8970</v>
      </c>
      <c r="C464" t="s">
        <v>74</v>
      </c>
      <c r="D464" t="s">
        <v>74</v>
      </c>
      <c r="E464" t="s">
        <v>8952</v>
      </c>
      <c r="F464" t="s">
        <v>8971</v>
      </c>
      <c r="G464" t="s">
        <v>74</v>
      </c>
      <c r="H464" t="s">
        <v>74</v>
      </c>
      <c r="I464" t="s">
        <v>8972</v>
      </c>
      <c r="J464" t="s">
        <v>8955</v>
      </c>
      <c r="K464" t="s">
        <v>74</v>
      </c>
      <c r="L464" t="s">
        <v>74</v>
      </c>
      <c r="M464" t="s">
        <v>78</v>
      </c>
      <c r="N464" t="s">
        <v>8781</v>
      </c>
      <c r="O464" t="s">
        <v>8956</v>
      </c>
      <c r="P464" t="s">
        <v>8957</v>
      </c>
      <c r="Q464" t="s">
        <v>8958</v>
      </c>
      <c r="R464" t="s">
        <v>74</v>
      </c>
      <c r="S464" t="s">
        <v>74</v>
      </c>
      <c r="T464" t="s">
        <v>74</v>
      </c>
      <c r="U464" t="s">
        <v>8973</v>
      </c>
      <c r="V464" t="s">
        <v>8974</v>
      </c>
      <c r="W464" t="s">
        <v>8975</v>
      </c>
      <c r="X464" t="s">
        <v>2743</v>
      </c>
      <c r="Y464" t="s">
        <v>8976</v>
      </c>
      <c r="Z464" t="s">
        <v>8977</v>
      </c>
      <c r="AA464" t="s">
        <v>2746</v>
      </c>
      <c r="AB464" t="s">
        <v>2747</v>
      </c>
      <c r="AC464" t="s">
        <v>74</v>
      </c>
      <c r="AD464" t="s">
        <v>74</v>
      </c>
      <c r="AE464" t="s">
        <v>74</v>
      </c>
      <c r="AF464" t="s">
        <v>74</v>
      </c>
      <c r="AG464">
        <v>21</v>
      </c>
      <c r="AH464">
        <v>0</v>
      </c>
      <c r="AI464">
        <v>0</v>
      </c>
      <c r="AJ464">
        <v>0</v>
      </c>
      <c r="AK464">
        <v>0</v>
      </c>
      <c r="AL464" t="s">
        <v>8963</v>
      </c>
      <c r="AM464" t="s">
        <v>92</v>
      </c>
      <c r="AN464" t="s">
        <v>8964</v>
      </c>
      <c r="AO464" t="s">
        <v>74</v>
      </c>
      <c r="AP464" t="s">
        <v>74</v>
      </c>
      <c r="AQ464" t="s">
        <v>8965</v>
      </c>
      <c r="AR464" t="s">
        <v>74</v>
      </c>
      <c r="AS464" t="s">
        <v>74</v>
      </c>
      <c r="AT464" t="s">
        <v>74</v>
      </c>
      <c r="AU464">
        <v>2014</v>
      </c>
      <c r="AV464" t="s">
        <v>74</v>
      </c>
      <c r="AW464" t="s">
        <v>74</v>
      </c>
      <c r="AX464" t="s">
        <v>74</v>
      </c>
      <c r="AY464" t="s">
        <v>74</v>
      </c>
      <c r="AZ464" t="s">
        <v>74</v>
      </c>
      <c r="BA464" t="s">
        <v>74</v>
      </c>
      <c r="BB464" t="s">
        <v>74</v>
      </c>
      <c r="BC464" t="s">
        <v>74</v>
      </c>
      <c r="BD464" t="s">
        <v>8978</v>
      </c>
      <c r="BE464" t="s">
        <v>74</v>
      </c>
      <c r="BF464" t="s">
        <v>74</v>
      </c>
      <c r="BG464" t="s">
        <v>74</v>
      </c>
      <c r="BH464" t="s">
        <v>74</v>
      </c>
      <c r="BI464">
        <v>5</v>
      </c>
      <c r="BJ464" t="s">
        <v>8967</v>
      </c>
      <c r="BK464" t="s">
        <v>8799</v>
      </c>
      <c r="BL464" t="s">
        <v>2757</v>
      </c>
      <c r="BM464" t="s">
        <v>8968</v>
      </c>
      <c r="BN464" t="s">
        <v>74</v>
      </c>
      <c r="BO464" t="s">
        <v>74</v>
      </c>
      <c r="BP464" t="s">
        <v>74</v>
      </c>
      <c r="BQ464" t="s">
        <v>74</v>
      </c>
      <c r="BR464" t="s">
        <v>104</v>
      </c>
      <c r="BS464" t="s">
        <v>8979</v>
      </c>
      <c r="BT464" t="str">
        <f>HYPERLINK("https%3A%2F%2Fwww.webofscience.com%2Fwos%2Fwoscc%2Ffull-record%2FWOS:000363499200002","View Full Record in Web of Science")</f>
        <v>View Full Record in Web of Science</v>
      </c>
    </row>
    <row r="465" spans="1:72" x14ac:dyDescent="0.15">
      <c r="A465" t="s">
        <v>8803</v>
      </c>
      <c r="B465" t="s">
        <v>8980</v>
      </c>
      <c r="C465" t="s">
        <v>74</v>
      </c>
      <c r="D465" t="s">
        <v>8981</v>
      </c>
      <c r="E465" t="s">
        <v>74</v>
      </c>
      <c r="F465" t="s">
        <v>8982</v>
      </c>
      <c r="G465" t="s">
        <v>74</v>
      </c>
      <c r="H465" t="s">
        <v>74</v>
      </c>
      <c r="I465" t="s">
        <v>8983</v>
      </c>
      <c r="J465" t="s">
        <v>8984</v>
      </c>
      <c r="K465" t="s">
        <v>74</v>
      </c>
      <c r="L465" t="s">
        <v>74</v>
      </c>
      <c r="M465" t="s">
        <v>78</v>
      </c>
      <c r="N465" t="s">
        <v>8809</v>
      </c>
      <c r="O465" t="s">
        <v>74</v>
      </c>
      <c r="P465" t="s">
        <v>74</v>
      </c>
      <c r="Q465" t="s">
        <v>74</v>
      </c>
      <c r="R465" t="s">
        <v>74</v>
      </c>
      <c r="S465" t="s">
        <v>74</v>
      </c>
      <c r="T465" t="s">
        <v>8985</v>
      </c>
      <c r="U465" t="s">
        <v>8986</v>
      </c>
      <c r="V465" t="s">
        <v>8987</v>
      </c>
      <c r="W465" t="s">
        <v>8988</v>
      </c>
      <c r="X465" t="s">
        <v>8989</v>
      </c>
      <c r="Y465" t="s">
        <v>8990</v>
      </c>
      <c r="Z465" t="s">
        <v>8991</v>
      </c>
      <c r="AA465" t="s">
        <v>74</v>
      </c>
      <c r="AB465" t="s">
        <v>74</v>
      </c>
      <c r="AC465" t="s">
        <v>74</v>
      </c>
      <c r="AD465" t="s">
        <v>74</v>
      </c>
      <c r="AE465" t="s">
        <v>74</v>
      </c>
      <c r="AF465" t="s">
        <v>74</v>
      </c>
      <c r="AG465">
        <v>55</v>
      </c>
      <c r="AH465">
        <v>4</v>
      </c>
      <c r="AI465">
        <v>4</v>
      </c>
      <c r="AJ465">
        <v>0</v>
      </c>
      <c r="AK465">
        <v>10</v>
      </c>
      <c r="AL465" t="s">
        <v>8992</v>
      </c>
      <c r="AM465" t="s">
        <v>8993</v>
      </c>
      <c r="AN465" t="s">
        <v>8994</v>
      </c>
      <c r="AO465" t="s">
        <v>74</v>
      </c>
      <c r="AP465" t="s">
        <v>74</v>
      </c>
      <c r="AQ465" t="s">
        <v>8995</v>
      </c>
      <c r="AR465" t="s">
        <v>74</v>
      </c>
      <c r="AS465" t="s">
        <v>74</v>
      </c>
      <c r="AT465" t="s">
        <v>74</v>
      </c>
      <c r="AU465">
        <v>2014</v>
      </c>
      <c r="AV465" t="s">
        <v>74</v>
      </c>
      <c r="AW465" t="s">
        <v>74</v>
      </c>
      <c r="AX465" t="s">
        <v>74</v>
      </c>
      <c r="AY465" t="s">
        <v>74</v>
      </c>
      <c r="AZ465" t="s">
        <v>74</v>
      </c>
      <c r="BA465" t="s">
        <v>74</v>
      </c>
      <c r="BB465">
        <v>301</v>
      </c>
      <c r="BC465">
        <v>316</v>
      </c>
      <c r="BD465" t="s">
        <v>74</v>
      </c>
      <c r="BE465" t="s">
        <v>74</v>
      </c>
      <c r="BF465" t="s">
        <v>74</v>
      </c>
      <c r="BG465" t="s">
        <v>8996</v>
      </c>
      <c r="BH465" t="s">
        <v>74</v>
      </c>
      <c r="BI465">
        <v>16</v>
      </c>
      <c r="BJ465" t="s">
        <v>8997</v>
      </c>
      <c r="BK465" t="s">
        <v>8850</v>
      </c>
      <c r="BL465" t="s">
        <v>8998</v>
      </c>
      <c r="BM465" t="s">
        <v>8999</v>
      </c>
      <c r="BN465" t="s">
        <v>74</v>
      </c>
      <c r="BO465" t="s">
        <v>74</v>
      </c>
      <c r="BP465" t="s">
        <v>74</v>
      </c>
      <c r="BQ465" t="s">
        <v>74</v>
      </c>
      <c r="BR465" t="s">
        <v>104</v>
      </c>
      <c r="BS465" t="s">
        <v>9000</v>
      </c>
      <c r="BT465" t="str">
        <f>HYPERLINK("https%3A%2F%2Fwww.webofscience.com%2Fwos%2Fwoscc%2Ffull-record%2FWOS:000362910100025","View Full Record in Web of Science")</f>
        <v>View Full Record in Web of Science</v>
      </c>
    </row>
    <row r="466" spans="1:72" x14ac:dyDescent="0.15">
      <c r="A466" t="s">
        <v>8774</v>
      </c>
      <c r="B466" t="s">
        <v>9001</v>
      </c>
      <c r="C466" t="s">
        <v>74</v>
      </c>
      <c r="D466" t="s">
        <v>9002</v>
      </c>
      <c r="E466" t="s">
        <v>74</v>
      </c>
      <c r="F466" t="s">
        <v>9003</v>
      </c>
      <c r="G466" t="s">
        <v>74</v>
      </c>
      <c r="H466" t="s">
        <v>74</v>
      </c>
      <c r="I466" t="s">
        <v>9004</v>
      </c>
      <c r="J466" t="s">
        <v>9005</v>
      </c>
      <c r="K466" t="s">
        <v>9006</v>
      </c>
      <c r="L466" t="s">
        <v>74</v>
      </c>
      <c r="M466" t="s">
        <v>78</v>
      </c>
      <c r="N466" t="s">
        <v>8781</v>
      </c>
      <c r="O466" t="s">
        <v>9007</v>
      </c>
      <c r="P466" t="s">
        <v>9008</v>
      </c>
      <c r="Q466" t="s">
        <v>9009</v>
      </c>
      <c r="R466" t="s">
        <v>74</v>
      </c>
      <c r="S466" t="s">
        <v>74</v>
      </c>
      <c r="T466" t="s">
        <v>9010</v>
      </c>
      <c r="U466" t="s">
        <v>74</v>
      </c>
      <c r="V466" t="s">
        <v>9011</v>
      </c>
      <c r="W466" t="s">
        <v>9012</v>
      </c>
      <c r="X466" t="s">
        <v>9013</v>
      </c>
      <c r="Y466" t="s">
        <v>9014</v>
      </c>
      <c r="Z466" t="s">
        <v>74</v>
      </c>
      <c r="AA466" t="s">
        <v>74</v>
      </c>
      <c r="AB466" t="s">
        <v>74</v>
      </c>
      <c r="AC466" t="s">
        <v>74</v>
      </c>
      <c r="AD466" t="s">
        <v>74</v>
      </c>
      <c r="AE466" t="s">
        <v>74</v>
      </c>
      <c r="AF466" t="s">
        <v>74</v>
      </c>
      <c r="AG466">
        <v>9</v>
      </c>
      <c r="AH466">
        <v>21</v>
      </c>
      <c r="AI466">
        <v>24</v>
      </c>
      <c r="AJ466">
        <v>2</v>
      </c>
      <c r="AK466">
        <v>23</v>
      </c>
      <c r="AL466" t="s">
        <v>902</v>
      </c>
      <c r="AM466" t="s">
        <v>653</v>
      </c>
      <c r="AN466" t="s">
        <v>9015</v>
      </c>
      <c r="AO466" t="s">
        <v>9016</v>
      </c>
      <c r="AP466" t="s">
        <v>74</v>
      </c>
      <c r="AQ466" t="s">
        <v>74</v>
      </c>
      <c r="AR466" t="s">
        <v>9017</v>
      </c>
      <c r="AS466" t="s">
        <v>74</v>
      </c>
      <c r="AT466" t="s">
        <v>74</v>
      </c>
      <c r="AU466">
        <v>2014</v>
      </c>
      <c r="AV466">
        <v>32</v>
      </c>
      <c r="AW466" t="s">
        <v>74</v>
      </c>
      <c r="AX466" t="s">
        <v>74</v>
      </c>
      <c r="AY466" t="s">
        <v>74</v>
      </c>
      <c r="AZ466" t="s">
        <v>74</v>
      </c>
      <c r="BA466" t="s">
        <v>74</v>
      </c>
      <c r="BB466">
        <v>731</v>
      </c>
      <c r="BC466">
        <v>737</v>
      </c>
      <c r="BD466" t="s">
        <v>74</v>
      </c>
      <c r="BE466" t="s">
        <v>9018</v>
      </c>
      <c r="BF466" t="str">
        <f>HYPERLINK("http://dx.doi.org/10.1016/j.procs.2014.05.483","http://dx.doi.org/10.1016/j.procs.2014.05.483")</f>
        <v>http://dx.doi.org/10.1016/j.procs.2014.05.483</v>
      </c>
      <c r="BG466" t="s">
        <v>74</v>
      </c>
      <c r="BH466" t="s">
        <v>74</v>
      </c>
      <c r="BI466">
        <v>7</v>
      </c>
      <c r="BJ466" t="s">
        <v>9019</v>
      </c>
      <c r="BK466" t="s">
        <v>8799</v>
      </c>
      <c r="BL466" t="s">
        <v>9020</v>
      </c>
      <c r="BM466" t="s">
        <v>9021</v>
      </c>
      <c r="BN466" t="s">
        <v>74</v>
      </c>
      <c r="BO466" t="s">
        <v>4013</v>
      </c>
      <c r="BP466" t="s">
        <v>74</v>
      </c>
      <c r="BQ466" t="s">
        <v>74</v>
      </c>
      <c r="BR466" t="s">
        <v>104</v>
      </c>
      <c r="BS466" t="s">
        <v>9022</v>
      </c>
      <c r="BT466" t="str">
        <f>HYPERLINK("https%3A%2F%2Fwww.webofscience.com%2Fwos%2Fwoscc%2Ffull-record%2FWOS:000361562600090","View Full Record in Web of Science")</f>
        <v>View Full Record in Web of Science</v>
      </c>
    </row>
    <row r="467" spans="1:72" x14ac:dyDescent="0.15">
      <c r="A467" t="s">
        <v>8774</v>
      </c>
      <c r="B467" t="s">
        <v>9023</v>
      </c>
      <c r="C467" t="s">
        <v>74</v>
      </c>
      <c r="D467" t="s">
        <v>9024</v>
      </c>
      <c r="E467" t="s">
        <v>74</v>
      </c>
      <c r="F467" t="s">
        <v>9025</v>
      </c>
      <c r="G467" t="s">
        <v>74</v>
      </c>
      <c r="H467" t="s">
        <v>74</v>
      </c>
      <c r="I467" t="s">
        <v>9026</v>
      </c>
      <c r="J467" t="s">
        <v>9027</v>
      </c>
      <c r="K467" t="s">
        <v>74</v>
      </c>
      <c r="L467" t="s">
        <v>74</v>
      </c>
      <c r="M467" t="s">
        <v>78</v>
      </c>
      <c r="N467" t="s">
        <v>8781</v>
      </c>
      <c r="O467" t="s">
        <v>9028</v>
      </c>
      <c r="P467" t="s">
        <v>9029</v>
      </c>
      <c r="Q467" t="s">
        <v>9030</v>
      </c>
      <c r="R467" t="s">
        <v>74</v>
      </c>
      <c r="S467" t="s">
        <v>74</v>
      </c>
      <c r="T467" t="s">
        <v>9031</v>
      </c>
      <c r="U467" t="s">
        <v>9032</v>
      </c>
      <c r="V467" t="s">
        <v>9033</v>
      </c>
      <c r="W467" t="s">
        <v>9034</v>
      </c>
      <c r="X467" t="s">
        <v>9035</v>
      </c>
      <c r="Y467" t="s">
        <v>9036</v>
      </c>
      <c r="Z467" t="s">
        <v>9037</v>
      </c>
      <c r="AA467" t="s">
        <v>9038</v>
      </c>
      <c r="AB467" t="s">
        <v>2593</v>
      </c>
      <c r="AC467" t="s">
        <v>74</v>
      </c>
      <c r="AD467" t="s">
        <v>74</v>
      </c>
      <c r="AE467" t="s">
        <v>74</v>
      </c>
      <c r="AF467" t="s">
        <v>74</v>
      </c>
      <c r="AG467">
        <v>6</v>
      </c>
      <c r="AH467">
        <v>2</v>
      </c>
      <c r="AI467">
        <v>2</v>
      </c>
      <c r="AJ467">
        <v>0</v>
      </c>
      <c r="AK467">
        <v>2</v>
      </c>
      <c r="AL467" t="s">
        <v>8931</v>
      </c>
      <c r="AM467" t="s">
        <v>92</v>
      </c>
      <c r="AN467" t="s">
        <v>8945</v>
      </c>
      <c r="AO467" t="s">
        <v>74</v>
      </c>
      <c r="AP467" t="s">
        <v>74</v>
      </c>
      <c r="AQ467" t="s">
        <v>9039</v>
      </c>
      <c r="AR467" t="s">
        <v>74</v>
      </c>
      <c r="AS467" t="s">
        <v>74</v>
      </c>
      <c r="AT467" t="s">
        <v>74</v>
      </c>
      <c r="AU467">
        <v>2014</v>
      </c>
      <c r="AV467" t="s">
        <v>74</v>
      </c>
      <c r="AW467" t="s">
        <v>74</v>
      </c>
      <c r="AX467" t="s">
        <v>74</v>
      </c>
      <c r="AY467" t="s">
        <v>74</v>
      </c>
      <c r="AZ467" t="s">
        <v>74</v>
      </c>
      <c r="BA467" t="s">
        <v>74</v>
      </c>
      <c r="BB467">
        <v>719</v>
      </c>
      <c r="BC467">
        <v>722</v>
      </c>
      <c r="BD467" t="s">
        <v>74</v>
      </c>
      <c r="BE467" t="s">
        <v>74</v>
      </c>
      <c r="BF467" t="s">
        <v>74</v>
      </c>
      <c r="BG467" t="s">
        <v>74</v>
      </c>
      <c r="BH467" t="s">
        <v>74</v>
      </c>
      <c r="BI467">
        <v>4</v>
      </c>
      <c r="BJ467" t="s">
        <v>9040</v>
      </c>
      <c r="BK467" t="s">
        <v>8799</v>
      </c>
      <c r="BL467" t="s">
        <v>9041</v>
      </c>
      <c r="BM467" t="s">
        <v>9042</v>
      </c>
      <c r="BN467" t="s">
        <v>74</v>
      </c>
      <c r="BO467" t="s">
        <v>74</v>
      </c>
      <c r="BP467" t="s">
        <v>74</v>
      </c>
      <c r="BQ467" t="s">
        <v>74</v>
      </c>
      <c r="BR467" t="s">
        <v>104</v>
      </c>
      <c r="BS467" t="s">
        <v>9043</v>
      </c>
      <c r="BT467" t="str">
        <f>HYPERLINK("https%3A%2F%2Fwww.webofscience.com%2Fwos%2Fwoscc%2Ffull-record%2FWOS:000361002500139","View Full Record in Web of Science")</f>
        <v>View Full Record in Web of Science</v>
      </c>
    </row>
    <row r="468" spans="1:72" x14ac:dyDescent="0.15">
      <c r="A468" t="s">
        <v>8774</v>
      </c>
      <c r="B468" t="s">
        <v>9044</v>
      </c>
      <c r="C468" t="s">
        <v>74</v>
      </c>
      <c r="D468" t="s">
        <v>9045</v>
      </c>
      <c r="E468" t="s">
        <v>74</v>
      </c>
      <c r="F468" t="s">
        <v>9046</v>
      </c>
      <c r="G468" t="s">
        <v>74</v>
      </c>
      <c r="H468" t="s">
        <v>74</v>
      </c>
      <c r="I468" t="s">
        <v>9047</v>
      </c>
      <c r="J468" t="s">
        <v>9048</v>
      </c>
      <c r="K468" t="s">
        <v>9049</v>
      </c>
      <c r="L468" t="s">
        <v>74</v>
      </c>
      <c r="M468" t="s">
        <v>78</v>
      </c>
      <c r="N468" t="s">
        <v>8781</v>
      </c>
      <c r="O468" t="s">
        <v>9050</v>
      </c>
      <c r="P468" t="s">
        <v>9051</v>
      </c>
      <c r="Q468" t="s">
        <v>9052</v>
      </c>
      <c r="R468" t="s">
        <v>74</v>
      </c>
      <c r="S468" t="s">
        <v>74</v>
      </c>
      <c r="T468" t="s">
        <v>9053</v>
      </c>
      <c r="U468" t="s">
        <v>74</v>
      </c>
      <c r="V468" t="s">
        <v>9054</v>
      </c>
      <c r="W468" t="s">
        <v>9055</v>
      </c>
      <c r="X468" t="s">
        <v>9056</v>
      </c>
      <c r="Y468" t="s">
        <v>9057</v>
      </c>
      <c r="Z468" t="s">
        <v>74</v>
      </c>
      <c r="AA468" t="s">
        <v>9058</v>
      </c>
      <c r="AB468" t="s">
        <v>74</v>
      </c>
      <c r="AC468" t="s">
        <v>74</v>
      </c>
      <c r="AD468" t="s">
        <v>74</v>
      </c>
      <c r="AE468" t="s">
        <v>74</v>
      </c>
      <c r="AF468" t="s">
        <v>74</v>
      </c>
      <c r="AG468">
        <v>3</v>
      </c>
      <c r="AH468">
        <v>0</v>
      </c>
      <c r="AI468">
        <v>0</v>
      </c>
      <c r="AJ468">
        <v>1</v>
      </c>
      <c r="AK468">
        <v>11</v>
      </c>
      <c r="AL468" t="s">
        <v>9059</v>
      </c>
      <c r="AM468" t="s">
        <v>8092</v>
      </c>
      <c r="AN468" t="s">
        <v>9060</v>
      </c>
      <c r="AO468" t="s">
        <v>9061</v>
      </c>
      <c r="AP468" t="s">
        <v>74</v>
      </c>
      <c r="AQ468" t="s">
        <v>9062</v>
      </c>
      <c r="AR468" t="s">
        <v>9063</v>
      </c>
      <c r="AS468" t="s">
        <v>74</v>
      </c>
      <c r="AT468" t="s">
        <v>74</v>
      </c>
      <c r="AU468">
        <v>2014</v>
      </c>
      <c r="AV468">
        <v>9241</v>
      </c>
      <c r="AW468" t="s">
        <v>74</v>
      </c>
      <c r="AX468" t="s">
        <v>74</v>
      </c>
      <c r="AY468" t="s">
        <v>74</v>
      </c>
      <c r="AZ468" t="s">
        <v>74</v>
      </c>
      <c r="BA468" t="s">
        <v>74</v>
      </c>
      <c r="BB468" t="s">
        <v>74</v>
      </c>
      <c r="BC468" t="s">
        <v>74</v>
      </c>
      <c r="BD468">
        <v>924108</v>
      </c>
      <c r="BE468" t="s">
        <v>9064</v>
      </c>
      <c r="BF468" t="str">
        <f>HYPERLINK("http://dx.doi.org/10.1117/12.2071964","http://dx.doi.org/10.1117/12.2071964")</f>
        <v>http://dx.doi.org/10.1117/12.2071964</v>
      </c>
      <c r="BG468" t="s">
        <v>74</v>
      </c>
      <c r="BH468" t="s">
        <v>74</v>
      </c>
      <c r="BI468">
        <v>8</v>
      </c>
      <c r="BJ468" t="s">
        <v>9065</v>
      </c>
      <c r="BK468" t="s">
        <v>8799</v>
      </c>
      <c r="BL468" t="s">
        <v>9066</v>
      </c>
      <c r="BM468" t="s">
        <v>9067</v>
      </c>
      <c r="BN468" t="s">
        <v>74</v>
      </c>
      <c r="BO468" t="s">
        <v>74</v>
      </c>
      <c r="BP468" t="s">
        <v>74</v>
      </c>
      <c r="BQ468" t="s">
        <v>74</v>
      </c>
      <c r="BR468" t="s">
        <v>104</v>
      </c>
      <c r="BS468" t="s">
        <v>9068</v>
      </c>
      <c r="BT468" t="str">
        <f>HYPERLINK("https%3A%2F%2Fwww.webofscience.com%2Fwos%2Fwoscc%2Ffull-record%2FWOS:000361006200007","View Full Record in Web of Science")</f>
        <v>View Full Record in Web of Science</v>
      </c>
    </row>
    <row r="469" spans="1:72" x14ac:dyDescent="0.15">
      <c r="A469" t="s">
        <v>8774</v>
      </c>
      <c r="B469" t="s">
        <v>9069</v>
      </c>
      <c r="C469" t="s">
        <v>74</v>
      </c>
      <c r="D469" t="s">
        <v>74</v>
      </c>
      <c r="E469" t="s">
        <v>8931</v>
      </c>
      <c r="F469" t="s">
        <v>9070</v>
      </c>
      <c r="G469" t="s">
        <v>74</v>
      </c>
      <c r="H469" t="s">
        <v>74</v>
      </c>
      <c r="I469" t="s">
        <v>9071</v>
      </c>
      <c r="J469" t="s">
        <v>9072</v>
      </c>
      <c r="K469" t="s">
        <v>9073</v>
      </c>
      <c r="L469" t="s">
        <v>74</v>
      </c>
      <c r="M469" t="s">
        <v>78</v>
      </c>
      <c r="N469" t="s">
        <v>8781</v>
      </c>
      <c r="O469" t="s">
        <v>9074</v>
      </c>
      <c r="P469" t="s">
        <v>9075</v>
      </c>
      <c r="Q469" t="s">
        <v>9076</v>
      </c>
      <c r="R469" t="s">
        <v>74</v>
      </c>
      <c r="S469" t="s">
        <v>74</v>
      </c>
      <c r="T469" t="s">
        <v>9077</v>
      </c>
      <c r="U469" t="s">
        <v>9078</v>
      </c>
      <c r="V469" t="s">
        <v>9079</v>
      </c>
      <c r="W469" t="s">
        <v>9080</v>
      </c>
      <c r="X469" t="s">
        <v>9081</v>
      </c>
      <c r="Y469" t="s">
        <v>9082</v>
      </c>
      <c r="Z469" t="s">
        <v>9083</v>
      </c>
      <c r="AA469" t="s">
        <v>9084</v>
      </c>
      <c r="AB469" t="s">
        <v>9085</v>
      </c>
      <c r="AC469" t="s">
        <v>74</v>
      </c>
      <c r="AD469" t="s">
        <v>74</v>
      </c>
      <c r="AE469" t="s">
        <v>74</v>
      </c>
      <c r="AF469" t="s">
        <v>74</v>
      </c>
      <c r="AG469">
        <v>31</v>
      </c>
      <c r="AH469">
        <v>9</v>
      </c>
      <c r="AI469">
        <v>9</v>
      </c>
      <c r="AJ469">
        <v>0</v>
      </c>
      <c r="AK469">
        <v>7</v>
      </c>
      <c r="AL469" t="s">
        <v>8931</v>
      </c>
      <c r="AM469" t="s">
        <v>92</v>
      </c>
      <c r="AN469" t="s">
        <v>8945</v>
      </c>
      <c r="AO469" t="s">
        <v>9086</v>
      </c>
      <c r="AP469" t="s">
        <v>74</v>
      </c>
      <c r="AQ469" t="s">
        <v>9087</v>
      </c>
      <c r="AR469" t="s">
        <v>9088</v>
      </c>
      <c r="AS469" t="s">
        <v>74</v>
      </c>
      <c r="AT469" t="s">
        <v>74</v>
      </c>
      <c r="AU469">
        <v>2014</v>
      </c>
      <c r="AV469" t="s">
        <v>74</v>
      </c>
      <c r="AW469" t="s">
        <v>74</v>
      </c>
      <c r="AX469" t="s">
        <v>74</v>
      </c>
      <c r="AY469" t="s">
        <v>74</v>
      </c>
      <c r="AZ469" t="s">
        <v>74</v>
      </c>
      <c r="BA469" t="s">
        <v>74</v>
      </c>
      <c r="BB469">
        <v>959</v>
      </c>
      <c r="BC469">
        <v>975</v>
      </c>
      <c r="BD469" t="s">
        <v>74</v>
      </c>
      <c r="BE469" t="s">
        <v>74</v>
      </c>
      <c r="BF469" t="s">
        <v>74</v>
      </c>
      <c r="BG469" t="s">
        <v>74</v>
      </c>
      <c r="BH469" t="s">
        <v>74</v>
      </c>
      <c r="BI469">
        <v>17</v>
      </c>
      <c r="BJ469" t="s">
        <v>9089</v>
      </c>
      <c r="BK469" t="s">
        <v>8799</v>
      </c>
      <c r="BL469" t="s">
        <v>9090</v>
      </c>
      <c r="BM469" t="s">
        <v>9091</v>
      </c>
      <c r="BN469" t="s">
        <v>74</v>
      </c>
      <c r="BO469" t="s">
        <v>74</v>
      </c>
      <c r="BP469" t="s">
        <v>74</v>
      </c>
      <c r="BQ469" t="s">
        <v>74</v>
      </c>
      <c r="BR469" t="s">
        <v>104</v>
      </c>
      <c r="BS469" t="s">
        <v>9092</v>
      </c>
      <c r="BT469" t="str">
        <f>HYPERLINK("https%3A%2F%2Fwww.webofscience.com%2Fwos%2Fwoscc%2Ffull-record%2FWOS:000359380700109","View Full Record in Web of Science")</f>
        <v>View Full Record in Web of Science</v>
      </c>
    </row>
    <row r="470" spans="1:72" x14ac:dyDescent="0.15">
      <c r="A470" t="s">
        <v>8774</v>
      </c>
      <c r="B470" t="s">
        <v>9093</v>
      </c>
      <c r="C470" t="s">
        <v>74</v>
      </c>
      <c r="D470" t="s">
        <v>9094</v>
      </c>
      <c r="E470" t="s">
        <v>74</v>
      </c>
      <c r="F470" t="s">
        <v>9095</v>
      </c>
      <c r="G470" t="s">
        <v>74</v>
      </c>
      <c r="H470" t="s">
        <v>74</v>
      </c>
      <c r="I470" t="s">
        <v>9096</v>
      </c>
      <c r="J470" t="s">
        <v>9097</v>
      </c>
      <c r="K470" t="s">
        <v>9098</v>
      </c>
      <c r="L470" t="s">
        <v>74</v>
      </c>
      <c r="M470" t="s">
        <v>78</v>
      </c>
      <c r="N470" t="s">
        <v>8781</v>
      </c>
      <c r="O470" t="s">
        <v>9099</v>
      </c>
      <c r="P470" t="s">
        <v>9100</v>
      </c>
      <c r="Q470" t="s">
        <v>9101</v>
      </c>
      <c r="R470" t="s">
        <v>74</v>
      </c>
      <c r="S470" t="s">
        <v>74</v>
      </c>
      <c r="T470" t="s">
        <v>9102</v>
      </c>
      <c r="U470" t="s">
        <v>74</v>
      </c>
      <c r="V470" t="s">
        <v>9103</v>
      </c>
      <c r="W470" t="s">
        <v>9104</v>
      </c>
      <c r="X470" t="s">
        <v>1922</v>
      </c>
      <c r="Y470" t="s">
        <v>9105</v>
      </c>
      <c r="Z470" t="s">
        <v>9106</v>
      </c>
      <c r="AA470" t="s">
        <v>9107</v>
      </c>
      <c r="AB470" t="s">
        <v>74</v>
      </c>
      <c r="AC470" t="s">
        <v>74</v>
      </c>
      <c r="AD470" t="s">
        <v>74</v>
      </c>
      <c r="AE470" t="s">
        <v>74</v>
      </c>
      <c r="AF470" t="s">
        <v>74</v>
      </c>
      <c r="AG470">
        <v>3</v>
      </c>
      <c r="AH470">
        <v>0</v>
      </c>
      <c r="AI470">
        <v>0</v>
      </c>
      <c r="AJ470">
        <v>0</v>
      </c>
      <c r="AK470">
        <v>1</v>
      </c>
      <c r="AL470" t="s">
        <v>9108</v>
      </c>
      <c r="AM470" t="s">
        <v>7774</v>
      </c>
      <c r="AN470" t="s">
        <v>7775</v>
      </c>
      <c r="AO470" t="s">
        <v>9109</v>
      </c>
      <c r="AP470" t="s">
        <v>74</v>
      </c>
      <c r="AQ470" t="s">
        <v>9110</v>
      </c>
      <c r="AR470" t="s">
        <v>9111</v>
      </c>
      <c r="AS470" t="s">
        <v>74</v>
      </c>
      <c r="AT470" t="s">
        <v>74</v>
      </c>
      <c r="AU470">
        <v>2014</v>
      </c>
      <c r="AV470" t="s">
        <v>74</v>
      </c>
      <c r="AW470" t="s">
        <v>74</v>
      </c>
      <c r="AX470" t="s">
        <v>74</v>
      </c>
      <c r="AY470" t="s">
        <v>74</v>
      </c>
      <c r="AZ470" t="s">
        <v>74</v>
      </c>
      <c r="BA470" t="s">
        <v>74</v>
      </c>
      <c r="BB470">
        <v>763</v>
      </c>
      <c r="BC470">
        <v>766</v>
      </c>
      <c r="BD470" t="s">
        <v>74</v>
      </c>
      <c r="BE470" t="s">
        <v>9112</v>
      </c>
      <c r="BF470" t="str">
        <f>HYPERLINK("http://dx.doi.org/10.1007/978-3-319-04364-7_144","http://dx.doi.org/10.1007/978-3-319-04364-7_144")</f>
        <v>http://dx.doi.org/10.1007/978-3-319-04364-7_144</v>
      </c>
      <c r="BG470" t="s">
        <v>74</v>
      </c>
      <c r="BH470" t="s">
        <v>74</v>
      </c>
      <c r="BI470">
        <v>4</v>
      </c>
      <c r="BJ470" t="s">
        <v>952</v>
      </c>
      <c r="BK470" t="s">
        <v>8799</v>
      </c>
      <c r="BL470" t="s">
        <v>597</v>
      </c>
      <c r="BM470" t="s">
        <v>9113</v>
      </c>
      <c r="BN470" t="s">
        <v>74</v>
      </c>
      <c r="BO470" t="s">
        <v>74</v>
      </c>
      <c r="BP470" t="s">
        <v>74</v>
      </c>
      <c r="BQ470" t="s">
        <v>74</v>
      </c>
      <c r="BR470" t="s">
        <v>104</v>
      </c>
      <c r="BS470" t="s">
        <v>9114</v>
      </c>
      <c r="BT470" t="str">
        <f>HYPERLINK("https%3A%2F%2Fwww.webofscience.com%2Fwos%2Fwoscc%2Ffull-record%2FWOS:000359019400144","View Full Record in Web of Science")</f>
        <v>View Full Record in Web of Science</v>
      </c>
    </row>
    <row r="471" spans="1:72" x14ac:dyDescent="0.15">
      <c r="A471" t="s">
        <v>8774</v>
      </c>
      <c r="B471" t="s">
        <v>9115</v>
      </c>
      <c r="C471" t="s">
        <v>74</v>
      </c>
      <c r="D471" t="s">
        <v>9094</v>
      </c>
      <c r="E471" t="s">
        <v>74</v>
      </c>
      <c r="F471" t="s">
        <v>9116</v>
      </c>
      <c r="G471" t="s">
        <v>74</v>
      </c>
      <c r="H471" t="s">
        <v>74</v>
      </c>
      <c r="I471" t="s">
        <v>9117</v>
      </c>
      <c r="J471" t="s">
        <v>9097</v>
      </c>
      <c r="K471" t="s">
        <v>9098</v>
      </c>
      <c r="L471" t="s">
        <v>74</v>
      </c>
      <c r="M471" t="s">
        <v>78</v>
      </c>
      <c r="N471" t="s">
        <v>8781</v>
      </c>
      <c r="O471" t="s">
        <v>9099</v>
      </c>
      <c r="P471" t="s">
        <v>9100</v>
      </c>
      <c r="Q471" t="s">
        <v>9101</v>
      </c>
      <c r="R471" t="s">
        <v>74</v>
      </c>
      <c r="S471" t="s">
        <v>74</v>
      </c>
      <c r="T471" t="s">
        <v>9118</v>
      </c>
      <c r="U471" t="s">
        <v>74</v>
      </c>
      <c r="V471" t="s">
        <v>9119</v>
      </c>
      <c r="W471" t="s">
        <v>9120</v>
      </c>
      <c r="X471" t="s">
        <v>9121</v>
      </c>
      <c r="Y471" t="s">
        <v>9122</v>
      </c>
      <c r="Z471" t="s">
        <v>9123</v>
      </c>
      <c r="AA471" t="s">
        <v>74</v>
      </c>
      <c r="AB471" t="s">
        <v>74</v>
      </c>
      <c r="AC471" t="s">
        <v>74</v>
      </c>
      <c r="AD471" t="s">
        <v>74</v>
      </c>
      <c r="AE471" t="s">
        <v>74</v>
      </c>
      <c r="AF471" t="s">
        <v>74</v>
      </c>
      <c r="AG471">
        <v>2</v>
      </c>
      <c r="AH471">
        <v>0</v>
      </c>
      <c r="AI471">
        <v>0</v>
      </c>
      <c r="AJ471">
        <v>2</v>
      </c>
      <c r="AK471">
        <v>5</v>
      </c>
      <c r="AL471" t="s">
        <v>9108</v>
      </c>
      <c r="AM471" t="s">
        <v>7774</v>
      </c>
      <c r="AN471" t="s">
        <v>7775</v>
      </c>
      <c r="AO471" t="s">
        <v>9109</v>
      </c>
      <c r="AP471" t="s">
        <v>74</v>
      </c>
      <c r="AQ471" t="s">
        <v>9110</v>
      </c>
      <c r="AR471" t="s">
        <v>9111</v>
      </c>
      <c r="AS471" t="s">
        <v>74</v>
      </c>
      <c r="AT471" t="s">
        <v>74</v>
      </c>
      <c r="AU471">
        <v>2014</v>
      </c>
      <c r="AV471" t="s">
        <v>74</v>
      </c>
      <c r="AW471" t="s">
        <v>74</v>
      </c>
      <c r="AX471" t="s">
        <v>74</v>
      </c>
      <c r="AY471" t="s">
        <v>74</v>
      </c>
      <c r="AZ471" t="s">
        <v>74</v>
      </c>
      <c r="BA471" t="s">
        <v>74</v>
      </c>
      <c r="BB471">
        <v>969</v>
      </c>
      <c r="BC471">
        <v>971</v>
      </c>
      <c r="BD471" t="s">
        <v>74</v>
      </c>
      <c r="BE471" t="s">
        <v>9124</v>
      </c>
      <c r="BF471" t="str">
        <f>HYPERLINK("http://dx.doi.org/10.1007/978-3-319-04364-7_182","http://dx.doi.org/10.1007/978-3-319-04364-7_182")</f>
        <v>http://dx.doi.org/10.1007/978-3-319-04364-7_182</v>
      </c>
      <c r="BG471" t="s">
        <v>74</v>
      </c>
      <c r="BH471" t="s">
        <v>74</v>
      </c>
      <c r="BI471">
        <v>3</v>
      </c>
      <c r="BJ471" t="s">
        <v>952</v>
      </c>
      <c r="BK471" t="s">
        <v>8799</v>
      </c>
      <c r="BL471" t="s">
        <v>597</v>
      </c>
      <c r="BM471" t="s">
        <v>9113</v>
      </c>
      <c r="BN471" t="s">
        <v>74</v>
      </c>
      <c r="BO471" t="s">
        <v>74</v>
      </c>
      <c r="BP471" t="s">
        <v>74</v>
      </c>
      <c r="BQ471" t="s">
        <v>74</v>
      </c>
      <c r="BR471" t="s">
        <v>104</v>
      </c>
      <c r="BS471" t="s">
        <v>9125</v>
      </c>
      <c r="BT471" t="str">
        <f>HYPERLINK("https%3A%2F%2Fwww.webofscience.com%2Fwos%2Fwoscc%2Ffull-record%2FWOS:000359019400182","View Full Record in Web of Science")</f>
        <v>View Full Record in Web of Science</v>
      </c>
    </row>
    <row r="472" spans="1:72" x14ac:dyDescent="0.15">
      <c r="A472" t="s">
        <v>8774</v>
      </c>
      <c r="B472" t="s">
        <v>9126</v>
      </c>
      <c r="C472" t="s">
        <v>74</v>
      </c>
      <c r="D472" t="s">
        <v>9127</v>
      </c>
      <c r="E472" t="s">
        <v>74</v>
      </c>
      <c r="F472" t="s">
        <v>9128</v>
      </c>
      <c r="G472" t="s">
        <v>74</v>
      </c>
      <c r="H472" t="s">
        <v>74</v>
      </c>
      <c r="I472" t="s">
        <v>9129</v>
      </c>
      <c r="J472" t="s">
        <v>9130</v>
      </c>
      <c r="K472" t="s">
        <v>9131</v>
      </c>
      <c r="L472" t="s">
        <v>74</v>
      </c>
      <c r="M472" t="s">
        <v>9132</v>
      </c>
      <c r="N472" t="s">
        <v>8781</v>
      </c>
      <c r="O472" t="s">
        <v>9133</v>
      </c>
      <c r="P472" t="s">
        <v>9134</v>
      </c>
      <c r="Q472" t="s">
        <v>9135</v>
      </c>
      <c r="R472" t="s">
        <v>74</v>
      </c>
      <c r="S472" t="s">
        <v>9136</v>
      </c>
      <c r="T472" t="s">
        <v>9137</v>
      </c>
      <c r="U472" t="s">
        <v>8973</v>
      </c>
      <c r="V472" t="s">
        <v>9138</v>
      </c>
      <c r="W472" t="s">
        <v>9139</v>
      </c>
      <c r="X472" t="s">
        <v>9140</v>
      </c>
      <c r="Y472" t="s">
        <v>9141</v>
      </c>
      <c r="Z472" t="s">
        <v>9142</v>
      </c>
      <c r="AA472" t="s">
        <v>9143</v>
      </c>
      <c r="AB472" t="s">
        <v>9144</v>
      </c>
      <c r="AC472" t="s">
        <v>74</v>
      </c>
      <c r="AD472" t="s">
        <v>74</v>
      </c>
      <c r="AE472" t="s">
        <v>74</v>
      </c>
      <c r="AF472" t="s">
        <v>74</v>
      </c>
      <c r="AG472">
        <v>9</v>
      </c>
      <c r="AH472">
        <v>0</v>
      </c>
      <c r="AI472">
        <v>0</v>
      </c>
      <c r="AJ472">
        <v>1</v>
      </c>
      <c r="AK472">
        <v>5</v>
      </c>
      <c r="AL472" t="s">
        <v>9145</v>
      </c>
      <c r="AM472" t="s">
        <v>9146</v>
      </c>
      <c r="AN472" t="s">
        <v>9147</v>
      </c>
      <c r="AO472" t="s">
        <v>9148</v>
      </c>
      <c r="AP472" t="s">
        <v>74</v>
      </c>
      <c r="AQ472" t="s">
        <v>9149</v>
      </c>
      <c r="AR472" t="s">
        <v>9150</v>
      </c>
      <c r="AS472" t="s">
        <v>74</v>
      </c>
      <c r="AT472" t="s">
        <v>74</v>
      </c>
      <c r="AU472">
        <v>2014</v>
      </c>
      <c r="AV472">
        <v>103</v>
      </c>
      <c r="AW472" t="s">
        <v>74</v>
      </c>
      <c r="AX472" t="s">
        <v>74</v>
      </c>
      <c r="AY472" t="s">
        <v>74</v>
      </c>
      <c r="AZ472" t="s">
        <v>74</v>
      </c>
      <c r="BA472" t="s">
        <v>74</v>
      </c>
      <c r="BB472">
        <v>95</v>
      </c>
      <c r="BC472">
        <v>100</v>
      </c>
      <c r="BD472" t="s">
        <v>74</v>
      </c>
      <c r="BE472" t="s">
        <v>74</v>
      </c>
      <c r="BF472" t="s">
        <v>74</v>
      </c>
      <c r="BG472" t="s">
        <v>74</v>
      </c>
      <c r="BH472" t="s">
        <v>74</v>
      </c>
      <c r="BI472">
        <v>6</v>
      </c>
      <c r="BJ472" t="s">
        <v>9151</v>
      </c>
      <c r="BK472" t="s">
        <v>9152</v>
      </c>
      <c r="BL472" t="s">
        <v>9153</v>
      </c>
      <c r="BM472" t="s">
        <v>9154</v>
      </c>
      <c r="BN472" t="s">
        <v>74</v>
      </c>
      <c r="BO472" t="s">
        <v>74</v>
      </c>
      <c r="BP472" t="s">
        <v>74</v>
      </c>
      <c r="BQ472" t="s">
        <v>74</v>
      </c>
      <c r="BR472" t="s">
        <v>104</v>
      </c>
      <c r="BS472" t="s">
        <v>9155</v>
      </c>
      <c r="BT472" t="str">
        <f>HYPERLINK("https%3A%2F%2Fwww.webofscience.com%2Fwos%2Fwoscc%2Ffull-record%2FWOS:000358968600020","View Full Record in Web of Science")</f>
        <v>View Full Record in Web of Science</v>
      </c>
    </row>
    <row r="473" spans="1:72" x14ac:dyDescent="0.15">
      <c r="A473" t="s">
        <v>8774</v>
      </c>
      <c r="B473" t="s">
        <v>9156</v>
      </c>
      <c r="C473" t="s">
        <v>74</v>
      </c>
      <c r="D473" t="s">
        <v>74</v>
      </c>
      <c r="E473" t="s">
        <v>9157</v>
      </c>
      <c r="F473" t="s">
        <v>9158</v>
      </c>
      <c r="G473" t="s">
        <v>74</v>
      </c>
      <c r="H473" t="s">
        <v>74</v>
      </c>
      <c r="I473" t="s">
        <v>9159</v>
      </c>
      <c r="J473" t="s">
        <v>9160</v>
      </c>
      <c r="K473" t="s">
        <v>9161</v>
      </c>
      <c r="L473" t="s">
        <v>74</v>
      </c>
      <c r="M473" t="s">
        <v>78</v>
      </c>
      <c r="N473" t="s">
        <v>8781</v>
      </c>
      <c r="O473" t="s">
        <v>9162</v>
      </c>
      <c r="P473" t="s">
        <v>9163</v>
      </c>
      <c r="Q473" t="s">
        <v>9164</v>
      </c>
      <c r="R473" t="s">
        <v>74</v>
      </c>
      <c r="S473" t="s">
        <v>74</v>
      </c>
      <c r="T473" t="s">
        <v>74</v>
      </c>
      <c r="U473" t="s">
        <v>9165</v>
      </c>
      <c r="V473" t="s">
        <v>9166</v>
      </c>
      <c r="W473" t="s">
        <v>9167</v>
      </c>
      <c r="X473" t="s">
        <v>9168</v>
      </c>
      <c r="Y473" t="s">
        <v>9169</v>
      </c>
      <c r="Z473" t="s">
        <v>74</v>
      </c>
      <c r="AA473" t="s">
        <v>74</v>
      </c>
      <c r="AB473" t="s">
        <v>9170</v>
      </c>
      <c r="AC473" t="s">
        <v>74</v>
      </c>
      <c r="AD473" t="s">
        <v>74</v>
      </c>
      <c r="AE473" t="s">
        <v>74</v>
      </c>
      <c r="AF473" t="s">
        <v>74</v>
      </c>
      <c r="AG473">
        <v>17</v>
      </c>
      <c r="AH473">
        <v>1</v>
      </c>
      <c r="AI473">
        <v>1</v>
      </c>
      <c r="AJ473">
        <v>0</v>
      </c>
      <c r="AK473">
        <v>5</v>
      </c>
      <c r="AL473" t="s">
        <v>9171</v>
      </c>
      <c r="AM473" t="s">
        <v>447</v>
      </c>
      <c r="AN473" t="s">
        <v>9172</v>
      </c>
      <c r="AO473" t="s">
        <v>9173</v>
      </c>
      <c r="AP473" t="s">
        <v>9174</v>
      </c>
      <c r="AQ473" t="s">
        <v>74</v>
      </c>
      <c r="AR473" t="s">
        <v>9175</v>
      </c>
      <c r="AS473" t="s">
        <v>74</v>
      </c>
      <c r="AT473" t="s">
        <v>74</v>
      </c>
      <c r="AU473">
        <v>2014</v>
      </c>
      <c r="AV473" t="s">
        <v>74</v>
      </c>
      <c r="AW473" t="s">
        <v>74</v>
      </c>
      <c r="AX473" t="s">
        <v>74</v>
      </c>
      <c r="AY473" t="s">
        <v>74</v>
      </c>
      <c r="AZ473" t="s">
        <v>74</v>
      </c>
      <c r="BA473" t="s">
        <v>74</v>
      </c>
      <c r="BB473">
        <v>2149</v>
      </c>
      <c r="BC473">
        <v>2159</v>
      </c>
      <c r="BD473" t="s">
        <v>74</v>
      </c>
      <c r="BE473" t="s">
        <v>74</v>
      </c>
      <c r="BF473" t="s">
        <v>74</v>
      </c>
      <c r="BG473" t="s">
        <v>74</v>
      </c>
      <c r="BH473" t="s">
        <v>74</v>
      </c>
      <c r="BI473">
        <v>11</v>
      </c>
      <c r="BJ473" t="s">
        <v>662</v>
      </c>
      <c r="BK473" t="s">
        <v>8799</v>
      </c>
      <c r="BL473" t="s">
        <v>662</v>
      </c>
      <c r="BM473" t="s">
        <v>9176</v>
      </c>
      <c r="BN473" t="s">
        <v>74</v>
      </c>
      <c r="BO473" t="s">
        <v>74</v>
      </c>
      <c r="BP473" t="s">
        <v>74</v>
      </c>
      <c r="BQ473" t="s">
        <v>74</v>
      </c>
      <c r="BR473" t="s">
        <v>104</v>
      </c>
      <c r="BS473" t="s">
        <v>9177</v>
      </c>
      <c r="BT473" t="str">
        <f>HYPERLINK("https%3A%2F%2Fwww.webofscience.com%2Fwos%2Fwoscc%2Ffull-record%2FWOS:000356331203009","View Full Record in Web of Science")</f>
        <v>View Full Record in Web of Science</v>
      </c>
    </row>
    <row r="474" spans="1:72" x14ac:dyDescent="0.15">
      <c r="A474" t="s">
        <v>8774</v>
      </c>
      <c r="B474" t="s">
        <v>9178</v>
      </c>
      <c r="C474" t="s">
        <v>74</v>
      </c>
      <c r="D474" t="s">
        <v>9179</v>
      </c>
      <c r="E474" t="s">
        <v>74</v>
      </c>
      <c r="F474" t="s">
        <v>9180</v>
      </c>
      <c r="G474" t="s">
        <v>74</v>
      </c>
      <c r="H474" t="s">
        <v>74</v>
      </c>
      <c r="I474" t="s">
        <v>9181</v>
      </c>
      <c r="J474" t="s">
        <v>9182</v>
      </c>
      <c r="K474" t="s">
        <v>9183</v>
      </c>
      <c r="L474" t="s">
        <v>74</v>
      </c>
      <c r="M474" t="s">
        <v>78</v>
      </c>
      <c r="N474" t="s">
        <v>8781</v>
      </c>
      <c r="O474" t="s">
        <v>9184</v>
      </c>
      <c r="P474" t="s">
        <v>9185</v>
      </c>
      <c r="Q474" t="s">
        <v>9186</v>
      </c>
      <c r="R474" t="s">
        <v>74</v>
      </c>
      <c r="S474" t="s">
        <v>74</v>
      </c>
      <c r="T474" t="s">
        <v>9187</v>
      </c>
      <c r="U474" t="s">
        <v>74</v>
      </c>
      <c r="V474" t="s">
        <v>9188</v>
      </c>
      <c r="W474" t="s">
        <v>9189</v>
      </c>
      <c r="X474" t="s">
        <v>9190</v>
      </c>
      <c r="Y474" t="s">
        <v>9191</v>
      </c>
      <c r="Z474" t="s">
        <v>9192</v>
      </c>
      <c r="AA474" t="s">
        <v>9193</v>
      </c>
      <c r="AB474" t="s">
        <v>9194</v>
      </c>
      <c r="AC474" t="s">
        <v>74</v>
      </c>
      <c r="AD474" t="s">
        <v>74</v>
      </c>
      <c r="AE474" t="s">
        <v>74</v>
      </c>
      <c r="AF474" t="s">
        <v>74</v>
      </c>
      <c r="AG474">
        <v>17</v>
      </c>
      <c r="AH474">
        <v>0</v>
      </c>
      <c r="AI474">
        <v>0</v>
      </c>
      <c r="AJ474">
        <v>1</v>
      </c>
      <c r="AK474">
        <v>6</v>
      </c>
      <c r="AL474" t="s">
        <v>9195</v>
      </c>
      <c r="AM474" t="s">
        <v>9196</v>
      </c>
      <c r="AN474" t="s">
        <v>9197</v>
      </c>
      <c r="AO474" t="s">
        <v>9198</v>
      </c>
      <c r="AP474" t="s">
        <v>74</v>
      </c>
      <c r="AQ474" t="s">
        <v>9199</v>
      </c>
      <c r="AR474" t="s">
        <v>9200</v>
      </c>
      <c r="AS474" t="s">
        <v>74</v>
      </c>
      <c r="AT474" t="s">
        <v>74</v>
      </c>
      <c r="AU474">
        <v>2014</v>
      </c>
      <c r="AV474">
        <v>365</v>
      </c>
      <c r="AW474" t="s">
        <v>74</v>
      </c>
      <c r="AX474" t="s">
        <v>74</v>
      </c>
      <c r="AY474" t="s">
        <v>74</v>
      </c>
      <c r="AZ474" t="s">
        <v>74</v>
      </c>
      <c r="BA474" t="s">
        <v>74</v>
      </c>
      <c r="BB474">
        <v>16</v>
      </c>
      <c r="BC474">
        <v>21</v>
      </c>
      <c r="BD474" t="s">
        <v>74</v>
      </c>
      <c r="BE474" t="s">
        <v>74</v>
      </c>
      <c r="BF474" t="s">
        <v>74</v>
      </c>
      <c r="BG474" t="s">
        <v>74</v>
      </c>
      <c r="BH474" t="s">
        <v>74</v>
      </c>
      <c r="BI474">
        <v>6</v>
      </c>
      <c r="BJ474" t="s">
        <v>9201</v>
      </c>
      <c r="BK474" t="s">
        <v>8799</v>
      </c>
      <c r="BL474" t="s">
        <v>9202</v>
      </c>
      <c r="BM474" t="s">
        <v>9203</v>
      </c>
      <c r="BN474" t="s">
        <v>74</v>
      </c>
      <c r="BO474" t="s">
        <v>74</v>
      </c>
      <c r="BP474" t="s">
        <v>74</v>
      </c>
      <c r="BQ474" t="s">
        <v>74</v>
      </c>
      <c r="BR474" t="s">
        <v>104</v>
      </c>
      <c r="BS474" t="s">
        <v>9204</v>
      </c>
      <c r="BT474" t="str">
        <f>HYPERLINK("https%3A%2F%2Fwww.webofscience.com%2Fwos%2Fwoscc%2Ffull-record%2FWOS:000357221900004","View Full Record in Web of Science")</f>
        <v>View Full Record in Web of Science</v>
      </c>
    </row>
    <row r="475" spans="1:72" x14ac:dyDescent="0.15">
      <c r="A475" t="s">
        <v>72</v>
      </c>
      <c r="B475" t="s">
        <v>9205</v>
      </c>
      <c r="C475" t="s">
        <v>74</v>
      </c>
      <c r="D475" t="s">
        <v>74</v>
      </c>
      <c r="E475" t="s">
        <v>74</v>
      </c>
      <c r="F475" t="s">
        <v>9206</v>
      </c>
      <c r="G475" t="s">
        <v>74</v>
      </c>
      <c r="H475" t="s">
        <v>74</v>
      </c>
      <c r="I475" t="s">
        <v>9207</v>
      </c>
      <c r="J475" t="s">
        <v>9208</v>
      </c>
      <c r="K475" t="s">
        <v>74</v>
      </c>
      <c r="L475" t="s">
        <v>74</v>
      </c>
      <c r="M475" t="s">
        <v>78</v>
      </c>
      <c r="N475" t="s">
        <v>79</v>
      </c>
      <c r="O475" t="s">
        <v>74</v>
      </c>
      <c r="P475" t="s">
        <v>74</v>
      </c>
      <c r="Q475" t="s">
        <v>74</v>
      </c>
      <c r="R475" t="s">
        <v>74</v>
      </c>
      <c r="S475" t="s">
        <v>74</v>
      </c>
      <c r="T475" t="s">
        <v>74</v>
      </c>
      <c r="U475" t="s">
        <v>9209</v>
      </c>
      <c r="V475" t="s">
        <v>9210</v>
      </c>
      <c r="W475" t="s">
        <v>9211</v>
      </c>
      <c r="X475" t="s">
        <v>9212</v>
      </c>
      <c r="Y475" t="s">
        <v>9213</v>
      </c>
      <c r="Z475" t="s">
        <v>9214</v>
      </c>
      <c r="AA475" t="s">
        <v>9215</v>
      </c>
      <c r="AB475" t="s">
        <v>9216</v>
      </c>
      <c r="AC475" t="s">
        <v>9217</v>
      </c>
      <c r="AD475" t="s">
        <v>9218</v>
      </c>
      <c r="AE475" t="s">
        <v>9219</v>
      </c>
      <c r="AF475" t="s">
        <v>74</v>
      </c>
      <c r="AG475">
        <v>22</v>
      </c>
      <c r="AH475">
        <v>28</v>
      </c>
      <c r="AI475">
        <v>33</v>
      </c>
      <c r="AJ475">
        <v>0</v>
      </c>
      <c r="AK475">
        <v>6</v>
      </c>
      <c r="AL475" t="s">
        <v>1463</v>
      </c>
      <c r="AM475" t="s">
        <v>1464</v>
      </c>
      <c r="AN475" t="s">
        <v>1465</v>
      </c>
      <c r="AO475" t="s">
        <v>9220</v>
      </c>
      <c r="AP475" t="s">
        <v>9221</v>
      </c>
      <c r="AQ475" t="s">
        <v>74</v>
      </c>
      <c r="AR475" t="s">
        <v>9222</v>
      </c>
      <c r="AS475" t="s">
        <v>9223</v>
      </c>
      <c r="AT475" t="s">
        <v>74</v>
      </c>
      <c r="AU475">
        <v>2014</v>
      </c>
      <c r="AV475">
        <v>3</v>
      </c>
      <c r="AW475">
        <v>2</v>
      </c>
      <c r="AX475" t="s">
        <v>74</v>
      </c>
      <c r="AY475" t="s">
        <v>74</v>
      </c>
      <c r="AZ475" t="s">
        <v>74</v>
      </c>
      <c r="BA475" t="s">
        <v>74</v>
      </c>
      <c r="BB475">
        <v>211</v>
      </c>
      <c r="BC475">
        <v>227</v>
      </c>
      <c r="BD475" t="s">
        <v>74</v>
      </c>
      <c r="BE475" t="s">
        <v>9224</v>
      </c>
      <c r="BF475" t="str">
        <f>HYPERLINK("http://dx.doi.org/10.5194/gi-3-211-2014","http://dx.doi.org/10.5194/gi-3-211-2014")</f>
        <v>http://dx.doi.org/10.5194/gi-3-211-2014</v>
      </c>
      <c r="BG475" t="s">
        <v>74</v>
      </c>
      <c r="BH475" t="s">
        <v>74</v>
      </c>
      <c r="BI475">
        <v>17</v>
      </c>
      <c r="BJ475" t="s">
        <v>9225</v>
      </c>
      <c r="BK475" t="s">
        <v>101</v>
      </c>
      <c r="BL475" t="s">
        <v>9226</v>
      </c>
      <c r="BM475" t="s">
        <v>9227</v>
      </c>
      <c r="BN475" t="s">
        <v>74</v>
      </c>
      <c r="BO475" t="s">
        <v>9228</v>
      </c>
      <c r="BP475" t="s">
        <v>74</v>
      </c>
      <c r="BQ475" t="s">
        <v>74</v>
      </c>
      <c r="BR475" t="s">
        <v>104</v>
      </c>
      <c r="BS475" t="s">
        <v>9229</v>
      </c>
      <c r="BT475" t="str">
        <f>HYPERLINK("https%3A%2F%2Fwww.webofscience.com%2Fwos%2Fwoscc%2Ffull-record%2FWOS:000357286600010","View Full Record in Web of Science")</f>
        <v>View Full Record in Web of Science</v>
      </c>
    </row>
    <row r="476" spans="1:72" x14ac:dyDescent="0.15">
      <c r="A476" t="s">
        <v>72</v>
      </c>
      <c r="B476" t="s">
        <v>9230</v>
      </c>
      <c r="C476" t="s">
        <v>74</v>
      </c>
      <c r="D476" t="s">
        <v>74</v>
      </c>
      <c r="E476" t="s">
        <v>74</v>
      </c>
      <c r="F476" t="s">
        <v>9231</v>
      </c>
      <c r="G476" t="s">
        <v>74</v>
      </c>
      <c r="H476" t="s">
        <v>74</v>
      </c>
      <c r="I476" t="s">
        <v>9232</v>
      </c>
      <c r="J476" t="s">
        <v>9233</v>
      </c>
      <c r="K476" t="s">
        <v>74</v>
      </c>
      <c r="L476" t="s">
        <v>74</v>
      </c>
      <c r="M476" t="s">
        <v>78</v>
      </c>
      <c r="N476" t="s">
        <v>79</v>
      </c>
      <c r="O476" t="s">
        <v>74</v>
      </c>
      <c r="P476" t="s">
        <v>74</v>
      </c>
      <c r="Q476" t="s">
        <v>74</v>
      </c>
      <c r="R476" t="s">
        <v>74</v>
      </c>
      <c r="S476" t="s">
        <v>74</v>
      </c>
      <c r="T476" t="s">
        <v>74</v>
      </c>
      <c r="U476" t="s">
        <v>74</v>
      </c>
      <c r="V476" t="s">
        <v>9234</v>
      </c>
      <c r="W476" t="s">
        <v>9235</v>
      </c>
      <c r="X476" t="s">
        <v>9236</v>
      </c>
      <c r="Y476" t="s">
        <v>9237</v>
      </c>
      <c r="Z476" t="s">
        <v>9238</v>
      </c>
      <c r="AA476" t="s">
        <v>9239</v>
      </c>
      <c r="AB476" t="s">
        <v>9240</v>
      </c>
      <c r="AC476" t="s">
        <v>74</v>
      </c>
      <c r="AD476" t="s">
        <v>74</v>
      </c>
      <c r="AE476" t="s">
        <v>74</v>
      </c>
      <c r="AF476" t="s">
        <v>74</v>
      </c>
      <c r="AG476">
        <v>45</v>
      </c>
      <c r="AH476">
        <v>1</v>
      </c>
      <c r="AI476">
        <v>2</v>
      </c>
      <c r="AJ476">
        <v>0</v>
      </c>
      <c r="AK476">
        <v>11</v>
      </c>
      <c r="AL476" t="s">
        <v>9241</v>
      </c>
      <c r="AM476" t="s">
        <v>9242</v>
      </c>
      <c r="AN476" t="s">
        <v>9243</v>
      </c>
      <c r="AO476" t="s">
        <v>9244</v>
      </c>
      <c r="AP476" t="s">
        <v>9245</v>
      </c>
      <c r="AQ476" t="s">
        <v>74</v>
      </c>
      <c r="AR476" t="s">
        <v>9233</v>
      </c>
      <c r="AS476" t="s">
        <v>9246</v>
      </c>
      <c r="AT476" t="s">
        <v>74</v>
      </c>
      <c r="AU476">
        <v>2014</v>
      </c>
      <c r="AV476">
        <v>17</v>
      </c>
      <c r="AW476" t="s">
        <v>74</v>
      </c>
      <c r="AX476" t="s">
        <v>74</v>
      </c>
      <c r="AY476" t="s">
        <v>74</v>
      </c>
      <c r="AZ476" t="s">
        <v>660</v>
      </c>
      <c r="BA476" t="s">
        <v>74</v>
      </c>
      <c r="BB476">
        <v>239</v>
      </c>
      <c r="BC476">
        <v>250</v>
      </c>
      <c r="BD476" t="s">
        <v>74</v>
      </c>
      <c r="BE476" t="s">
        <v>9247</v>
      </c>
      <c r="BF476" t="str">
        <f>HYPERLINK("http://dx.doi.org/10.7751/telopea20147788","http://dx.doi.org/10.7751/telopea20147788")</f>
        <v>http://dx.doi.org/10.7751/telopea20147788</v>
      </c>
      <c r="BG476" t="s">
        <v>74</v>
      </c>
      <c r="BH476" t="s">
        <v>74</v>
      </c>
      <c r="BI476">
        <v>12</v>
      </c>
      <c r="BJ476" t="s">
        <v>181</v>
      </c>
      <c r="BK476" t="s">
        <v>101</v>
      </c>
      <c r="BL476" t="s">
        <v>181</v>
      </c>
      <c r="BM476" t="s">
        <v>9248</v>
      </c>
      <c r="BN476" t="s">
        <v>74</v>
      </c>
      <c r="BO476" t="s">
        <v>1607</v>
      </c>
      <c r="BP476" t="s">
        <v>74</v>
      </c>
      <c r="BQ476" t="s">
        <v>74</v>
      </c>
      <c r="BR476" t="s">
        <v>104</v>
      </c>
      <c r="BS476" t="s">
        <v>9249</v>
      </c>
      <c r="BT476" t="str">
        <f>HYPERLINK("https%3A%2F%2Fwww.webofscience.com%2Fwos%2Fwoscc%2Ffull-record%2FWOS:000356766300018","View Full Record in Web of Science")</f>
        <v>View Full Record in Web of Science</v>
      </c>
    </row>
    <row r="477" spans="1:72" x14ac:dyDescent="0.15">
      <c r="A477" t="s">
        <v>9250</v>
      </c>
      <c r="B477" t="s">
        <v>9251</v>
      </c>
      <c r="C477" t="s">
        <v>74</v>
      </c>
      <c r="D477" t="s">
        <v>9252</v>
      </c>
      <c r="E477" t="s">
        <v>74</v>
      </c>
      <c r="F477" t="s">
        <v>9253</v>
      </c>
      <c r="G477" t="s">
        <v>74</v>
      </c>
      <c r="H477" t="s">
        <v>74</v>
      </c>
      <c r="I477" t="s">
        <v>9254</v>
      </c>
      <c r="J477" t="s">
        <v>9255</v>
      </c>
      <c r="K477" t="s">
        <v>9256</v>
      </c>
      <c r="L477" t="s">
        <v>74</v>
      </c>
      <c r="M477" t="s">
        <v>78</v>
      </c>
      <c r="N477" t="s">
        <v>8809</v>
      </c>
      <c r="O477" t="s">
        <v>74</v>
      </c>
      <c r="P477" t="s">
        <v>74</v>
      </c>
      <c r="Q477" t="s">
        <v>74</v>
      </c>
      <c r="R477" t="s">
        <v>74</v>
      </c>
      <c r="S477" t="s">
        <v>74</v>
      </c>
      <c r="T477" t="s">
        <v>74</v>
      </c>
      <c r="U477" t="s">
        <v>9257</v>
      </c>
      <c r="V477" t="s">
        <v>9258</v>
      </c>
      <c r="W477" t="s">
        <v>9259</v>
      </c>
      <c r="X477" t="s">
        <v>9260</v>
      </c>
      <c r="Y477" t="s">
        <v>9261</v>
      </c>
      <c r="Z477" t="s">
        <v>9262</v>
      </c>
      <c r="AA477" t="s">
        <v>74</v>
      </c>
      <c r="AB477" t="s">
        <v>74</v>
      </c>
      <c r="AC477" t="s">
        <v>74</v>
      </c>
      <c r="AD477" t="s">
        <v>74</v>
      </c>
      <c r="AE477" t="s">
        <v>74</v>
      </c>
      <c r="AF477" t="s">
        <v>74</v>
      </c>
      <c r="AG477">
        <v>87</v>
      </c>
      <c r="AH477">
        <v>4</v>
      </c>
      <c r="AI477">
        <v>4</v>
      </c>
      <c r="AJ477">
        <v>0</v>
      </c>
      <c r="AK477">
        <v>3</v>
      </c>
      <c r="AL477" t="s">
        <v>8845</v>
      </c>
      <c r="AM477" t="s">
        <v>8846</v>
      </c>
      <c r="AN477" t="s">
        <v>8847</v>
      </c>
      <c r="AO477" t="s">
        <v>9263</v>
      </c>
      <c r="AP477" t="s">
        <v>74</v>
      </c>
      <c r="AQ477" t="s">
        <v>9264</v>
      </c>
      <c r="AR477" t="s">
        <v>9265</v>
      </c>
      <c r="AS477" t="s">
        <v>9266</v>
      </c>
      <c r="AT477" t="s">
        <v>74</v>
      </c>
      <c r="AU477">
        <v>2014</v>
      </c>
      <c r="AV477">
        <v>32</v>
      </c>
      <c r="AW477" t="s">
        <v>74</v>
      </c>
      <c r="AX477" t="s">
        <v>74</v>
      </c>
      <c r="AY477" t="s">
        <v>74</v>
      </c>
      <c r="AZ477" t="s">
        <v>74</v>
      </c>
      <c r="BA477" t="s">
        <v>74</v>
      </c>
      <c r="BB477">
        <v>163</v>
      </c>
      <c r="BC477">
        <v>183</v>
      </c>
      <c r="BD477" t="s">
        <v>74</v>
      </c>
      <c r="BE477" t="s">
        <v>74</v>
      </c>
      <c r="BF477" t="s">
        <v>74</v>
      </c>
      <c r="BG477" t="s">
        <v>74</v>
      </c>
      <c r="BH477" t="s">
        <v>74</v>
      </c>
      <c r="BI477">
        <v>21</v>
      </c>
      <c r="BJ477" t="s">
        <v>952</v>
      </c>
      <c r="BK477" t="s">
        <v>8850</v>
      </c>
      <c r="BL477" t="s">
        <v>597</v>
      </c>
      <c r="BM477" t="s">
        <v>9267</v>
      </c>
      <c r="BN477" t="s">
        <v>74</v>
      </c>
      <c r="BO477" t="s">
        <v>74</v>
      </c>
      <c r="BP477" t="s">
        <v>74</v>
      </c>
      <c r="BQ477" t="s">
        <v>74</v>
      </c>
      <c r="BR477" t="s">
        <v>104</v>
      </c>
      <c r="BS477" t="s">
        <v>9268</v>
      </c>
      <c r="BT477" t="str">
        <f>HYPERLINK("https%3A%2F%2Fwww.webofscience.com%2Fwos%2Fwoscc%2Ffull-record%2FWOS:000355935900008","View Full Record in Web of Science")</f>
        <v>View Full Record in Web of Science</v>
      </c>
    </row>
    <row r="478" spans="1:72" x14ac:dyDescent="0.15">
      <c r="A478" t="s">
        <v>8803</v>
      </c>
      <c r="B478" t="s">
        <v>9269</v>
      </c>
      <c r="C478" t="s">
        <v>74</v>
      </c>
      <c r="D478" t="s">
        <v>9270</v>
      </c>
      <c r="E478" t="s">
        <v>74</v>
      </c>
      <c r="F478" t="s">
        <v>9271</v>
      </c>
      <c r="G478" t="s">
        <v>74</v>
      </c>
      <c r="H478" t="s">
        <v>74</v>
      </c>
      <c r="I478" t="s">
        <v>9272</v>
      </c>
      <c r="J478" t="s">
        <v>9273</v>
      </c>
      <c r="K478" t="s">
        <v>9274</v>
      </c>
      <c r="L478" t="s">
        <v>74</v>
      </c>
      <c r="M478" t="s">
        <v>78</v>
      </c>
      <c r="N478" t="s">
        <v>8809</v>
      </c>
      <c r="O478" t="s">
        <v>74</v>
      </c>
      <c r="P478" t="s">
        <v>74</v>
      </c>
      <c r="Q478" t="s">
        <v>74</v>
      </c>
      <c r="R478" t="s">
        <v>74</v>
      </c>
      <c r="S478" t="s">
        <v>74</v>
      </c>
      <c r="T478" t="s">
        <v>74</v>
      </c>
      <c r="U478" t="s">
        <v>9275</v>
      </c>
      <c r="V478" t="s">
        <v>9276</v>
      </c>
      <c r="W478" t="s">
        <v>9277</v>
      </c>
      <c r="X478" t="s">
        <v>773</v>
      </c>
      <c r="Y478" t="s">
        <v>9278</v>
      </c>
      <c r="Z478" t="s">
        <v>9279</v>
      </c>
      <c r="AA478" t="s">
        <v>9280</v>
      </c>
      <c r="AB478" t="s">
        <v>1945</v>
      </c>
      <c r="AC478" t="s">
        <v>74</v>
      </c>
      <c r="AD478" t="s">
        <v>74</v>
      </c>
      <c r="AE478" t="s">
        <v>74</v>
      </c>
      <c r="AF478" t="s">
        <v>74</v>
      </c>
      <c r="AG478">
        <v>135</v>
      </c>
      <c r="AH478">
        <v>4</v>
      </c>
      <c r="AI478">
        <v>5</v>
      </c>
      <c r="AJ478">
        <v>1</v>
      </c>
      <c r="AK478">
        <v>20</v>
      </c>
      <c r="AL478" t="s">
        <v>9281</v>
      </c>
      <c r="AM478" t="s">
        <v>9196</v>
      </c>
      <c r="AN478" t="s">
        <v>9282</v>
      </c>
      <c r="AO478" t="s">
        <v>74</v>
      </c>
      <c r="AP478" t="s">
        <v>74</v>
      </c>
      <c r="AQ478" t="s">
        <v>9283</v>
      </c>
      <c r="AR478" t="s">
        <v>9284</v>
      </c>
      <c r="AS478" t="s">
        <v>74</v>
      </c>
      <c r="AT478" t="s">
        <v>74</v>
      </c>
      <c r="AU478">
        <v>2014</v>
      </c>
      <c r="AV478">
        <v>4</v>
      </c>
      <c r="AW478" t="s">
        <v>74</v>
      </c>
      <c r="AX478" t="s">
        <v>74</v>
      </c>
      <c r="AY478" t="s">
        <v>74</v>
      </c>
      <c r="AZ478" t="s">
        <v>74</v>
      </c>
      <c r="BA478" t="s">
        <v>74</v>
      </c>
      <c r="BB478">
        <v>81</v>
      </c>
      <c r="BC478">
        <v>100</v>
      </c>
      <c r="BD478" t="s">
        <v>74</v>
      </c>
      <c r="BE478" t="s">
        <v>74</v>
      </c>
      <c r="BF478" t="s">
        <v>74</v>
      </c>
      <c r="BG478" t="s">
        <v>9285</v>
      </c>
      <c r="BH478" t="s">
        <v>74</v>
      </c>
      <c r="BI478">
        <v>20</v>
      </c>
      <c r="BJ478" t="s">
        <v>1315</v>
      </c>
      <c r="BK478" t="s">
        <v>8850</v>
      </c>
      <c r="BL478" t="s">
        <v>412</v>
      </c>
      <c r="BM478" t="s">
        <v>9286</v>
      </c>
      <c r="BN478" t="s">
        <v>74</v>
      </c>
      <c r="BO478" t="s">
        <v>234</v>
      </c>
      <c r="BP478" t="s">
        <v>74</v>
      </c>
      <c r="BQ478" t="s">
        <v>74</v>
      </c>
      <c r="BR478" t="s">
        <v>104</v>
      </c>
      <c r="BS478" t="s">
        <v>9287</v>
      </c>
      <c r="BT478" t="str">
        <f>HYPERLINK("https%3A%2F%2Fwww.webofscience.com%2Fwos%2Fwoscc%2Ffull-record%2FWOS:000355559800007","View Full Record in Web of Science")</f>
        <v>View Full Record in Web of Science</v>
      </c>
    </row>
    <row r="479" spans="1:72" x14ac:dyDescent="0.15">
      <c r="A479" t="s">
        <v>8774</v>
      </c>
      <c r="B479" t="s">
        <v>9288</v>
      </c>
      <c r="C479" t="s">
        <v>74</v>
      </c>
      <c r="D479" t="s">
        <v>9289</v>
      </c>
      <c r="E479" t="s">
        <v>74</v>
      </c>
      <c r="F479" t="s">
        <v>9290</v>
      </c>
      <c r="G479" t="s">
        <v>74</v>
      </c>
      <c r="H479" t="s">
        <v>74</v>
      </c>
      <c r="I479" t="s">
        <v>9291</v>
      </c>
      <c r="J479" t="s">
        <v>9292</v>
      </c>
      <c r="K479" t="s">
        <v>9049</v>
      </c>
      <c r="L479" t="s">
        <v>74</v>
      </c>
      <c r="M479" t="s">
        <v>78</v>
      </c>
      <c r="N479" t="s">
        <v>8781</v>
      </c>
      <c r="O479" t="s">
        <v>9293</v>
      </c>
      <c r="P479" t="s">
        <v>9294</v>
      </c>
      <c r="Q479" t="s">
        <v>9295</v>
      </c>
      <c r="R479" t="s">
        <v>74</v>
      </c>
      <c r="S479" t="s">
        <v>74</v>
      </c>
      <c r="T479" t="s">
        <v>9296</v>
      </c>
      <c r="U479" t="s">
        <v>74</v>
      </c>
      <c r="V479" t="s">
        <v>9297</v>
      </c>
      <c r="W479" t="s">
        <v>9298</v>
      </c>
      <c r="X479" t="s">
        <v>9299</v>
      </c>
      <c r="Y479" t="s">
        <v>9300</v>
      </c>
      <c r="Z479" t="s">
        <v>9301</v>
      </c>
      <c r="AA479" t="s">
        <v>74</v>
      </c>
      <c r="AB479" t="s">
        <v>74</v>
      </c>
      <c r="AC479" t="s">
        <v>74</v>
      </c>
      <c r="AD479" t="s">
        <v>74</v>
      </c>
      <c r="AE479" t="s">
        <v>74</v>
      </c>
      <c r="AF479" t="s">
        <v>74</v>
      </c>
      <c r="AG479">
        <v>13</v>
      </c>
      <c r="AH479">
        <v>2</v>
      </c>
      <c r="AI479">
        <v>2</v>
      </c>
      <c r="AJ479">
        <v>1</v>
      </c>
      <c r="AK479">
        <v>5</v>
      </c>
      <c r="AL479" t="s">
        <v>9059</v>
      </c>
      <c r="AM479" t="s">
        <v>8092</v>
      </c>
      <c r="AN479" t="s">
        <v>9060</v>
      </c>
      <c r="AO479" t="s">
        <v>9061</v>
      </c>
      <c r="AP479" t="s">
        <v>74</v>
      </c>
      <c r="AQ479" t="s">
        <v>9302</v>
      </c>
      <c r="AR479" t="s">
        <v>9063</v>
      </c>
      <c r="AS479" t="s">
        <v>74</v>
      </c>
      <c r="AT479" t="s">
        <v>74</v>
      </c>
      <c r="AU479">
        <v>2014</v>
      </c>
      <c r="AV479">
        <v>9151</v>
      </c>
      <c r="AW479" t="s">
        <v>74</v>
      </c>
      <c r="AX479" t="s">
        <v>74</v>
      </c>
      <c r="AY479" t="s">
        <v>74</v>
      </c>
      <c r="AZ479" t="s">
        <v>74</v>
      </c>
      <c r="BA479" t="s">
        <v>74</v>
      </c>
      <c r="BB479" t="s">
        <v>74</v>
      </c>
      <c r="BC479" t="s">
        <v>74</v>
      </c>
      <c r="BD479" t="s">
        <v>9303</v>
      </c>
      <c r="BE479" t="s">
        <v>9304</v>
      </c>
      <c r="BF479" t="str">
        <f>HYPERLINK("http://dx.doi.org/10.1117/12.2054422","http://dx.doi.org/10.1117/12.2054422")</f>
        <v>http://dx.doi.org/10.1117/12.2054422</v>
      </c>
      <c r="BG479" t="s">
        <v>74</v>
      </c>
      <c r="BH479" t="s">
        <v>74</v>
      </c>
      <c r="BI479">
        <v>7</v>
      </c>
      <c r="BJ479" t="s">
        <v>9305</v>
      </c>
      <c r="BK479" t="s">
        <v>8799</v>
      </c>
      <c r="BL479" t="s">
        <v>9305</v>
      </c>
      <c r="BM479" t="s">
        <v>9306</v>
      </c>
      <c r="BN479" t="s">
        <v>74</v>
      </c>
      <c r="BO479" t="s">
        <v>74</v>
      </c>
      <c r="BP479" t="s">
        <v>74</v>
      </c>
      <c r="BQ479" t="s">
        <v>74</v>
      </c>
      <c r="BR479" t="s">
        <v>104</v>
      </c>
      <c r="BS479" t="s">
        <v>9307</v>
      </c>
      <c r="BT479" t="str">
        <f>HYPERLINK("https%3A%2F%2Fwww.webofscience.com%2Fwos%2Fwoscc%2Ffull-record%2FWOS:000354525500098","View Full Record in Web of Science")</f>
        <v>View Full Record in Web of Science</v>
      </c>
    </row>
    <row r="480" spans="1:72" x14ac:dyDescent="0.15">
      <c r="A480" t="s">
        <v>8774</v>
      </c>
      <c r="B480" t="s">
        <v>9308</v>
      </c>
      <c r="C480" t="s">
        <v>74</v>
      </c>
      <c r="D480" t="s">
        <v>9289</v>
      </c>
      <c r="E480" t="s">
        <v>74</v>
      </c>
      <c r="F480" t="s">
        <v>9309</v>
      </c>
      <c r="G480" t="s">
        <v>74</v>
      </c>
      <c r="H480" t="s">
        <v>74</v>
      </c>
      <c r="I480" t="s">
        <v>9310</v>
      </c>
      <c r="J480" t="s">
        <v>9292</v>
      </c>
      <c r="K480" t="s">
        <v>9049</v>
      </c>
      <c r="L480" t="s">
        <v>74</v>
      </c>
      <c r="M480" t="s">
        <v>78</v>
      </c>
      <c r="N480" t="s">
        <v>8781</v>
      </c>
      <c r="O480" t="s">
        <v>9293</v>
      </c>
      <c r="P480" t="s">
        <v>9294</v>
      </c>
      <c r="Q480" t="s">
        <v>9295</v>
      </c>
      <c r="R480" t="s">
        <v>74</v>
      </c>
      <c r="S480" t="s">
        <v>74</v>
      </c>
      <c r="T480" t="s">
        <v>9311</v>
      </c>
      <c r="U480" t="s">
        <v>74</v>
      </c>
      <c r="V480" t="s">
        <v>9312</v>
      </c>
      <c r="W480" t="s">
        <v>9313</v>
      </c>
      <c r="X480" t="s">
        <v>9314</v>
      </c>
      <c r="Y480" t="s">
        <v>9315</v>
      </c>
      <c r="Z480" t="s">
        <v>74</v>
      </c>
      <c r="AA480" t="s">
        <v>74</v>
      </c>
      <c r="AB480" t="s">
        <v>74</v>
      </c>
      <c r="AC480" t="s">
        <v>74</v>
      </c>
      <c r="AD480" t="s">
        <v>74</v>
      </c>
      <c r="AE480" t="s">
        <v>74</v>
      </c>
      <c r="AF480" t="s">
        <v>74</v>
      </c>
      <c r="AG480">
        <v>6</v>
      </c>
      <c r="AH480">
        <v>0</v>
      </c>
      <c r="AI480">
        <v>0</v>
      </c>
      <c r="AJ480">
        <v>1</v>
      </c>
      <c r="AK480">
        <v>7</v>
      </c>
      <c r="AL480" t="s">
        <v>9059</v>
      </c>
      <c r="AM480" t="s">
        <v>8092</v>
      </c>
      <c r="AN480" t="s">
        <v>9060</v>
      </c>
      <c r="AO480" t="s">
        <v>9061</v>
      </c>
      <c r="AP480" t="s">
        <v>74</v>
      </c>
      <c r="AQ480" t="s">
        <v>9302</v>
      </c>
      <c r="AR480" t="s">
        <v>9063</v>
      </c>
      <c r="AS480" t="s">
        <v>74</v>
      </c>
      <c r="AT480" t="s">
        <v>74</v>
      </c>
      <c r="AU480">
        <v>2014</v>
      </c>
      <c r="AV480">
        <v>9151</v>
      </c>
      <c r="AW480" t="s">
        <v>74</v>
      </c>
      <c r="AX480" t="s">
        <v>74</v>
      </c>
      <c r="AY480" t="s">
        <v>74</v>
      </c>
      <c r="AZ480" t="s">
        <v>74</v>
      </c>
      <c r="BA480" t="s">
        <v>74</v>
      </c>
      <c r="BB480" t="s">
        <v>74</v>
      </c>
      <c r="BC480" t="s">
        <v>74</v>
      </c>
      <c r="BD480">
        <v>915127</v>
      </c>
      <c r="BE480" t="s">
        <v>9316</v>
      </c>
      <c r="BF480" t="str">
        <f>HYPERLINK("http://dx.doi.org/10.1117/12.2055461","http://dx.doi.org/10.1117/12.2055461")</f>
        <v>http://dx.doi.org/10.1117/12.2055461</v>
      </c>
      <c r="BG480" t="s">
        <v>74</v>
      </c>
      <c r="BH480" t="s">
        <v>74</v>
      </c>
      <c r="BI480">
        <v>8</v>
      </c>
      <c r="BJ480" t="s">
        <v>9305</v>
      </c>
      <c r="BK480" t="s">
        <v>8799</v>
      </c>
      <c r="BL480" t="s">
        <v>9305</v>
      </c>
      <c r="BM480" t="s">
        <v>9306</v>
      </c>
      <c r="BN480" t="s">
        <v>74</v>
      </c>
      <c r="BO480" t="s">
        <v>74</v>
      </c>
      <c r="BP480" t="s">
        <v>74</v>
      </c>
      <c r="BQ480" t="s">
        <v>74</v>
      </c>
      <c r="BR480" t="s">
        <v>104</v>
      </c>
      <c r="BS480" t="s">
        <v>9317</v>
      </c>
      <c r="BT480" t="str">
        <f>HYPERLINK("https%3A%2F%2Fwww.webofscience.com%2Fwos%2Fwoscc%2Ffull-record%2FWOS:000354525500068","View Full Record in Web of Science")</f>
        <v>View Full Record in Web of Science</v>
      </c>
    </row>
    <row r="481" spans="1:72" x14ac:dyDescent="0.15">
      <c r="A481" t="s">
        <v>8774</v>
      </c>
      <c r="B481" t="s">
        <v>9318</v>
      </c>
      <c r="C481" t="s">
        <v>74</v>
      </c>
      <c r="D481" t="s">
        <v>9289</v>
      </c>
      <c r="E481" t="s">
        <v>74</v>
      </c>
      <c r="F481" t="s">
        <v>9319</v>
      </c>
      <c r="G481" t="s">
        <v>74</v>
      </c>
      <c r="H481" t="s">
        <v>74</v>
      </c>
      <c r="I481" t="s">
        <v>9320</v>
      </c>
      <c r="J481" t="s">
        <v>9292</v>
      </c>
      <c r="K481" t="s">
        <v>9049</v>
      </c>
      <c r="L481" t="s">
        <v>74</v>
      </c>
      <c r="M481" t="s">
        <v>78</v>
      </c>
      <c r="N481" t="s">
        <v>8781</v>
      </c>
      <c r="O481" t="s">
        <v>9293</v>
      </c>
      <c r="P481" t="s">
        <v>9294</v>
      </c>
      <c r="Q481" t="s">
        <v>9295</v>
      </c>
      <c r="R481" t="s">
        <v>74</v>
      </c>
      <c r="S481" t="s">
        <v>74</v>
      </c>
      <c r="T481" t="s">
        <v>9321</v>
      </c>
      <c r="U481" t="s">
        <v>74</v>
      </c>
      <c r="V481" t="s">
        <v>9322</v>
      </c>
      <c r="W481" t="s">
        <v>9323</v>
      </c>
      <c r="X481" t="s">
        <v>9324</v>
      </c>
      <c r="Y481" t="s">
        <v>9325</v>
      </c>
      <c r="Z481" t="s">
        <v>74</v>
      </c>
      <c r="AA481" t="s">
        <v>74</v>
      </c>
      <c r="AB481" t="s">
        <v>74</v>
      </c>
      <c r="AC481" t="s">
        <v>74</v>
      </c>
      <c r="AD481" t="s">
        <v>74</v>
      </c>
      <c r="AE481" t="s">
        <v>74</v>
      </c>
      <c r="AF481" t="s">
        <v>74</v>
      </c>
      <c r="AG481">
        <v>6</v>
      </c>
      <c r="AH481">
        <v>0</v>
      </c>
      <c r="AI481">
        <v>0</v>
      </c>
      <c r="AJ481">
        <v>0</v>
      </c>
      <c r="AK481">
        <v>2</v>
      </c>
      <c r="AL481" t="s">
        <v>9059</v>
      </c>
      <c r="AM481" t="s">
        <v>8092</v>
      </c>
      <c r="AN481" t="s">
        <v>9060</v>
      </c>
      <c r="AO481" t="s">
        <v>9061</v>
      </c>
      <c r="AP481" t="s">
        <v>74</v>
      </c>
      <c r="AQ481" t="s">
        <v>9302</v>
      </c>
      <c r="AR481" t="s">
        <v>9063</v>
      </c>
      <c r="AS481" t="s">
        <v>74</v>
      </c>
      <c r="AT481" t="s">
        <v>74</v>
      </c>
      <c r="AU481">
        <v>2014</v>
      </c>
      <c r="AV481">
        <v>9151</v>
      </c>
      <c r="AW481" t="s">
        <v>74</v>
      </c>
      <c r="AX481" t="s">
        <v>74</v>
      </c>
      <c r="AY481" t="s">
        <v>74</v>
      </c>
      <c r="AZ481" t="s">
        <v>74</v>
      </c>
      <c r="BA481" t="s">
        <v>74</v>
      </c>
      <c r="BB481" t="s">
        <v>74</v>
      </c>
      <c r="BC481" t="s">
        <v>74</v>
      </c>
      <c r="BD481" t="s">
        <v>9326</v>
      </c>
      <c r="BE481" t="s">
        <v>9327</v>
      </c>
      <c r="BF481" t="str">
        <f>HYPERLINK("http://dx.doi.org/10.1117/12.2055303","http://dx.doi.org/10.1117/12.2055303")</f>
        <v>http://dx.doi.org/10.1117/12.2055303</v>
      </c>
      <c r="BG481" t="s">
        <v>74</v>
      </c>
      <c r="BH481" t="s">
        <v>74</v>
      </c>
      <c r="BI481">
        <v>6</v>
      </c>
      <c r="BJ481" t="s">
        <v>9305</v>
      </c>
      <c r="BK481" t="s">
        <v>8799</v>
      </c>
      <c r="BL481" t="s">
        <v>9305</v>
      </c>
      <c r="BM481" t="s">
        <v>9306</v>
      </c>
      <c r="BN481" t="s">
        <v>74</v>
      </c>
      <c r="BO481" t="s">
        <v>74</v>
      </c>
      <c r="BP481" t="s">
        <v>74</v>
      </c>
      <c r="BQ481" t="s">
        <v>74</v>
      </c>
      <c r="BR481" t="s">
        <v>104</v>
      </c>
      <c r="BS481" t="s">
        <v>9328</v>
      </c>
      <c r="BT481" t="str">
        <f>HYPERLINK("https%3A%2F%2Fwww.webofscience.com%2Fwos%2Fwoscc%2Ffull-record%2FWOS:000354525500106","View Full Record in Web of Science")</f>
        <v>View Full Record in Web of Science</v>
      </c>
    </row>
    <row r="482" spans="1:72" x14ac:dyDescent="0.15">
      <c r="A482" t="s">
        <v>8774</v>
      </c>
      <c r="B482" t="s">
        <v>9329</v>
      </c>
      <c r="C482" t="s">
        <v>74</v>
      </c>
      <c r="D482" t="s">
        <v>9330</v>
      </c>
      <c r="E482" t="s">
        <v>74</v>
      </c>
      <c r="F482" t="s">
        <v>9331</v>
      </c>
      <c r="G482" t="s">
        <v>74</v>
      </c>
      <c r="H482" t="s">
        <v>74</v>
      </c>
      <c r="I482" t="s">
        <v>9332</v>
      </c>
      <c r="J482" t="s">
        <v>9333</v>
      </c>
      <c r="K482" t="s">
        <v>9334</v>
      </c>
      <c r="L482" t="s">
        <v>74</v>
      </c>
      <c r="M482" t="s">
        <v>78</v>
      </c>
      <c r="N482" t="s">
        <v>8781</v>
      </c>
      <c r="O482" t="s">
        <v>9335</v>
      </c>
      <c r="P482" t="s">
        <v>9336</v>
      </c>
      <c r="Q482" t="s">
        <v>9337</v>
      </c>
      <c r="R482" t="s">
        <v>74</v>
      </c>
      <c r="S482" t="s">
        <v>74</v>
      </c>
      <c r="T482" t="s">
        <v>74</v>
      </c>
      <c r="U482" t="s">
        <v>9338</v>
      </c>
      <c r="V482" t="s">
        <v>9339</v>
      </c>
      <c r="W482" t="s">
        <v>9340</v>
      </c>
      <c r="X482" t="s">
        <v>9341</v>
      </c>
      <c r="Y482" t="s">
        <v>9342</v>
      </c>
      <c r="Z482" t="s">
        <v>74</v>
      </c>
      <c r="AA482" t="s">
        <v>9343</v>
      </c>
      <c r="AB482" t="s">
        <v>9344</v>
      </c>
      <c r="AC482" t="s">
        <v>74</v>
      </c>
      <c r="AD482" t="s">
        <v>74</v>
      </c>
      <c r="AE482" t="s">
        <v>74</v>
      </c>
      <c r="AF482" t="s">
        <v>74</v>
      </c>
      <c r="AG482">
        <v>21</v>
      </c>
      <c r="AH482">
        <v>1</v>
      </c>
      <c r="AI482">
        <v>2</v>
      </c>
      <c r="AJ482">
        <v>0</v>
      </c>
      <c r="AK482">
        <v>5</v>
      </c>
      <c r="AL482" t="s">
        <v>8908</v>
      </c>
      <c r="AM482" t="s">
        <v>2151</v>
      </c>
      <c r="AN482" t="s">
        <v>8909</v>
      </c>
      <c r="AO482" t="s">
        <v>9345</v>
      </c>
      <c r="AP482" t="s">
        <v>9346</v>
      </c>
      <c r="AQ482" t="s">
        <v>9347</v>
      </c>
      <c r="AR482" t="s">
        <v>9348</v>
      </c>
      <c r="AS482" t="s">
        <v>74</v>
      </c>
      <c r="AT482" t="s">
        <v>74</v>
      </c>
      <c r="AU482">
        <v>2014</v>
      </c>
      <c r="AV482">
        <v>8887</v>
      </c>
      <c r="AW482" t="s">
        <v>74</v>
      </c>
      <c r="AX482" t="s">
        <v>74</v>
      </c>
      <c r="AY482" t="s">
        <v>74</v>
      </c>
      <c r="AZ482" t="s">
        <v>74</v>
      </c>
      <c r="BA482" t="s">
        <v>74</v>
      </c>
      <c r="BB482">
        <v>423</v>
      </c>
      <c r="BC482">
        <v>434</v>
      </c>
      <c r="BD482" t="s">
        <v>74</v>
      </c>
      <c r="BE482" t="s">
        <v>74</v>
      </c>
      <c r="BF482" t="s">
        <v>74</v>
      </c>
      <c r="BG482" t="s">
        <v>74</v>
      </c>
      <c r="BH482" t="s">
        <v>74</v>
      </c>
      <c r="BI482">
        <v>12</v>
      </c>
      <c r="BJ482" t="s">
        <v>9349</v>
      </c>
      <c r="BK482" t="s">
        <v>8799</v>
      </c>
      <c r="BL482" t="s">
        <v>9350</v>
      </c>
      <c r="BM482" t="s">
        <v>9351</v>
      </c>
      <c r="BN482" t="s">
        <v>74</v>
      </c>
      <c r="BO482" t="s">
        <v>74</v>
      </c>
      <c r="BP482" t="s">
        <v>74</v>
      </c>
      <c r="BQ482" t="s">
        <v>74</v>
      </c>
      <c r="BR482" t="s">
        <v>104</v>
      </c>
      <c r="BS482" t="s">
        <v>9352</v>
      </c>
      <c r="BT482" t="str">
        <f>HYPERLINK("https%3A%2F%2Fwww.webofscience.com%2Fwos%2Fwoscc%2Ffull-record%2FWOS:000354694000040","View Full Record in Web of Science")</f>
        <v>View Full Record in Web of Science</v>
      </c>
    </row>
    <row r="483" spans="1:72" x14ac:dyDescent="0.15">
      <c r="A483" t="s">
        <v>8774</v>
      </c>
      <c r="B483" t="s">
        <v>9353</v>
      </c>
      <c r="C483" t="s">
        <v>74</v>
      </c>
      <c r="D483" t="s">
        <v>9354</v>
      </c>
      <c r="E483" t="s">
        <v>74</v>
      </c>
      <c r="F483" t="s">
        <v>9355</v>
      </c>
      <c r="G483" t="s">
        <v>74</v>
      </c>
      <c r="H483" t="s">
        <v>74</v>
      </c>
      <c r="I483" t="s">
        <v>9356</v>
      </c>
      <c r="J483" t="s">
        <v>9357</v>
      </c>
      <c r="K483" t="s">
        <v>9049</v>
      </c>
      <c r="L483" t="s">
        <v>74</v>
      </c>
      <c r="M483" t="s">
        <v>78</v>
      </c>
      <c r="N483" t="s">
        <v>8781</v>
      </c>
      <c r="O483" t="s">
        <v>9358</v>
      </c>
      <c r="P483" t="s">
        <v>9359</v>
      </c>
      <c r="Q483" t="s">
        <v>9295</v>
      </c>
      <c r="R483" t="s">
        <v>74</v>
      </c>
      <c r="S483" t="s">
        <v>74</v>
      </c>
      <c r="T483" t="s">
        <v>9360</v>
      </c>
      <c r="U483" t="s">
        <v>9361</v>
      </c>
      <c r="V483" t="s">
        <v>9362</v>
      </c>
      <c r="W483" t="s">
        <v>9363</v>
      </c>
      <c r="X483" t="s">
        <v>9364</v>
      </c>
      <c r="Y483" t="s">
        <v>9365</v>
      </c>
      <c r="Z483" t="s">
        <v>9366</v>
      </c>
      <c r="AA483" t="s">
        <v>9367</v>
      </c>
      <c r="AB483" t="s">
        <v>9368</v>
      </c>
      <c r="AC483" t="s">
        <v>74</v>
      </c>
      <c r="AD483" t="s">
        <v>74</v>
      </c>
      <c r="AE483" t="s">
        <v>74</v>
      </c>
      <c r="AF483" t="s">
        <v>74</v>
      </c>
      <c r="AG483">
        <v>41</v>
      </c>
      <c r="AH483">
        <v>12</v>
      </c>
      <c r="AI483">
        <v>14</v>
      </c>
      <c r="AJ483">
        <v>0</v>
      </c>
      <c r="AK483">
        <v>2</v>
      </c>
      <c r="AL483" t="s">
        <v>9059</v>
      </c>
      <c r="AM483" t="s">
        <v>8092</v>
      </c>
      <c r="AN483" t="s">
        <v>9060</v>
      </c>
      <c r="AO483" t="s">
        <v>9061</v>
      </c>
      <c r="AP483" t="s">
        <v>74</v>
      </c>
      <c r="AQ483" t="s">
        <v>9369</v>
      </c>
      <c r="AR483" t="s">
        <v>9063</v>
      </c>
      <c r="AS483" t="s">
        <v>74</v>
      </c>
      <c r="AT483" t="s">
        <v>74</v>
      </c>
      <c r="AU483">
        <v>2014</v>
      </c>
      <c r="AV483">
        <v>9145</v>
      </c>
      <c r="AW483" t="s">
        <v>74</v>
      </c>
      <c r="AX483" t="s">
        <v>74</v>
      </c>
      <c r="AY483" t="s">
        <v>74</v>
      </c>
      <c r="AZ483" t="s">
        <v>74</v>
      </c>
      <c r="BA483" t="s">
        <v>74</v>
      </c>
      <c r="BB483" t="s">
        <v>74</v>
      </c>
      <c r="BC483" t="s">
        <v>74</v>
      </c>
      <c r="BD483" t="s">
        <v>9370</v>
      </c>
      <c r="BE483" t="s">
        <v>9371</v>
      </c>
      <c r="BF483" t="str">
        <f>HYPERLINK("http://dx.doi.org/10.1117/12.2054759","http://dx.doi.org/10.1117/12.2054759")</f>
        <v>http://dx.doi.org/10.1117/12.2054759</v>
      </c>
      <c r="BG483" t="s">
        <v>74</v>
      </c>
      <c r="BH483" t="s">
        <v>74</v>
      </c>
      <c r="BI483">
        <v>11</v>
      </c>
      <c r="BJ483" t="s">
        <v>9305</v>
      </c>
      <c r="BK483" t="s">
        <v>8799</v>
      </c>
      <c r="BL483" t="s">
        <v>9305</v>
      </c>
      <c r="BM483" t="s">
        <v>9372</v>
      </c>
      <c r="BN483" t="s">
        <v>74</v>
      </c>
      <c r="BO483" t="s">
        <v>454</v>
      </c>
      <c r="BP483" t="s">
        <v>74</v>
      </c>
      <c r="BQ483" t="s">
        <v>74</v>
      </c>
      <c r="BR483" t="s">
        <v>104</v>
      </c>
      <c r="BS483" t="s">
        <v>9373</v>
      </c>
      <c r="BT483" t="str">
        <f>HYPERLINK("https%3A%2F%2Fwww.webofscience.com%2Fwos%2Fwoscc%2Ffull-record%2FWOS:000354375800025","View Full Record in Web of Science")</f>
        <v>View Full Record in Web of Science</v>
      </c>
    </row>
    <row r="484" spans="1:72" x14ac:dyDescent="0.15">
      <c r="A484" t="s">
        <v>8774</v>
      </c>
      <c r="B484" t="s">
        <v>9374</v>
      </c>
      <c r="C484" t="s">
        <v>74</v>
      </c>
      <c r="D484" t="s">
        <v>9354</v>
      </c>
      <c r="E484" t="s">
        <v>74</v>
      </c>
      <c r="F484" t="s">
        <v>9375</v>
      </c>
      <c r="G484" t="s">
        <v>74</v>
      </c>
      <c r="H484" t="s">
        <v>74</v>
      </c>
      <c r="I484" t="s">
        <v>9376</v>
      </c>
      <c r="J484" t="s">
        <v>9357</v>
      </c>
      <c r="K484" t="s">
        <v>9049</v>
      </c>
      <c r="L484" t="s">
        <v>74</v>
      </c>
      <c r="M484" t="s">
        <v>78</v>
      </c>
      <c r="N484" t="s">
        <v>8781</v>
      </c>
      <c r="O484" t="s">
        <v>9358</v>
      </c>
      <c r="P484" t="s">
        <v>9359</v>
      </c>
      <c r="Q484" t="s">
        <v>9295</v>
      </c>
      <c r="R484" t="s">
        <v>74</v>
      </c>
      <c r="S484" t="s">
        <v>74</v>
      </c>
      <c r="T484" t="s">
        <v>9377</v>
      </c>
      <c r="U484" t="s">
        <v>9378</v>
      </c>
      <c r="V484" t="s">
        <v>9379</v>
      </c>
      <c r="W484" t="s">
        <v>9380</v>
      </c>
      <c r="X484" t="s">
        <v>9381</v>
      </c>
      <c r="Y484" t="s">
        <v>9382</v>
      </c>
      <c r="Z484" t="s">
        <v>9383</v>
      </c>
      <c r="AA484" t="s">
        <v>74</v>
      </c>
      <c r="AB484" t="s">
        <v>9384</v>
      </c>
      <c r="AC484" t="s">
        <v>74</v>
      </c>
      <c r="AD484" t="s">
        <v>74</v>
      </c>
      <c r="AE484" t="s">
        <v>74</v>
      </c>
      <c r="AF484" t="s">
        <v>74</v>
      </c>
      <c r="AG484">
        <v>22</v>
      </c>
      <c r="AH484">
        <v>0</v>
      </c>
      <c r="AI484">
        <v>0</v>
      </c>
      <c r="AJ484">
        <v>0</v>
      </c>
      <c r="AK484">
        <v>1</v>
      </c>
      <c r="AL484" t="s">
        <v>9059</v>
      </c>
      <c r="AM484" t="s">
        <v>8092</v>
      </c>
      <c r="AN484" t="s">
        <v>9060</v>
      </c>
      <c r="AO484" t="s">
        <v>9061</v>
      </c>
      <c r="AP484" t="s">
        <v>9385</v>
      </c>
      <c r="AQ484" t="s">
        <v>9369</v>
      </c>
      <c r="AR484" t="s">
        <v>9063</v>
      </c>
      <c r="AS484" t="s">
        <v>74</v>
      </c>
      <c r="AT484" t="s">
        <v>74</v>
      </c>
      <c r="AU484">
        <v>2014</v>
      </c>
      <c r="AV484">
        <v>9145</v>
      </c>
      <c r="AW484" t="s">
        <v>74</v>
      </c>
      <c r="AX484" t="s">
        <v>74</v>
      </c>
      <c r="AY484" t="s">
        <v>74</v>
      </c>
      <c r="AZ484" t="s">
        <v>74</v>
      </c>
      <c r="BA484" t="s">
        <v>74</v>
      </c>
      <c r="BB484" t="s">
        <v>74</v>
      </c>
      <c r="BC484" t="s">
        <v>74</v>
      </c>
      <c r="BD484">
        <v>914535</v>
      </c>
      <c r="BE484" t="s">
        <v>9386</v>
      </c>
      <c r="BF484" t="str">
        <f>HYPERLINK("http://dx.doi.org/10.1117/12.2055748","http://dx.doi.org/10.1117/12.2055748")</f>
        <v>http://dx.doi.org/10.1117/12.2055748</v>
      </c>
      <c r="BG484" t="s">
        <v>74</v>
      </c>
      <c r="BH484" t="s">
        <v>74</v>
      </c>
      <c r="BI484">
        <v>8</v>
      </c>
      <c r="BJ484" t="s">
        <v>9305</v>
      </c>
      <c r="BK484" t="s">
        <v>8799</v>
      </c>
      <c r="BL484" t="s">
        <v>9305</v>
      </c>
      <c r="BM484" t="s">
        <v>9372</v>
      </c>
      <c r="BN484" t="s">
        <v>74</v>
      </c>
      <c r="BO484" t="s">
        <v>74</v>
      </c>
      <c r="BP484" t="s">
        <v>74</v>
      </c>
      <c r="BQ484" t="s">
        <v>74</v>
      </c>
      <c r="BR484" t="s">
        <v>104</v>
      </c>
      <c r="BS484" t="s">
        <v>9387</v>
      </c>
      <c r="BT484" t="str">
        <f>HYPERLINK("https%3A%2F%2Fwww.webofscience.com%2Fwos%2Fwoscc%2Ffull-record%2FWOS:000354375800104","View Full Record in Web of Science")</f>
        <v>View Full Record in Web of Science</v>
      </c>
    </row>
    <row r="485" spans="1:72" x14ac:dyDescent="0.15">
      <c r="A485" t="s">
        <v>8774</v>
      </c>
      <c r="B485" t="s">
        <v>9388</v>
      </c>
      <c r="C485" t="s">
        <v>74</v>
      </c>
      <c r="D485" t="s">
        <v>9354</v>
      </c>
      <c r="E485" t="s">
        <v>74</v>
      </c>
      <c r="F485" t="s">
        <v>9389</v>
      </c>
      <c r="G485" t="s">
        <v>74</v>
      </c>
      <c r="H485" t="s">
        <v>74</v>
      </c>
      <c r="I485" t="s">
        <v>9390</v>
      </c>
      <c r="J485" t="s">
        <v>9357</v>
      </c>
      <c r="K485" t="s">
        <v>9049</v>
      </c>
      <c r="L485" t="s">
        <v>74</v>
      </c>
      <c r="M485" t="s">
        <v>78</v>
      </c>
      <c r="N485" t="s">
        <v>8781</v>
      </c>
      <c r="O485" t="s">
        <v>9358</v>
      </c>
      <c r="P485" t="s">
        <v>9359</v>
      </c>
      <c r="Q485" t="s">
        <v>9295</v>
      </c>
      <c r="R485" t="s">
        <v>74</v>
      </c>
      <c r="S485" t="s">
        <v>74</v>
      </c>
      <c r="T485" t="s">
        <v>9391</v>
      </c>
      <c r="U485" t="s">
        <v>74</v>
      </c>
      <c r="V485" t="s">
        <v>9392</v>
      </c>
      <c r="W485" t="s">
        <v>9393</v>
      </c>
      <c r="X485" t="s">
        <v>9394</v>
      </c>
      <c r="Y485" t="s">
        <v>9395</v>
      </c>
      <c r="Z485" t="s">
        <v>9396</v>
      </c>
      <c r="AA485" t="s">
        <v>9397</v>
      </c>
      <c r="AB485" t="s">
        <v>9398</v>
      </c>
      <c r="AC485" t="s">
        <v>74</v>
      </c>
      <c r="AD485" t="s">
        <v>74</v>
      </c>
      <c r="AE485" t="s">
        <v>74</v>
      </c>
      <c r="AF485" t="s">
        <v>74</v>
      </c>
      <c r="AG485">
        <v>10</v>
      </c>
      <c r="AH485">
        <v>17</v>
      </c>
      <c r="AI485">
        <v>17</v>
      </c>
      <c r="AJ485">
        <v>1</v>
      </c>
      <c r="AK485">
        <v>7</v>
      </c>
      <c r="AL485" t="s">
        <v>9059</v>
      </c>
      <c r="AM485" t="s">
        <v>8092</v>
      </c>
      <c r="AN485" t="s">
        <v>9060</v>
      </c>
      <c r="AO485" t="s">
        <v>9061</v>
      </c>
      <c r="AP485" t="s">
        <v>9385</v>
      </c>
      <c r="AQ485" t="s">
        <v>9369</v>
      </c>
      <c r="AR485" t="s">
        <v>9063</v>
      </c>
      <c r="AS485" t="s">
        <v>74</v>
      </c>
      <c r="AT485" t="s">
        <v>74</v>
      </c>
      <c r="AU485">
        <v>2014</v>
      </c>
      <c r="AV485">
        <v>9145</v>
      </c>
      <c r="AW485" t="s">
        <v>74</v>
      </c>
      <c r="AX485" t="s">
        <v>74</v>
      </c>
      <c r="AY485" t="s">
        <v>74</v>
      </c>
      <c r="AZ485" t="s">
        <v>74</v>
      </c>
      <c r="BA485" t="s">
        <v>74</v>
      </c>
      <c r="BB485" t="s">
        <v>74</v>
      </c>
      <c r="BC485" t="s">
        <v>74</v>
      </c>
      <c r="BD485" t="s">
        <v>9399</v>
      </c>
      <c r="BE485" t="s">
        <v>9400</v>
      </c>
      <c r="BF485" t="str">
        <f>HYPERLINK("http://dx.doi.org/10.1117/12.2055624","http://dx.doi.org/10.1117/12.2055624")</f>
        <v>http://dx.doi.org/10.1117/12.2055624</v>
      </c>
      <c r="BG485" t="s">
        <v>74</v>
      </c>
      <c r="BH485" t="s">
        <v>74</v>
      </c>
      <c r="BI485">
        <v>8</v>
      </c>
      <c r="BJ485" t="s">
        <v>9305</v>
      </c>
      <c r="BK485" t="s">
        <v>8799</v>
      </c>
      <c r="BL485" t="s">
        <v>9305</v>
      </c>
      <c r="BM485" t="s">
        <v>9372</v>
      </c>
      <c r="BN485" t="s">
        <v>74</v>
      </c>
      <c r="BO485" t="s">
        <v>74</v>
      </c>
      <c r="BP485" t="s">
        <v>74</v>
      </c>
      <c r="BQ485" t="s">
        <v>74</v>
      </c>
      <c r="BR485" t="s">
        <v>104</v>
      </c>
      <c r="BS485" t="s">
        <v>9401</v>
      </c>
      <c r="BT485" t="str">
        <f>HYPERLINK("https%3A%2F%2Fwww.webofscience.com%2Fwos%2Fwoscc%2Ffull-record%2FWOS:000354375800014","View Full Record in Web of Science")</f>
        <v>View Full Record in Web of Science</v>
      </c>
    </row>
    <row r="486" spans="1:72" x14ac:dyDescent="0.15">
      <c r="A486" t="s">
        <v>8774</v>
      </c>
      <c r="B486" t="s">
        <v>9402</v>
      </c>
      <c r="C486" t="s">
        <v>74</v>
      </c>
      <c r="D486" t="s">
        <v>9354</v>
      </c>
      <c r="E486" t="s">
        <v>74</v>
      </c>
      <c r="F486" t="s">
        <v>9403</v>
      </c>
      <c r="G486" t="s">
        <v>74</v>
      </c>
      <c r="H486" t="s">
        <v>74</v>
      </c>
      <c r="I486" t="s">
        <v>9404</v>
      </c>
      <c r="J486" t="s">
        <v>9357</v>
      </c>
      <c r="K486" t="s">
        <v>9049</v>
      </c>
      <c r="L486" t="s">
        <v>74</v>
      </c>
      <c r="M486" t="s">
        <v>78</v>
      </c>
      <c r="N486" t="s">
        <v>8781</v>
      </c>
      <c r="O486" t="s">
        <v>9358</v>
      </c>
      <c r="P486" t="s">
        <v>9359</v>
      </c>
      <c r="Q486" t="s">
        <v>9295</v>
      </c>
      <c r="R486" t="s">
        <v>74</v>
      </c>
      <c r="S486" t="s">
        <v>74</v>
      </c>
      <c r="T486" t="s">
        <v>9405</v>
      </c>
      <c r="U486" t="s">
        <v>9406</v>
      </c>
      <c r="V486" t="s">
        <v>9407</v>
      </c>
      <c r="W486" t="s">
        <v>9408</v>
      </c>
      <c r="X486" t="s">
        <v>9409</v>
      </c>
      <c r="Y486" t="s">
        <v>9410</v>
      </c>
      <c r="Z486" t="s">
        <v>74</v>
      </c>
      <c r="AA486" t="s">
        <v>9411</v>
      </c>
      <c r="AB486" t="s">
        <v>74</v>
      </c>
      <c r="AC486" t="s">
        <v>74</v>
      </c>
      <c r="AD486" t="s">
        <v>74</v>
      </c>
      <c r="AE486" t="s">
        <v>74</v>
      </c>
      <c r="AF486" t="s">
        <v>74</v>
      </c>
      <c r="AG486">
        <v>18</v>
      </c>
      <c r="AH486">
        <v>14</v>
      </c>
      <c r="AI486">
        <v>15</v>
      </c>
      <c r="AJ486">
        <v>3</v>
      </c>
      <c r="AK486">
        <v>12</v>
      </c>
      <c r="AL486" t="s">
        <v>9059</v>
      </c>
      <c r="AM486" t="s">
        <v>8092</v>
      </c>
      <c r="AN486" t="s">
        <v>9060</v>
      </c>
      <c r="AO486" t="s">
        <v>9061</v>
      </c>
      <c r="AP486" t="s">
        <v>74</v>
      </c>
      <c r="AQ486" t="s">
        <v>9369</v>
      </c>
      <c r="AR486" t="s">
        <v>9063</v>
      </c>
      <c r="AS486" t="s">
        <v>74</v>
      </c>
      <c r="AT486" t="s">
        <v>74</v>
      </c>
      <c r="AU486">
        <v>2014</v>
      </c>
      <c r="AV486">
        <v>9145</v>
      </c>
      <c r="AW486" t="s">
        <v>74</v>
      </c>
      <c r="AX486" t="s">
        <v>74</v>
      </c>
      <c r="AY486" t="s">
        <v>74</v>
      </c>
      <c r="AZ486" t="s">
        <v>74</v>
      </c>
      <c r="BA486" t="s">
        <v>74</v>
      </c>
      <c r="BB486" t="s">
        <v>74</v>
      </c>
      <c r="BC486" t="s">
        <v>74</v>
      </c>
      <c r="BD486" t="s">
        <v>9412</v>
      </c>
      <c r="BE486" t="s">
        <v>9413</v>
      </c>
      <c r="BF486" t="str">
        <f>HYPERLINK("http://dx.doi.org/10.1117/12.2055768","http://dx.doi.org/10.1117/12.2055768")</f>
        <v>http://dx.doi.org/10.1117/12.2055768</v>
      </c>
      <c r="BG486" t="s">
        <v>74</v>
      </c>
      <c r="BH486" t="s">
        <v>74</v>
      </c>
      <c r="BI486">
        <v>17</v>
      </c>
      <c r="BJ486" t="s">
        <v>9305</v>
      </c>
      <c r="BK486" t="s">
        <v>8799</v>
      </c>
      <c r="BL486" t="s">
        <v>9305</v>
      </c>
      <c r="BM486" t="s">
        <v>9372</v>
      </c>
      <c r="BN486" t="s">
        <v>74</v>
      </c>
      <c r="BO486" t="s">
        <v>74</v>
      </c>
      <c r="BP486" t="s">
        <v>74</v>
      </c>
      <c r="BQ486" t="s">
        <v>74</v>
      </c>
      <c r="BR486" t="s">
        <v>104</v>
      </c>
      <c r="BS486" t="s">
        <v>9414</v>
      </c>
      <c r="BT486" t="str">
        <f>HYPERLINK("https%3A%2F%2Fwww.webofscience.com%2Fwos%2Fwoscc%2Ffull-record%2FWOS:000354375800013","View Full Record in Web of Science")</f>
        <v>View Full Record in Web of Science</v>
      </c>
    </row>
    <row r="487" spans="1:72" x14ac:dyDescent="0.15">
      <c r="A487" t="s">
        <v>8774</v>
      </c>
      <c r="B487" t="s">
        <v>9415</v>
      </c>
      <c r="C487" t="s">
        <v>74</v>
      </c>
      <c r="D487" t="s">
        <v>9416</v>
      </c>
      <c r="E487" t="s">
        <v>74</v>
      </c>
      <c r="F487" t="s">
        <v>9417</v>
      </c>
      <c r="G487" t="s">
        <v>74</v>
      </c>
      <c r="H487" t="s">
        <v>74</v>
      </c>
      <c r="I487" t="s">
        <v>9418</v>
      </c>
      <c r="J487" t="s">
        <v>9419</v>
      </c>
      <c r="K487" t="s">
        <v>9420</v>
      </c>
      <c r="L487" t="s">
        <v>74</v>
      </c>
      <c r="M487" t="s">
        <v>78</v>
      </c>
      <c r="N487" t="s">
        <v>8781</v>
      </c>
      <c r="O487" t="s">
        <v>9421</v>
      </c>
      <c r="P487" t="s">
        <v>9422</v>
      </c>
      <c r="Q487" t="s">
        <v>9423</v>
      </c>
      <c r="R487" t="s">
        <v>74</v>
      </c>
      <c r="S487" t="s">
        <v>74</v>
      </c>
      <c r="T487" t="s">
        <v>9424</v>
      </c>
      <c r="U487" t="s">
        <v>74</v>
      </c>
      <c r="V487" t="s">
        <v>9425</v>
      </c>
      <c r="W487" t="s">
        <v>9426</v>
      </c>
      <c r="X487" t="s">
        <v>9427</v>
      </c>
      <c r="Y487" t="s">
        <v>9428</v>
      </c>
      <c r="Z487" t="s">
        <v>9429</v>
      </c>
      <c r="AA487" t="s">
        <v>74</v>
      </c>
      <c r="AB487" t="s">
        <v>74</v>
      </c>
      <c r="AC487" t="s">
        <v>74</v>
      </c>
      <c r="AD487" t="s">
        <v>74</v>
      </c>
      <c r="AE487" t="s">
        <v>74</v>
      </c>
      <c r="AF487" t="s">
        <v>74</v>
      </c>
      <c r="AG487">
        <v>13</v>
      </c>
      <c r="AH487">
        <v>0</v>
      </c>
      <c r="AI487">
        <v>0</v>
      </c>
      <c r="AJ487">
        <v>1</v>
      </c>
      <c r="AK487">
        <v>6</v>
      </c>
      <c r="AL487" t="s">
        <v>8908</v>
      </c>
      <c r="AM487" t="s">
        <v>2151</v>
      </c>
      <c r="AN487" t="s">
        <v>8909</v>
      </c>
      <c r="AO487" t="s">
        <v>9345</v>
      </c>
      <c r="AP487" t="s">
        <v>9346</v>
      </c>
      <c r="AQ487" t="s">
        <v>9430</v>
      </c>
      <c r="AR487" t="s">
        <v>9431</v>
      </c>
      <c r="AS487" t="s">
        <v>74</v>
      </c>
      <c r="AT487" t="s">
        <v>74</v>
      </c>
      <c r="AU487">
        <v>2014</v>
      </c>
      <c r="AV487">
        <v>8918</v>
      </c>
      <c r="AW487" t="s">
        <v>74</v>
      </c>
      <c r="AX487" t="s">
        <v>74</v>
      </c>
      <c r="AY487" t="s">
        <v>74</v>
      </c>
      <c r="AZ487" t="s">
        <v>74</v>
      </c>
      <c r="BA487" t="s">
        <v>74</v>
      </c>
      <c r="BB487">
        <v>546</v>
      </c>
      <c r="BC487">
        <v>554</v>
      </c>
      <c r="BD487" t="s">
        <v>74</v>
      </c>
      <c r="BE487" t="s">
        <v>74</v>
      </c>
      <c r="BF487" t="s">
        <v>74</v>
      </c>
      <c r="BG487" t="s">
        <v>74</v>
      </c>
      <c r="BH487" t="s">
        <v>74</v>
      </c>
      <c r="BI487">
        <v>9</v>
      </c>
      <c r="BJ487" t="s">
        <v>9432</v>
      </c>
      <c r="BK487" t="s">
        <v>8799</v>
      </c>
      <c r="BL487" t="s">
        <v>9433</v>
      </c>
      <c r="BM487" t="s">
        <v>9434</v>
      </c>
      <c r="BN487" t="s">
        <v>74</v>
      </c>
      <c r="BO487" t="s">
        <v>74</v>
      </c>
      <c r="BP487" t="s">
        <v>74</v>
      </c>
      <c r="BQ487" t="s">
        <v>74</v>
      </c>
      <c r="BR487" t="s">
        <v>104</v>
      </c>
      <c r="BS487" t="s">
        <v>9435</v>
      </c>
      <c r="BT487" t="str">
        <f>HYPERLINK("https%3A%2F%2Fwww.webofscience.com%2Fwos%2Fwoscc%2Ffull-record%2FWOS:000354873500055","View Full Record in Web of Science")</f>
        <v>View Full Record in Web of Science</v>
      </c>
    </row>
    <row r="488" spans="1:72" x14ac:dyDescent="0.15">
      <c r="A488" t="s">
        <v>8774</v>
      </c>
      <c r="B488" t="s">
        <v>9436</v>
      </c>
      <c r="C488" t="s">
        <v>74</v>
      </c>
      <c r="D488" t="s">
        <v>9437</v>
      </c>
      <c r="E488" t="s">
        <v>74</v>
      </c>
      <c r="F488" t="s">
        <v>9438</v>
      </c>
      <c r="G488" t="s">
        <v>74</v>
      </c>
      <c r="H488" t="s">
        <v>74</v>
      </c>
      <c r="I488" t="s">
        <v>9439</v>
      </c>
      <c r="J488" t="s">
        <v>9440</v>
      </c>
      <c r="K488" t="s">
        <v>9049</v>
      </c>
      <c r="L488" t="s">
        <v>74</v>
      </c>
      <c r="M488" t="s">
        <v>78</v>
      </c>
      <c r="N488" t="s">
        <v>8781</v>
      </c>
      <c r="O488" t="s">
        <v>9441</v>
      </c>
      <c r="P488" t="s">
        <v>9294</v>
      </c>
      <c r="Q488" t="s">
        <v>9295</v>
      </c>
      <c r="R488" t="s">
        <v>74</v>
      </c>
      <c r="S488" t="s">
        <v>74</v>
      </c>
      <c r="T488" t="s">
        <v>9442</v>
      </c>
      <c r="U488" t="s">
        <v>9443</v>
      </c>
      <c r="V488" t="s">
        <v>9444</v>
      </c>
      <c r="W488" t="s">
        <v>9445</v>
      </c>
      <c r="X488" t="s">
        <v>9446</v>
      </c>
      <c r="Y488" t="s">
        <v>9447</v>
      </c>
      <c r="Z488" t="s">
        <v>9448</v>
      </c>
      <c r="AA488" t="s">
        <v>74</v>
      </c>
      <c r="AB488" t="s">
        <v>9449</v>
      </c>
      <c r="AC488" t="s">
        <v>74</v>
      </c>
      <c r="AD488" t="s">
        <v>74</v>
      </c>
      <c r="AE488" t="s">
        <v>74</v>
      </c>
      <c r="AF488" t="s">
        <v>74</v>
      </c>
      <c r="AG488">
        <v>42</v>
      </c>
      <c r="AH488">
        <v>0</v>
      </c>
      <c r="AI488">
        <v>0</v>
      </c>
      <c r="AJ488">
        <v>0</v>
      </c>
      <c r="AK488">
        <v>2</v>
      </c>
      <c r="AL488" t="s">
        <v>9059</v>
      </c>
      <c r="AM488" t="s">
        <v>8092</v>
      </c>
      <c r="AN488" t="s">
        <v>9060</v>
      </c>
      <c r="AO488" t="s">
        <v>9061</v>
      </c>
      <c r="AP488" t="s">
        <v>9385</v>
      </c>
      <c r="AQ488" t="s">
        <v>9450</v>
      </c>
      <c r="AR488" t="s">
        <v>9063</v>
      </c>
      <c r="AS488" t="s">
        <v>74</v>
      </c>
      <c r="AT488" t="s">
        <v>74</v>
      </c>
      <c r="AU488">
        <v>2014</v>
      </c>
      <c r="AV488">
        <v>9146</v>
      </c>
      <c r="AW488" t="s">
        <v>74</v>
      </c>
      <c r="AX488" t="s">
        <v>74</v>
      </c>
      <c r="AY488" t="s">
        <v>74</v>
      </c>
      <c r="AZ488" t="s">
        <v>74</v>
      </c>
      <c r="BA488" t="s">
        <v>74</v>
      </c>
      <c r="BB488" t="s">
        <v>74</v>
      </c>
      <c r="BC488" t="s">
        <v>74</v>
      </c>
      <c r="BD488" t="s">
        <v>9451</v>
      </c>
      <c r="BE488" t="s">
        <v>9452</v>
      </c>
      <c r="BF488" t="str">
        <f>HYPERLINK("http://dx.doi.org/10.1117/12.2055295","http://dx.doi.org/10.1117/12.2055295")</f>
        <v>http://dx.doi.org/10.1117/12.2055295</v>
      </c>
      <c r="BG488" t="s">
        <v>74</v>
      </c>
      <c r="BH488" t="s">
        <v>74</v>
      </c>
      <c r="BI488">
        <v>17</v>
      </c>
      <c r="BJ488" t="s">
        <v>9453</v>
      </c>
      <c r="BK488" t="s">
        <v>8799</v>
      </c>
      <c r="BL488" t="s">
        <v>9454</v>
      </c>
      <c r="BM488" t="s">
        <v>9455</v>
      </c>
      <c r="BN488" t="s">
        <v>74</v>
      </c>
      <c r="BO488" t="s">
        <v>2649</v>
      </c>
      <c r="BP488" t="s">
        <v>74</v>
      </c>
      <c r="BQ488" t="s">
        <v>74</v>
      </c>
      <c r="BR488" t="s">
        <v>104</v>
      </c>
      <c r="BS488" t="s">
        <v>9456</v>
      </c>
      <c r="BT488" t="str">
        <f>HYPERLINK("https%3A%2F%2Fwww.webofscience.com%2Fwos%2Fwoscc%2Ffull-record%2FWOS:000354379200082","View Full Record in Web of Science")</f>
        <v>View Full Record in Web of Science</v>
      </c>
    </row>
    <row r="489" spans="1:72" x14ac:dyDescent="0.15">
      <c r="A489" t="s">
        <v>8803</v>
      </c>
      <c r="B489" t="s">
        <v>9457</v>
      </c>
      <c r="C489" t="s">
        <v>74</v>
      </c>
      <c r="D489" t="s">
        <v>74</v>
      </c>
      <c r="E489" t="s">
        <v>74</v>
      </c>
      <c r="F489" t="s">
        <v>9457</v>
      </c>
      <c r="G489" t="s">
        <v>74</v>
      </c>
      <c r="H489" t="s">
        <v>74</v>
      </c>
      <c r="I489" t="s">
        <v>9458</v>
      </c>
      <c r="J489" t="s">
        <v>9459</v>
      </c>
      <c r="K489" t="s">
        <v>74</v>
      </c>
      <c r="L489" t="s">
        <v>74</v>
      </c>
      <c r="M489" t="s">
        <v>78</v>
      </c>
      <c r="N489" t="s">
        <v>9460</v>
      </c>
      <c r="O489" t="s">
        <v>74</v>
      </c>
      <c r="P489" t="s">
        <v>74</v>
      </c>
      <c r="Q489" t="s">
        <v>74</v>
      </c>
      <c r="R489" t="s">
        <v>74</v>
      </c>
      <c r="S489" t="s">
        <v>74</v>
      </c>
      <c r="T489" t="s">
        <v>74</v>
      </c>
      <c r="U489" t="s">
        <v>74</v>
      </c>
      <c r="V489" t="s">
        <v>74</v>
      </c>
      <c r="W489" t="s">
        <v>74</v>
      </c>
      <c r="X489" t="s">
        <v>74</v>
      </c>
      <c r="Y489" t="s">
        <v>74</v>
      </c>
      <c r="Z489" t="s">
        <v>74</v>
      </c>
      <c r="AA489" t="s">
        <v>9461</v>
      </c>
      <c r="AB489" t="s">
        <v>74</v>
      </c>
      <c r="AC489" t="s">
        <v>74</v>
      </c>
      <c r="AD489" t="s">
        <v>74</v>
      </c>
      <c r="AE489" t="s">
        <v>74</v>
      </c>
      <c r="AF489" t="s">
        <v>74</v>
      </c>
      <c r="AG489">
        <v>0</v>
      </c>
      <c r="AH489">
        <v>24</v>
      </c>
      <c r="AI489">
        <v>26</v>
      </c>
      <c r="AJ489">
        <v>0</v>
      </c>
      <c r="AK489">
        <v>1</v>
      </c>
      <c r="AL489" t="s">
        <v>1048</v>
      </c>
      <c r="AM489" t="s">
        <v>92</v>
      </c>
      <c r="AN489" t="s">
        <v>9462</v>
      </c>
      <c r="AO489" t="s">
        <v>74</v>
      </c>
      <c r="AP489" t="s">
        <v>74</v>
      </c>
      <c r="AQ489" t="s">
        <v>9463</v>
      </c>
      <c r="AR489" t="s">
        <v>74</v>
      </c>
      <c r="AS489" t="s">
        <v>74</v>
      </c>
      <c r="AT489" t="s">
        <v>74</v>
      </c>
      <c r="AU489">
        <v>2014</v>
      </c>
      <c r="AV489" t="s">
        <v>74</v>
      </c>
      <c r="AW489" t="s">
        <v>74</v>
      </c>
      <c r="AX489" t="s">
        <v>74</v>
      </c>
      <c r="AY489" t="s">
        <v>74</v>
      </c>
      <c r="AZ489" t="s">
        <v>74</v>
      </c>
      <c r="BA489" t="s">
        <v>74</v>
      </c>
      <c r="BB489">
        <v>1</v>
      </c>
      <c r="BC489">
        <v>215</v>
      </c>
      <c r="BD489" t="s">
        <v>74</v>
      </c>
      <c r="BE489" t="s">
        <v>9464</v>
      </c>
      <c r="BF489" t="str">
        <f>HYPERLINK("http://dx.doi.org/10.1093/acprof:oso/9780199670499.001.0001","http://dx.doi.org/10.1093/acprof:oso/9780199670499.001.0001")</f>
        <v>http://dx.doi.org/10.1093/acprof:oso/9780199670499.001.0001</v>
      </c>
      <c r="BG489" t="s">
        <v>74</v>
      </c>
      <c r="BH489" t="s">
        <v>74</v>
      </c>
      <c r="BI489">
        <v>215</v>
      </c>
      <c r="BJ489" t="s">
        <v>9465</v>
      </c>
      <c r="BK489" t="s">
        <v>8850</v>
      </c>
      <c r="BL489" t="s">
        <v>2115</v>
      </c>
      <c r="BM489" t="s">
        <v>9466</v>
      </c>
      <c r="BN489" t="s">
        <v>74</v>
      </c>
      <c r="BO489" t="s">
        <v>74</v>
      </c>
      <c r="BP489" t="s">
        <v>74</v>
      </c>
      <c r="BQ489" t="s">
        <v>74</v>
      </c>
      <c r="BR489" t="s">
        <v>104</v>
      </c>
      <c r="BS489" t="s">
        <v>9467</v>
      </c>
      <c r="BT489" t="str">
        <f>HYPERLINK("https%3A%2F%2Fwww.webofscience.com%2Fwos%2Fwoscc%2Ffull-record%2FWOS:000353836700010","View Full Record in Web of Science")</f>
        <v>View Full Record in Web of Science</v>
      </c>
    </row>
    <row r="490" spans="1:72" x14ac:dyDescent="0.15">
      <c r="A490" t="s">
        <v>8803</v>
      </c>
      <c r="B490" t="s">
        <v>9468</v>
      </c>
      <c r="C490" t="s">
        <v>9457</v>
      </c>
      <c r="D490" t="s">
        <v>74</v>
      </c>
      <c r="E490" t="s">
        <v>74</v>
      </c>
      <c r="F490" t="s">
        <v>9469</v>
      </c>
      <c r="G490" t="s">
        <v>9457</v>
      </c>
      <c r="H490" t="s">
        <v>74</v>
      </c>
      <c r="I490" t="s">
        <v>9470</v>
      </c>
      <c r="J490" t="s">
        <v>9459</v>
      </c>
      <c r="K490" t="s">
        <v>74</v>
      </c>
      <c r="L490" t="s">
        <v>74</v>
      </c>
      <c r="M490" t="s">
        <v>78</v>
      </c>
      <c r="N490" t="s">
        <v>8809</v>
      </c>
      <c r="O490" t="s">
        <v>74</v>
      </c>
      <c r="P490" t="s">
        <v>74</v>
      </c>
      <c r="Q490" t="s">
        <v>74</v>
      </c>
      <c r="R490" t="s">
        <v>74</v>
      </c>
      <c r="S490" t="s">
        <v>74</v>
      </c>
      <c r="T490" t="s">
        <v>74</v>
      </c>
      <c r="U490" t="s">
        <v>74</v>
      </c>
      <c r="V490" t="s">
        <v>74</v>
      </c>
      <c r="W490" t="s">
        <v>9471</v>
      </c>
      <c r="X490" t="s">
        <v>9472</v>
      </c>
      <c r="Y490" t="s">
        <v>9473</v>
      </c>
      <c r="Z490" t="s">
        <v>74</v>
      </c>
      <c r="AA490" t="s">
        <v>74</v>
      </c>
      <c r="AB490" t="s">
        <v>74</v>
      </c>
      <c r="AC490" t="s">
        <v>74</v>
      </c>
      <c r="AD490" t="s">
        <v>74</v>
      </c>
      <c r="AE490" t="s">
        <v>74</v>
      </c>
      <c r="AF490" t="s">
        <v>74</v>
      </c>
      <c r="AG490">
        <v>0</v>
      </c>
      <c r="AH490">
        <v>0</v>
      </c>
      <c r="AI490">
        <v>0</v>
      </c>
      <c r="AJ490">
        <v>0</v>
      </c>
      <c r="AK490">
        <v>1</v>
      </c>
      <c r="AL490" t="s">
        <v>1048</v>
      </c>
      <c r="AM490" t="s">
        <v>92</v>
      </c>
      <c r="AN490" t="s">
        <v>9462</v>
      </c>
      <c r="AO490" t="s">
        <v>74</v>
      </c>
      <c r="AP490" t="s">
        <v>74</v>
      </c>
      <c r="AQ490" t="s">
        <v>9463</v>
      </c>
      <c r="AR490" t="s">
        <v>74</v>
      </c>
      <c r="AS490" t="s">
        <v>74</v>
      </c>
      <c r="AT490" t="s">
        <v>74</v>
      </c>
      <c r="AU490">
        <v>2014</v>
      </c>
      <c r="AV490" t="s">
        <v>74</v>
      </c>
      <c r="AW490" t="s">
        <v>74</v>
      </c>
      <c r="AX490" t="s">
        <v>74</v>
      </c>
      <c r="AY490" t="s">
        <v>74</v>
      </c>
      <c r="AZ490" t="s">
        <v>74</v>
      </c>
      <c r="BA490" t="s">
        <v>74</v>
      </c>
      <c r="BB490">
        <v>41</v>
      </c>
      <c r="BC490">
        <v>90</v>
      </c>
      <c r="BD490" t="s">
        <v>74</v>
      </c>
      <c r="BE490" t="s">
        <v>74</v>
      </c>
      <c r="BF490" t="s">
        <v>74</v>
      </c>
      <c r="BG490" t="s">
        <v>9464</v>
      </c>
      <c r="BH490" t="s">
        <v>74</v>
      </c>
      <c r="BI490">
        <v>50</v>
      </c>
      <c r="BJ490" t="s">
        <v>9465</v>
      </c>
      <c r="BK490" t="s">
        <v>8850</v>
      </c>
      <c r="BL490" t="s">
        <v>2115</v>
      </c>
      <c r="BM490" t="s">
        <v>9466</v>
      </c>
      <c r="BN490" t="s">
        <v>74</v>
      </c>
      <c r="BO490" t="s">
        <v>74</v>
      </c>
      <c r="BP490" t="s">
        <v>74</v>
      </c>
      <c r="BQ490" t="s">
        <v>74</v>
      </c>
      <c r="BR490" t="s">
        <v>104</v>
      </c>
      <c r="BS490" t="s">
        <v>9474</v>
      </c>
      <c r="BT490" t="str">
        <f>HYPERLINK("https%3A%2F%2Fwww.webofscience.com%2Fwos%2Fwoscc%2Ffull-record%2FWOS:000353836700003","View Full Record in Web of Science")</f>
        <v>View Full Record in Web of Science</v>
      </c>
    </row>
    <row r="491" spans="1:72" x14ac:dyDescent="0.15">
      <c r="A491" t="s">
        <v>8803</v>
      </c>
      <c r="B491" t="s">
        <v>9468</v>
      </c>
      <c r="C491" t="s">
        <v>9457</v>
      </c>
      <c r="D491" t="s">
        <v>74</v>
      </c>
      <c r="E491" t="s">
        <v>74</v>
      </c>
      <c r="F491" t="s">
        <v>9469</v>
      </c>
      <c r="G491" t="s">
        <v>9457</v>
      </c>
      <c r="H491" t="s">
        <v>74</v>
      </c>
      <c r="I491" t="s">
        <v>9475</v>
      </c>
      <c r="J491" t="s">
        <v>9459</v>
      </c>
      <c r="K491" t="s">
        <v>74</v>
      </c>
      <c r="L491" t="s">
        <v>74</v>
      </c>
      <c r="M491" t="s">
        <v>78</v>
      </c>
      <c r="N491" t="s">
        <v>8809</v>
      </c>
      <c r="O491" t="s">
        <v>74</v>
      </c>
      <c r="P491" t="s">
        <v>74</v>
      </c>
      <c r="Q491" t="s">
        <v>74</v>
      </c>
      <c r="R491" t="s">
        <v>74</v>
      </c>
      <c r="S491" t="s">
        <v>74</v>
      </c>
      <c r="T491" t="s">
        <v>74</v>
      </c>
      <c r="U491" t="s">
        <v>74</v>
      </c>
      <c r="V491" t="s">
        <v>74</v>
      </c>
      <c r="W491" t="s">
        <v>9471</v>
      </c>
      <c r="X491" t="s">
        <v>9472</v>
      </c>
      <c r="Y491" t="s">
        <v>9473</v>
      </c>
      <c r="Z491" t="s">
        <v>74</v>
      </c>
      <c r="AA491" t="s">
        <v>74</v>
      </c>
      <c r="AB491" t="s">
        <v>74</v>
      </c>
      <c r="AC491" t="s">
        <v>74</v>
      </c>
      <c r="AD491" t="s">
        <v>74</v>
      </c>
      <c r="AE491" t="s">
        <v>74</v>
      </c>
      <c r="AF491" t="s">
        <v>74</v>
      </c>
      <c r="AG491">
        <v>0</v>
      </c>
      <c r="AH491">
        <v>0</v>
      </c>
      <c r="AI491">
        <v>0</v>
      </c>
      <c r="AJ491">
        <v>0</v>
      </c>
      <c r="AK491">
        <v>1</v>
      </c>
      <c r="AL491" t="s">
        <v>1048</v>
      </c>
      <c r="AM491" t="s">
        <v>92</v>
      </c>
      <c r="AN491" t="s">
        <v>9462</v>
      </c>
      <c r="AO491" t="s">
        <v>74</v>
      </c>
      <c r="AP491" t="s">
        <v>74</v>
      </c>
      <c r="AQ491" t="s">
        <v>9463</v>
      </c>
      <c r="AR491" t="s">
        <v>74</v>
      </c>
      <c r="AS491" t="s">
        <v>74</v>
      </c>
      <c r="AT491" t="s">
        <v>74</v>
      </c>
      <c r="AU491">
        <v>2014</v>
      </c>
      <c r="AV491" t="s">
        <v>74</v>
      </c>
      <c r="AW491" t="s">
        <v>74</v>
      </c>
      <c r="AX491" t="s">
        <v>74</v>
      </c>
      <c r="AY491" t="s">
        <v>74</v>
      </c>
      <c r="AZ491" t="s">
        <v>74</v>
      </c>
      <c r="BA491" t="s">
        <v>74</v>
      </c>
      <c r="BB491">
        <v>91</v>
      </c>
      <c r="BC491">
        <v>133</v>
      </c>
      <c r="BD491" t="s">
        <v>74</v>
      </c>
      <c r="BE491" t="s">
        <v>74</v>
      </c>
      <c r="BF491" t="s">
        <v>74</v>
      </c>
      <c r="BG491" t="s">
        <v>9464</v>
      </c>
      <c r="BH491" t="s">
        <v>74</v>
      </c>
      <c r="BI491">
        <v>43</v>
      </c>
      <c r="BJ491" t="s">
        <v>9465</v>
      </c>
      <c r="BK491" t="s">
        <v>8850</v>
      </c>
      <c r="BL491" t="s">
        <v>2115</v>
      </c>
      <c r="BM491" t="s">
        <v>9466</v>
      </c>
      <c r="BN491" t="s">
        <v>74</v>
      </c>
      <c r="BO491" t="s">
        <v>74</v>
      </c>
      <c r="BP491" t="s">
        <v>74</v>
      </c>
      <c r="BQ491" t="s">
        <v>74</v>
      </c>
      <c r="BR491" t="s">
        <v>104</v>
      </c>
      <c r="BS491" t="s">
        <v>9476</v>
      </c>
      <c r="BT491" t="str">
        <f>HYPERLINK("https%3A%2F%2Fwww.webofscience.com%2Fwos%2Fwoscc%2Ffull-record%2FWOS:000353836700004","View Full Record in Web of Science")</f>
        <v>View Full Record in Web of Science</v>
      </c>
    </row>
    <row r="492" spans="1:72" x14ac:dyDescent="0.15">
      <c r="A492" t="s">
        <v>8803</v>
      </c>
      <c r="B492" t="s">
        <v>9468</v>
      </c>
      <c r="C492" t="s">
        <v>9457</v>
      </c>
      <c r="D492" t="s">
        <v>74</v>
      </c>
      <c r="E492" t="s">
        <v>74</v>
      </c>
      <c r="F492" t="s">
        <v>9469</v>
      </c>
      <c r="G492" t="s">
        <v>9457</v>
      </c>
      <c r="H492" t="s">
        <v>74</v>
      </c>
      <c r="I492" t="s">
        <v>9477</v>
      </c>
      <c r="J492" t="s">
        <v>9459</v>
      </c>
      <c r="K492" t="s">
        <v>74</v>
      </c>
      <c r="L492" t="s">
        <v>74</v>
      </c>
      <c r="M492" t="s">
        <v>78</v>
      </c>
      <c r="N492" t="s">
        <v>8809</v>
      </c>
      <c r="O492" t="s">
        <v>74</v>
      </c>
      <c r="P492" t="s">
        <v>74</v>
      </c>
      <c r="Q492" t="s">
        <v>74</v>
      </c>
      <c r="R492" t="s">
        <v>74</v>
      </c>
      <c r="S492" t="s">
        <v>74</v>
      </c>
      <c r="T492" t="s">
        <v>74</v>
      </c>
      <c r="U492" t="s">
        <v>74</v>
      </c>
      <c r="V492" t="s">
        <v>74</v>
      </c>
      <c r="W492" t="s">
        <v>9471</v>
      </c>
      <c r="X492" t="s">
        <v>9472</v>
      </c>
      <c r="Y492" t="s">
        <v>9473</v>
      </c>
      <c r="Z492" t="s">
        <v>74</v>
      </c>
      <c r="AA492" t="s">
        <v>74</v>
      </c>
      <c r="AB492" t="s">
        <v>74</v>
      </c>
      <c r="AC492" t="s">
        <v>74</v>
      </c>
      <c r="AD492" t="s">
        <v>74</v>
      </c>
      <c r="AE492" t="s">
        <v>74</v>
      </c>
      <c r="AF492" t="s">
        <v>74</v>
      </c>
      <c r="AG492">
        <v>0</v>
      </c>
      <c r="AH492">
        <v>0</v>
      </c>
      <c r="AI492">
        <v>0</v>
      </c>
      <c r="AJ492">
        <v>0</v>
      </c>
      <c r="AK492">
        <v>2</v>
      </c>
      <c r="AL492" t="s">
        <v>1048</v>
      </c>
      <c r="AM492" t="s">
        <v>92</v>
      </c>
      <c r="AN492" t="s">
        <v>9462</v>
      </c>
      <c r="AO492" t="s">
        <v>74</v>
      </c>
      <c r="AP492" t="s">
        <v>74</v>
      </c>
      <c r="AQ492" t="s">
        <v>9463</v>
      </c>
      <c r="AR492" t="s">
        <v>74</v>
      </c>
      <c r="AS492" t="s">
        <v>74</v>
      </c>
      <c r="AT492" t="s">
        <v>74</v>
      </c>
      <c r="AU492">
        <v>2014</v>
      </c>
      <c r="AV492" t="s">
        <v>74</v>
      </c>
      <c r="AW492" t="s">
        <v>74</v>
      </c>
      <c r="AX492" t="s">
        <v>74</v>
      </c>
      <c r="AY492" t="s">
        <v>74</v>
      </c>
      <c r="AZ492" t="s">
        <v>74</v>
      </c>
      <c r="BA492" t="s">
        <v>74</v>
      </c>
      <c r="BB492">
        <v>134</v>
      </c>
      <c r="BC492">
        <v>146</v>
      </c>
      <c r="BD492" t="s">
        <v>74</v>
      </c>
      <c r="BE492" t="s">
        <v>74</v>
      </c>
      <c r="BF492" t="s">
        <v>74</v>
      </c>
      <c r="BG492" t="s">
        <v>9464</v>
      </c>
      <c r="BH492" t="s">
        <v>74</v>
      </c>
      <c r="BI492">
        <v>13</v>
      </c>
      <c r="BJ492" t="s">
        <v>9465</v>
      </c>
      <c r="BK492" t="s">
        <v>8850</v>
      </c>
      <c r="BL492" t="s">
        <v>2115</v>
      </c>
      <c r="BM492" t="s">
        <v>9466</v>
      </c>
      <c r="BN492" t="s">
        <v>74</v>
      </c>
      <c r="BO492" t="s">
        <v>74</v>
      </c>
      <c r="BP492" t="s">
        <v>74</v>
      </c>
      <c r="BQ492" t="s">
        <v>74</v>
      </c>
      <c r="BR492" t="s">
        <v>104</v>
      </c>
      <c r="BS492" t="s">
        <v>9478</v>
      </c>
      <c r="BT492" t="str">
        <f>HYPERLINK("https%3A%2F%2Fwww.webofscience.com%2Fwos%2Fwoscc%2Ffull-record%2FWOS:000353836700005","View Full Record in Web of Science")</f>
        <v>View Full Record in Web of Science</v>
      </c>
    </row>
    <row r="493" spans="1:72" x14ac:dyDescent="0.15">
      <c r="A493" t="s">
        <v>8803</v>
      </c>
      <c r="B493" t="s">
        <v>9468</v>
      </c>
      <c r="C493" t="s">
        <v>9457</v>
      </c>
      <c r="D493" t="s">
        <v>74</v>
      </c>
      <c r="E493" t="s">
        <v>74</v>
      </c>
      <c r="F493" t="s">
        <v>9469</v>
      </c>
      <c r="G493" t="s">
        <v>9457</v>
      </c>
      <c r="H493" t="s">
        <v>74</v>
      </c>
      <c r="I493" t="s">
        <v>9479</v>
      </c>
      <c r="J493" t="s">
        <v>9459</v>
      </c>
      <c r="K493" t="s">
        <v>74</v>
      </c>
      <c r="L493" t="s">
        <v>74</v>
      </c>
      <c r="M493" t="s">
        <v>78</v>
      </c>
      <c r="N493" t="s">
        <v>8809</v>
      </c>
      <c r="O493" t="s">
        <v>74</v>
      </c>
      <c r="P493" t="s">
        <v>74</v>
      </c>
      <c r="Q493" t="s">
        <v>74</v>
      </c>
      <c r="R493" t="s">
        <v>74</v>
      </c>
      <c r="S493" t="s">
        <v>74</v>
      </c>
      <c r="T493" t="s">
        <v>74</v>
      </c>
      <c r="U493" t="s">
        <v>74</v>
      </c>
      <c r="V493" t="s">
        <v>74</v>
      </c>
      <c r="W493" t="s">
        <v>9471</v>
      </c>
      <c r="X493" t="s">
        <v>9472</v>
      </c>
      <c r="Y493" t="s">
        <v>9473</v>
      </c>
      <c r="Z493" t="s">
        <v>74</v>
      </c>
      <c r="AA493" t="s">
        <v>74</v>
      </c>
      <c r="AB493" t="s">
        <v>74</v>
      </c>
      <c r="AC493" t="s">
        <v>74</v>
      </c>
      <c r="AD493" t="s">
        <v>74</v>
      </c>
      <c r="AE493" t="s">
        <v>74</v>
      </c>
      <c r="AF493" t="s">
        <v>74</v>
      </c>
      <c r="AG493">
        <v>0</v>
      </c>
      <c r="AH493">
        <v>0</v>
      </c>
      <c r="AI493">
        <v>0</v>
      </c>
      <c r="AJ493">
        <v>0</v>
      </c>
      <c r="AK493">
        <v>2</v>
      </c>
      <c r="AL493" t="s">
        <v>1048</v>
      </c>
      <c r="AM493" t="s">
        <v>92</v>
      </c>
      <c r="AN493" t="s">
        <v>9462</v>
      </c>
      <c r="AO493" t="s">
        <v>74</v>
      </c>
      <c r="AP493" t="s">
        <v>74</v>
      </c>
      <c r="AQ493" t="s">
        <v>9463</v>
      </c>
      <c r="AR493" t="s">
        <v>74</v>
      </c>
      <c r="AS493" t="s">
        <v>74</v>
      </c>
      <c r="AT493" t="s">
        <v>74</v>
      </c>
      <c r="AU493">
        <v>2014</v>
      </c>
      <c r="AV493" t="s">
        <v>74</v>
      </c>
      <c r="AW493" t="s">
        <v>74</v>
      </c>
      <c r="AX493" t="s">
        <v>74</v>
      </c>
      <c r="AY493" t="s">
        <v>74</v>
      </c>
      <c r="AZ493" t="s">
        <v>74</v>
      </c>
      <c r="BA493" t="s">
        <v>74</v>
      </c>
      <c r="BB493">
        <v>147</v>
      </c>
      <c r="BC493">
        <v>155</v>
      </c>
      <c r="BD493" t="s">
        <v>74</v>
      </c>
      <c r="BE493" t="s">
        <v>74</v>
      </c>
      <c r="BF493" t="s">
        <v>74</v>
      </c>
      <c r="BG493" t="s">
        <v>9464</v>
      </c>
      <c r="BH493" t="s">
        <v>74</v>
      </c>
      <c r="BI493">
        <v>9</v>
      </c>
      <c r="BJ493" t="s">
        <v>9465</v>
      </c>
      <c r="BK493" t="s">
        <v>8850</v>
      </c>
      <c r="BL493" t="s">
        <v>2115</v>
      </c>
      <c r="BM493" t="s">
        <v>9466</v>
      </c>
      <c r="BN493" t="s">
        <v>74</v>
      </c>
      <c r="BO493" t="s">
        <v>74</v>
      </c>
      <c r="BP493" t="s">
        <v>74</v>
      </c>
      <c r="BQ493" t="s">
        <v>74</v>
      </c>
      <c r="BR493" t="s">
        <v>104</v>
      </c>
      <c r="BS493" t="s">
        <v>9480</v>
      </c>
      <c r="BT493" t="str">
        <f>HYPERLINK("https%3A%2F%2Fwww.webofscience.com%2Fwos%2Fwoscc%2Ffull-record%2FWOS:000353836700006","View Full Record in Web of Science")</f>
        <v>View Full Record in Web of Science</v>
      </c>
    </row>
    <row r="494" spans="1:72" x14ac:dyDescent="0.15">
      <c r="A494" t="s">
        <v>8803</v>
      </c>
      <c r="B494" t="s">
        <v>9468</v>
      </c>
      <c r="C494" t="s">
        <v>9457</v>
      </c>
      <c r="D494" t="s">
        <v>74</v>
      </c>
      <c r="E494" t="s">
        <v>74</v>
      </c>
      <c r="F494" t="s">
        <v>9469</v>
      </c>
      <c r="G494" t="s">
        <v>9457</v>
      </c>
      <c r="H494" t="s">
        <v>74</v>
      </c>
      <c r="I494" t="s">
        <v>9481</v>
      </c>
      <c r="J494" t="s">
        <v>9459</v>
      </c>
      <c r="K494" t="s">
        <v>74</v>
      </c>
      <c r="L494" t="s">
        <v>74</v>
      </c>
      <c r="M494" t="s">
        <v>78</v>
      </c>
      <c r="N494" t="s">
        <v>8809</v>
      </c>
      <c r="O494" t="s">
        <v>74</v>
      </c>
      <c r="P494" t="s">
        <v>74</v>
      </c>
      <c r="Q494" t="s">
        <v>74</v>
      </c>
      <c r="R494" t="s">
        <v>74</v>
      </c>
      <c r="S494" t="s">
        <v>74</v>
      </c>
      <c r="T494" t="s">
        <v>74</v>
      </c>
      <c r="U494" t="s">
        <v>74</v>
      </c>
      <c r="V494" t="s">
        <v>74</v>
      </c>
      <c r="W494" t="s">
        <v>9471</v>
      </c>
      <c r="X494" t="s">
        <v>9472</v>
      </c>
      <c r="Y494" t="s">
        <v>9473</v>
      </c>
      <c r="Z494" t="s">
        <v>74</v>
      </c>
      <c r="AA494" t="s">
        <v>74</v>
      </c>
      <c r="AB494" t="s">
        <v>74</v>
      </c>
      <c r="AC494" t="s">
        <v>74</v>
      </c>
      <c r="AD494" t="s">
        <v>74</v>
      </c>
      <c r="AE494" t="s">
        <v>74</v>
      </c>
      <c r="AF494" t="s">
        <v>74</v>
      </c>
      <c r="AG494">
        <v>0</v>
      </c>
      <c r="AH494">
        <v>1</v>
      </c>
      <c r="AI494">
        <v>1</v>
      </c>
      <c r="AJ494">
        <v>0</v>
      </c>
      <c r="AK494">
        <v>4</v>
      </c>
      <c r="AL494" t="s">
        <v>1048</v>
      </c>
      <c r="AM494" t="s">
        <v>92</v>
      </c>
      <c r="AN494" t="s">
        <v>9462</v>
      </c>
      <c r="AO494" t="s">
        <v>74</v>
      </c>
      <c r="AP494" t="s">
        <v>74</v>
      </c>
      <c r="AQ494" t="s">
        <v>9463</v>
      </c>
      <c r="AR494" t="s">
        <v>74</v>
      </c>
      <c r="AS494" t="s">
        <v>74</v>
      </c>
      <c r="AT494" t="s">
        <v>74</v>
      </c>
      <c r="AU494">
        <v>2014</v>
      </c>
      <c r="AV494" t="s">
        <v>74</v>
      </c>
      <c r="AW494" t="s">
        <v>74</v>
      </c>
      <c r="AX494" t="s">
        <v>74</v>
      </c>
      <c r="AY494" t="s">
        <v>74</v>
      </c>
      <c r="AZ494" t="s">
        <v>74</v>
      </c>
      <c r="BA494" t="s">
        <v>74</v>
      </c>
      <c r="BB494">
        <v>156</v>
      </c>
      <c r="BC494">
        <v>173</v>
      </c>
      <c r="BD494" t="s">
        <v>74</v>
      </c>
      <c r="BE494" t="s">
        <v>74</v>
      </c>
      <c r="BF494" t="s">
        <v>74</v>
      </c>
      <c r="BG494" t="s">
        <v>9464</v>
      </c>
      <c r="BH494" t="s">
        <v>74</v>
      </c>
      <c r="BI494">
        <v>18</v>
      </c>
      <c r="BJ494" t="s">
        <v>9465</v>
      </c>
      <c r="BK494" t="s">
        <v>8850</v>
      </c>
      <c r="BL494" t="s">
        <v>2115</v>
      </c>
      <c r="BM494" t="s">
        <v>9466</v>
      </c>
      <c r="BN494" t="s">
        <v>74</v>
      </c>
      <c r="BO494" t="s">
        <v>74</v>
      </c>
      <c r="BP494" t="s">
        <v>74</v>
      </c>
      <c r="BQ494" t="s">
        <v>74</v>
      </c>
      <c r="BR494" t="s">
        <v>104</v>
      </c>
      <c r="BS494" t="s">
        <v>9482</v>
      </c>
      <c r="BT494" t="str">
        <f>HYPERLINK("https%3A%2F%2Fwww.webofscience.com%2Fwos%2Fwoscc%2Ffull-record%2FWOS:000353836700007","View Full Record in Web of Science")</f>
        <v>View Full Record in Web of Science</v>
      </c>
    </row>
    <row r="495" spans="1:72" x14ac:dyDescent="0.15">
      <c r="A495" t="s">
        <v>8774</v>
      </c>
      <c r="B495" t="s">
        <v>9483</v>
      </c>
      <c r="C495" t="s">
        <v>74</v>
      </c>
      <c r="D495" t="s">
        <v>9484</v>
      </c>
      <c r="E495" t="s">
        <v>74</v>
      </c>
      <c r="F495" t="s">
        <v>9485</v>
      </c>
      <c r="G495" t="s">
        <v>74</v>
      </c>
      <c r="H495" t="s">
        <v>74</v>
      </c>
      <c r="I495" t="s">
        <v>9486</v>
      </c>
      <c r="J495" t="s">
        <v>9487</v>
      </c>
      <c r="K495" t="s">
        <v>9488</v>
      </c>
      <c r="L495" t="s">
        <v>74</v>
      </c>
      <c r="M495" t="s">
        <v>78</v>
      </c>
      <c r="N495" t="s">
        <v>8781</v>
      </c>
      <c r="O495" t="s">
        <v>9489</v>
      </c>
      <c r="P495" t="s">
        <v>9490</v>
      </c>
      <c r="Q495" t="s">
        <v>9491</v>
      </c>
      <c r="R495" t="s">
        <v>74</v>
      </c>
      <c r="S495" t="s">
        <v>74</v>
      </c>
      <c r="T495" t="s">
        <v>9492</v>
      </c>
      <c r="U495" t="s">
        <v>9493</v>
      </c>
      <c r="V495" t="s">
        <v>9494</v>
      </c>
      <c r="W495" t="s">
        <v>9495</v>
      </c>
      <c r="X495" t="s">
        <v>9496</v>
      </c>
      <c r="Y495" t="s">
        <v>9497</v>
      </c>
      <c r="Z495" t="s">
        <v>9498</v>
      </c>
      <c r="AA495" t="s">
        <v>9499</v>
      </c>
      <c r="AB495" t="s">
        <v>74</v>
      </c>
      <c r="AC495" t="s">
        <v>74</v>
      </c>
      <c r="AD495" t="s">
        <v>74</v>
      </c>
      <c r="AE495" t="s">
        <v>74</v>
      </c>
      <c r="AF495" t="s">
        <v>74</v>
      </c>
      <c r="AG495">
        <v>28</v>
      </c>
      <c r="AH495">
        <v>0</v>
      </c>
      <c r="AI495">
        <v>0</v>
      </c>
      <c r="AJ495">
        <v>0</v>
      </c>
      <c r="AK495">
        <v>2</v>
      </c>
      <c r="AL495" t="s">
        <v>8908</v>
      </c>
      <c r="AM495" t="s">
        <v>2151</v>
      </c>
      <c r="AN495" t="s">
        <v>8909</v>
      </c>
      <c r="AO495" t="s">
        <v>9500</v>
      </c>
      <c r="AP495" t="s">
        <v>74</v>
      </c>
      <c r="AQ495" t="s">
        <v>9501</v>
      </c>
      <c r="AR495" t="s">
        <v>9502</v>
      </c>
      <c r="AS495" t="s">
        <v>74</v>
      </c>
      <c r="AT495" t="s">
        <v>74</v>
      </c>
      <c r="AU495">
        <v>2014</v>
      </c>
      <c r="AV495" t="s">
        <v>74</v>
      </c>
      <c r="AW495" t="s">
        <v>74</v>
      </c>
      <c r="AX495" t="s">
        <v>74</v>
      </c>
      <c r="AY495" t="s">
        <v>74</v>
      </c>
      <c r="AZ495" t="s">
        <v>74</v>
      </c>
      <c r="BA495" t="s">
        <v>74</v>
      </c>
      <c r="BB495">
        <v>137</v>
      </c>
      <c r="BC495">
        <v>157</v>
      </c>
      <c r="BD495" t="s">
        <v>74</v>
      </c>
      <c r="BE495" t="s">
        <v>9503</v>
      </c>
      <c r="BF495" t="str">
        <f>HYPERLINK("http://dx.doi.org/10.1007/978-3-319-07599-0_8","http://dx.doi.org/10.1007/978-3-319-07599-0_8")</f>
        <v>http://dx.doi.org/10.1007/978-3-319-07599-0_8</v>
      </c>
      <c r="BG495" t="s">
        <v>74</v>
      </c>
      <c r="BH495" t="s">
        <v>74</v>
      </c>
      <c r="BI495">
        <v>21</v>
      </c>
      <c r="BJ495" t="s">
        <v>9504</v>
      </c>
      <c r="BK495" t="s">
        <v>8799</v>
      </c>
      <c r="BL495" t="s">
        <v>9505</v>
      </c>
      <c r="BM495" t="s">
        <v>9506</v>
      </c>
      <c r="BN495" t="s">
        <v>74</v>
      </c>
      <c r="BO495" t="s">
        <v>74</v>
      </c>
      <c r="BP495" t="s">
        <v>74</v>
      </c>
      <c r="BQ495" t="s">
        <v>74</v>
      </c>
      <c r="BR495" t="s">
        <v>104</v>
      </c>
      <c r="BS495" t="s">
        <v>9507</v>
      </c>
      <c r="BT495" t="str">
        <f>HYPERLINK("https%3A%2F%2Fwww.webofscience.com%2Fwos%2Fwoscc%2Ffull-record%2FWOS:000353015500008","View Full Record in Web of Science")</f>
        <v>View Full Record in Web of Science</v>
      </c>
    </row>
    <row r="496" spans="1:72" x14ac:dyDescent="0.15">
      <c r="A496" t="s">
        <v>8774</v>
      </c>
      <c r="B496" t="s">
        <v>9508</v>
      </c>
      <c r="C496" t="s">
        <v>74</v>
      </c>
      <c r="D496" t="s">
        <v>9484</v>
      </c>
      <c r="E496" t="s">
        <v>74</v>
      </c>
      <c r="F496" t="s">
        <v>9509</v>
      </c>
      <c r="G496" t="s">
        <v>74</v>
      </c>
      <c r="H496" t="s">
        <v>74</v>
      </c>
      <c r="I496" t="s">
        <v>9510</v>
      </c>
      <c r="J496" t="s">
        <v>9487</v>
      </c>
      <c r="K496" t="s">
        <v>9488</v>
      </c>
      <c r="L496" t="s">
        <v>74</v>
      </c>
      <c r="M496" t="s">
        <v>78</v>
      </c>
      <c r="N496" t="s">
        <v>8781</v>
      </c>
      <c r="O496" t="s">
        <v>9489</v>
      </c>
      <c r="P496" t="s">
        <v>9490</v>
      </c>
      <c r="Q496" t="s">
        <v>9491</v>
      </c>
      <c r="R496" t="s">
        <v>74</v>
      </c>
      <c r="S496" t="s">
        <v>74</v>
      </c>
      <c r="T496" t="s">
        <v>9511</v>
      </c>
      <c r="U496" t="s">
        <v>9512</v>
      </c>
      <c r="V496" t="s">
        <v>9513</v>
      </c>
      <c r="W496" t="s">
        <v>9514</v>
      </c>
      <c r="X496" t="s">
        <v>9515</v>
      </c>
      <c r="Y496" t="s">
        <v>9516</v>
      </c>
      <c r="Z496" t="s">
        <v>9517</v>
      </c>
      <c r="AA496" t="s">
        <v>74</v>
      </c>
      <c r="AB496" t="s">
        <v>74</v>
      </c>
      <c r="AC496" t="s">
        <v>74</v>
      </c>
      <c r="AD496" t="s">
        <v>74</v>
      </c>
      <c r="AE496" t="s">
        <v>74</v>
      </c>
      <c r="AF496" t="s">
        <v>74</v>
      </c>
      <c r="AG496">
        <v>14</v>
      </c>
      <c r="AH496">
        <v>0</v>
      </c>
      <c r="AI496">
        <v>0</v>
      </c>
      <c r="AJ496">
        <v>0</v>
      </c>
      <c r="AK496">
        <v>4</v>
      </c>
      <c r="AL496" t="s">
        <v>8908</v>
      </c>
      <c r="AM496" t="s">
        <v>2151</v>
      </c>
      <c r="AN496" t="s">
        <v>8909</v>
      </c>
      <c r="AO496" t="s">
        <v>9500</v>
      </c>
      <c r="AP496" t="s">
        <v>74</v>
      </c>
      <c r="AQ496" t="s">
        <v>9501</v>
      </c>
      <c r="AR496" t="s">
        <v>9502</v>
      </c>
      <c r="AS496" t="s">
        <v>74</v>
      </c>
      <c r="AT496" t="s">
        <v>74</v>
      </c>
      <c r="AU496">
        <v>2014</v>
      </c>
      <c r="AV496" t="s">
        <v>74</v>
      </c>
      <c r="AW496" t="s">
        <v>74</v>
      </c>
      <c r="AX496" t="s">
        <v>74</v>
      </c>
      <c r="AY496" t="s">
        <v>74</v>
      </c>
      <c r="AZ496" t="s">
        <v>74</v>
      </c>
      <c r="BA496" t="s">
        <v>74</v>
      </c>
      <c r="BB496">
        <v>159</v>
      </c>
      <c r="BC496">
        <v>172</v>
      </c>
      <c r="BD496" t="s">
        <v>74</v>
      </c>
      <c r="BE496" t="s">
        <v>9518</v>
      </c>
      <c r="BF496" t="str">
        <f>HYPERLINK("http://dx.doi.org/10.1007/978-3-319-07599-0_9","http://dx.doi.org/10.1007/978-3-319-07599-0_9")</f>
        <v>http://dx.doi.org/10.1007/978-3-319-07599-0_9</v>
      </c>
      <c r="BG496" t="s">
        <v>74</v>
      </c>
      <c r="BH496" t="s">
        <v>74</v>
      </c>
      <c r="BI496">
        <v>14</v>
      </c>
      <c r="BJ496" t="s">
        <v>9504</v>
      </c>
      <c r="BK496" t="s">
        <v>8799</v>
      </c>
      <c r="BL496" t="s">
        <v>9505</v>
      </c>
      <c r="BM496" t="s">
        <v>9506</v>
      </c>
      <c r="BN496" t="s">
        <v>74</v>
      </c>
      <c r="BO496" t="s">
        <v>74</v>
      </c>
      <c r="BP496" t="s">
        <v>74</v>
      </c>
      <c r="BQ496" t="s">
        <v>74</v>
      </c>
      <c r="BR496" t="s">
        <v>104</v>
      </c>
      <c r="BS496" t="s">
        <v>9519</v>
      </c>
      <c r="BT496" t="str">
        <f>HYPERLINK("https%3A%2F%2Fwww.webofscience.com%2Fwos%2Fwoscc%2Ffull-record%2FWOS:000353015500009","View Full Record in Web of Science")</f>
        <v>View Full Record in Web of Science</v>
      </c>
    </row>
    <row r="497" spans="1:72" x14ac:dyDescent="0.15">
      <c r="A497" t="s">
        <v>72</v>
      </c>
      <c r="B497" t="s">
        <v>9520</v>
      </c>
      <c r="C497" t="s">
        <v>74</v>
      </c>
      <c r="D497" t="s">
        <v>74</v>
      </c>
      <c r="E497" t="s">
        <v>74</v>
      </c>
      <c r="F497" t="s">
        <v>9521</v>
      </c>
      <c r="G497" t="s">
        <v>74</v>
      </c>
      <c r="H497" t="s">
        <v>74</v>
      </c>
      <c r="I497" t="s">
        <v>9522</v>
      </c>
      <c r="J497" t="s">
        <v>9523</v>
      </c>
      <c r="K497" t="s">
        <v>74</v>
      </c>
      <c r="L497" t="s">
        <v>74</v>
      </c>
      <c r="M497" t="s">
        <v>78</v>
      </c>
      <c r="N497" t="s">
        <v>79</v>
      </c>
      <c r="O497" t="s">
        <v>74</v>
      </c>
      <c r="P497" t="s">
        <v>74</v>
      </c>
      <c r="Q497" t="s">
        <v>74</v>
      </c>
      <c r="R497" t="s">
        <v>74</v>
      </c>
      <c r="S497" t="s">
        <v>74</v>
      </c>
      <c r="T497" t="s">
        <v>9524</v>
      </c>
      <c r="U497" t="s">
        <v>74</v>
      </c>
      <c r="V497" t="s">
        <v>9525</v>
      </c>
      <c r="W497" t="s">
        <v>9526</v>
      </c>
      <c r="X497" t="s">
        <v>9527</v>
      </c>
      <c r="Y497" t="s">
        <v>9528</v>
      </c>
      <c r="Z497" t="s">
        <v>9529</v>
      </c>
      <c r="AA497" t="s">
        <v>74</v>
      </c>
      <c r="AB497" t="s">
        <v>74</v>
      </c>
      <c r="AC497" t="s">
        <v>9530</v>
      </c>
      <c r="AD497" t="s">
        <v>9531</v>
      </c>
      <c r="AE497" t="s">
        <v>9532</v>
      </c>
      <c r="AF497" t="s">
        <v>74</v>
      </c>
      <c r="AG497">
        <v>4</v>
      </c>
      <c r="AH497">
        <v>14</v>
      </c>
      <c r="AI497">
        <v>18</v>
      </c>
      <c r="AJ497">
        <v>0</v>
      </c>
      <c r="AK497">
        <v>6</v>
      </c>
      <c r="AL497" t="s">
        <v>9533</v>
      </c>
      <c r="AM497" t="s">
        <v>1948</v>
      </c>
      <c r="AN497" t="s">
        <v>9534</v>
      </c>
      <c r="AO497" t="s">
        <v>9535</v>
      </c>
      <c r="AP497" t="s">
        <v>9536</v>
      </c>
      <c r="AQ497" t="s">
        <v>74</v>
      </c>
      <c r="AR497" t="s">
        <v>9537</v>
      </c>
      <c r="AS497" t="s">
        <v>9538</v>
      </c>
      <c r="AT497" t="s">
        <v>74</v>
      </c>
      <c r="AU497">
        <v>2014</v>
      </c>
      <c r="AV497">
        <v>55</v>
      </c>
      <c r="AW497">
        <v>68</v>
      </c>
      <c r="AX497" t="s">
        <v>74</v>
      </c>
      <c r="AY497" t="s">
        <v>74</v>
      </c>
      <c r="AZ497" t="s">
        <v>74</v>
      </c>
      <c r="BA497" t="s">
        <v>74</v>
      </c>
      <c r="BB497">
        <v>1</v>
      </c>
      <c r="BC497">
        <v>6</v>
      </c>
      <c r="BD497" t="s">
        <v>74</v>
      </c>
      <c r="BE497" t="s">
        <v>9539</v>
      </c>
      <c r="BF497" t="str">
        <f>HYPERLINK("http://dx.doi.org/10.3189/2014AoG68A009","http://dx.doi.org/10.3189/2014AoG68A009")</f>
        <v>http://dx.doi.org/10.3189/2014AoG68A009</v>
      </c>
      <c r="BG497" t="s">
        <v>74</v>
      </c>
      <c r="BH497" t="s">
        <v>74</v>
      </c>
      <c r="BI497">
        <v>6</v>
      </c>
      <c r="BJ497" t="s">
        <v>1415</v>
      </c>
      <c r="BK497" t="s">
        <v>101</v>
      </c>
      <c r="BL497" t="s">
        <v>1416</v>
      </c>
      <c r="BM497" t="s">
        <v>9540</v>
      </c>
      <c r="BN497" t="s">
        <v>74</v>
      </c>
      <c r="BO497" t="s">
        <v>200</v>
      </c>
      <c r="BP497" t="s">
        <v>74</v>
      </c>
      <c r="BQ497" t="s">
        <v>74</v>
      </c>
      <c r="BR497" t="s">
        <v>104</v>
      </c>
      <c r="BS497" t="s">
        <v>9541</v>
      </c>
      <c r="BT497" t="str">
        <f>HYPERLINK("https%3A%2F%2Fwww.webofscience.com%2Fwos%2Fwoscc%2Ffull-record%2FWOS:000351889600002","View Full Record in Web of Science")</f>
        <v>View Full Record in Web of Science</v>
      </c>
    </row>
    <row r="498" spans="1:72" x14ac:dyDescent="0.15">
      <c r="A498" t="s">
        <v>72</v>
      </c>
      <c r="B498" t="s">
        <v>9542</v>
      </c>
      <c r="C498" t="s">
        <v>74</v>
      </c>
      <c r="D498" t="s">
        <v>74</v>
      </c>
      <c r="E498" t="s">
        <v>74</v>
      </c>
      <c r="F498" t="s">
        <v>9543</v>
      </c>
      <c r="G498" t="s">
        <v>74</v>
      </c>
      <c r="H498" t="s">
        <v>74</v>
      </c>
      <c r="I498" t="s">
        <v>9544</v>
      </c>
      <c r="J498" t="s">
        <v>9523</v>
      </c>
      <c r="K498" t="s">
        <v>74</v>
      </c>
      <c r="L498" t="s">
        <v>74</v>
      </c>
      <c r="M498" t="s">
        <v>78</v>
      </c>
      <c r="N498" t="s">
        <v>79</v>
      </c>
      <c r="O498" t="s">
        <v>74</v>
      </c>
      <c r="P498" t="s">
        <v>74</v>
      </c>
      <c r="Q498" t="s">
        <v>74</v>
      </c>
      <c r="R498" t="s">
        <v>74</v>
      </c>
      <c r="S498" t="s">
        <v>74</v>
      </c>
      <c r="T498" t="s">
        <v>9545</v>
      </c>
      <c r="U498" t="s">
        <v>9546</v>
      </c>
      <c r="V498" t="s">
        <v>9547</v>
      </c>
      <c r="W498" t="s">
        <v>9548</v>
      </c>
      <c r="X498" t="s">
        <v>2743</v>
      </c>
      <c r="Y498" t="s">
        <v>9549</v>
      </c>
      <c r="Z498" t="s">
        <v>2745</v>
      </c>
      <c r="AA498" t="s">
        <v>2746</v>
      </c>
      <c r="AB498" t="s">
        <v>2747</v>
      </c>
      <c r="AC498" t="s">
        <v>9550</v>
      </c>
      <c r="AD498" t="s">
        <v>9550</v>
      </c>
      <c r="AE498" t="s">
        <v>9551</v>
      </c>
      <c r="AF498" t="s">
        <v>74</v>
      </c>
      <c r="AG498">
        <v>34</v>
      </c>
      <c r="AH498">
        <v>9</v>
      </c>
      <c r="AI498">
        <v>10</v>
      </c>
      <c r="AJ498">
        <v>2</v>
      </c>
      <c r="AK498">
        <v>13</v>
      </c>
      <c r="AL498" t="s">
        <v>9533</v>
      </c>
      <c r="AM498" t="s">
        <v>1948</v>
      </c>
      <c r="AN498" t="s">
        <v>9534</v>
      </c>
      <c r="AO498" t="s">
        <v>9535</v>
      </c>
      <c r="AP498" t="s">
        <v>9536</v>
      </c>
      <c r="AQ498" t="s">
        <v>74</v>
      </c>
      <c r="AR498" t="s">
        <v>9537</v>
      </c>
      <c r="AS498" t="s">
        <v>9538</v>
      </c>
      <c r="AT498" t="s">
        <v>74</v>
      </c>
      <c r="AU498">
        <v>2014</v>
      </c>
      <c r="AV498">
        <v>55</v>
      </c>
      <c r="AW498">
        <v>68</v>
      </c>
      <c r="AX498" t="s">
        <v>74</v>
      </c>
      <c r="AY498" t="s">
        <v>74</v>
      </c>
      <c r="AZ498" t="s">
        <v>74</v>
      </c>
      <c r="BA498" t="s">
        <v>74</v>
      </c>
      <c r="BB498">
        <v>7</v>
      </c>
      <c r="BC498">
        <v>14</v>
      </c>
      <c r="BD498" t="s">
        <v>74</v>
      </c>
      <c r="BE498" t="s">
        <v>9552</v>
      </c>
      <c r="BF498" t="str">
        <f>HYPERLINK("http://dx.doi.org/10.3189/2014AoG68A005","http://dx.doi.org/10.3189/2014AoG68A005")</f>
        <v>http://dx.doi.org/10.3189/2014AoG68A005</v>
      </c>
      <c r="BG498" t="s">
        <v>74</v>
      </c>
      <c r="BH498" t="s">
        <v>74</v>
      </c>
      <c r="BI498">
        <v>8</v>
      </c>
      <c r="BJ498" t="s">
        <v>1415</v>
      </c>
      <c r="BK498" t="s">
        <v>101</v>
      </c>
      <c r="BL498" t="s">
        <v>1416</v>
      </c>
      <c r="BM498" t="s">
        <v>9540</v>
      </c>
      <c r="BN498" t="s">
        <v>74</v>
      </c>
      <c r="BO498" t="s">
        <v>200</v>
      </c>
      <c r="BP498" t="s">
        <v>74</v>
      </c>
      <c r="BQ498" t="s">
        <v>74</v>
      </c>
      <c r="BR498" t="s">
        <v>104</v>
      </c>
      <c r="BS498" t="s">
        <v>9553</v>
      </c>
      <c r="BT498" t="str">
        <f>HYPERLINK("https%3A%2F%2Fwww.webofscience.com%2Fwos%2Fwoscc%2Ffull-record%2FWOS:000351889600003","View Full Record in Web of Science")</f>
        <v>View Full Record in Web of Science</v>
      </c>
    </row>
    <row r="499" spans="1:72" x14ac:dyDescent="0.15">
      <c r="A499" t="s">
        <v>72</v>
      </c>
      <c r="B499" t="s">
        <v>9554</v>
      </c>
      <c r="C499" t="s">
        <v>74</v>
      </c>
      <c r="D499" t="s">
        <v>74</v>
      </c>
      <c r="E499" t="s">
        <v>74</v>
      </c>
      <c r="F499" t="s">
        <v>9555</v>
      </c>
      <c r="G499" t="s">
        <v>74</v>
      </c>
      <c r="H499" t="s">
        <v>74</v>
      </c>
      <c r="I499" t="s">
        <v>9556</v>
      </c>
      <c r="J499" t="s">
        <v>9523</v>
      </c>
      <c r="K499" t="s">
        <v>74</v>
      </c>
      <c r="L499" t="s">
        <v>74</v>
      </c>
      <c r="M499" t="s">
        <v>78</v>
      </c>
      <c r="N499" t="s">
        <v>79</v>
      </c>
      <c r="O499" t="s">
        <v>74</v>
      </c>
      <c r="P499" t="s">
        <v>74</v>
      </c>
      <c r="Q499" t="s">
        <v>74</v>
      </c>
      <c r="R499" t="s">
        <v>74</v>
      </c>
      <c r="S499" t="s">
        <v>74</v>
      </c>
      <c r="T499" t="s">
        <v>9557</v>
      </c>
      <c r="U499" t="s">
        <v>9558</v>
      </c>
      <c r="V499" t="s">
        <v>9559</v>
      </c>
      <c r="W499" t="s">
        <v>9560</v>
      </c>
      <c r="X499" t="s">
        <v>9561</v>
      </c>
      <c r="Y499" t="s">
        <v>9562</v>
      </c>
      <c r="Z499" t="s">
        <v>9563</v>
      </c>
      <c r="AA499" t="s">
        <v>9564</v>
      </c>
      <c r="AB499" t="s">
        <v>9565</v>
      </c>
      <c r="AC499" t="s">
        <v>9566</v>
      </c>
      <c r="AD499" t="s">
        <v>9567</v>
      </c>
      <c r="AE499" t="s">
        <v>9568</v>
      </c>
      <c r="AF499" t="s">
        <v>74</v>
      </c>
      <c r="AG499">
        <v>17</v>
      </c>
      <c r="AH499">
        <v>15</v>
      </c>
      <c r="AI499">
        <v>16</v>
      </c>
      <c r="AJ499">
        <v>1</v>
      </c>
      <c r="AK499">
        <v>15</v>
      </c>
      <c r="AL499" t="s">
        <v>9533</v>
      </c>
      <c r="AM499" t="s">
        <v>1948</v>
      </c>
      <c r="AN499" t="s">
        <v>9534</v>
      </c>
      <c r="AO499" t="s">
        <v>9535</v>
      </c>
      <c r="AP499" t="s">
        <v>9536</v>
      </c>
      <c r="AQ499" t="s">
        <v>74</v>
      </c>
      <c r="AR499" t="s">
        <v>9537</v>
      </c>
      <c r="AS499" t="s">
        <v>9538</v>
      </c>
      <c r="AT499" t="s">
        <v>74</v>
      </c>
      <c r="AU499">
        <v>2014</v>
      </c>
      <c r="AV499">
        <v>55</v>
      </c>
      <c r="AW499">
        <v>68</v>
      </c>
      <c r="AX499" t="s">
        <v>74</v>
      </c>
      <c r="AY499" t="s">
        <v>74</v>
      </c>
      <c r="AZ499" t="s">
        <v>74</v>
      </c>
      <c r="BA499" t="s">
        <v>74</v>
      </c>
      <c r="BB499">
        <v>15</v>
      </c>
      <c r="BC499">
        <v>26</v>
      </c>
      <c r="BD499" t="s">
        <v>74</v>
      </c>
      <c r="BE499" t="s">
        <v>9569</v>
      </c>
      <c r="BF499" t="str">
        <f>HYPERLINK("http://dx.doi.org/10.3189/2014AoG68A008","http://dx.doi.org/10.3189/2014AoG68A008")</f>
        <v>http://dx.doi.org/10.3189/2014AoG68A008</v>
      </c>
      <c r="BG499" t="s">
        <v>74</v>
      </c>
      <c r="BH499" t="s">
        <v>74</v>
      </c>
      <c r="BI499">
        <v>12</v>
      </c>
      <c r="BJ499" t="s">
        <v>1415</v>
      </c>
      <c r="BK499" t="s">
        <v>101</v>
      </c>
      <c r="BL499" t="s">
        <v>1416</v>
      </c>
      <c r="BM499" t="s">
        <v>9540</v>
      </c>
      <c r="BN499" t="s">
        <v>74</v>
      </c>
      <c r="BO499" t="s">
        <v>6867</v>
      </c>
      <c r="BP499" t="s">
        <v>74</v>
      </c>
      <c r="BQ499" t="s">
        <v>74</v>
      </c>
      <c r="BR499" t="s">
        <v>104</v>
      </c>
      <c r="BS499" t="s">
        <v>9570</v>
      </c>
      <c r="BT499" t="str">
        <f>HYPERLINK("https%3A%2F%2Fwww.webofscience.com%2Fwos%2Fwoscc%2Ffull-record%2FWOS:000351889600004","View Full Record in Web of Science")</f>
        <v>View Full Record in Web of Science</v>
      </c>
    </row>
    <row r="500" spans="1:72" x14ac:dyDescent="0.15">
      <c r="A500" t="s">
        <v>72</v>
      </c>
      <c r="B500" t="s">
        <v>9571</v>
      </c>
      <c r="C500" t="s">
        <v>74</v>
      </c>
      <c r="D500" t="s">
        <v>74</v>
      </c>
      <c r="E500" t="s">
        <v>74</v>
      </c>
      <c r="F500" t="s">
        <v>9572</v>
      </c>
      <c r="G500" t="s">
        <v>74</v>
      </c>
      <c r="H500" t="s">
        <v>74</v>
      </c>
      <c r="I500" t="s">
        <v>9573</v>
      </c>
      <c r="J500" t="s">
        <v>9523</v>
      </c>
      <c r="K500" t="s">
        <v>74</v>
      </c>
      <c r="L500" t="s">
        <v>74</v>
      </c>
      <c r="M500" t="s">
        <v>78</v>
      </c>
      <c r="N500" t="s">
        <v>79</v>
      </c>
      <c r="O500" t="s">
        <v>74</v>
      </c>
      <c r="P500" t="s">
        <v>74</v>
      </c>
      <c r="Q500" t="s">
        <v>74</v>
      </c>
      <c r="R500" t="s">
        <v>74</v>
      </c>
      <c r="S500" t="s">
        <v>74</v>
      </c>
      <c r="T500" t="s">
        <v>9574</v>
      </c>
      <c r="U500" t="s">
        <v>9575</v>
      </c>
      <c r="V500" t="s">
        <v>9576</v>
      </c>
      <c r="W500" t="s">
        <v>9577</v>
      </c>
      <c r="X500" t="s">
        <v>9527</v>
      </c>
      <c r="Y500" t="s">
        <v>9578</v>
      </c>
      <c r="Z500" t="s">
        <v>9579</v>
      </c>
      <c r="AA500" t="s">
        <v>74</v>
      </c>
      <c r="AB500" t="s">
        <v>74</v>
      </c>
      <c r="AC500" t="s">
        <v>9580</v>
      </c>
      <c r="AD500" t="s">
        <v>9581</v>
      </c>
      <c r="AE500" t="s">
        <v>9582</v>
      </c>
      <c r="AF500" t="s">
        <v>74</v>
      </c>
      <c r="AG500">
        <v>4</v>
      </c>
      <c r="AH500">
        <v>9</v>
      </c>
      <c r="AI500">
        <v>10</v>
      </c>
      <c r="AJ500">
        <v>0</v>
      </c>
      <c r="AK500">
        <v>4</v>
      </c>
      <c r="AL500" t="s">
        <v>9533</v>
      </c>
      <c r="AM500" t="s">
        <v>1948</v>
      </c>
      <c r="AN500" t="s">
        <v>9534</v>
      </c>
      <c r="AO500" t="s">
        <v>9535</v>
      </c>
      <c r="AP500" t="s">
        <v>9536</v>
      </c>
      <c r="AQ500" t="s">
        <v>74</v>
      </c>
      <c r="AR500" t="s">
        <v>9537</v>
      </c>
      <c r="AS500" t="s">
        <v>9538</v>
      </c>
      <c r="AT500" t="s">
        <v>74</v>
      </c>
      <c r="AU500">
        <v>2014</v>
      </c>
      <c r="AV500">
        <v>55</v>
      </c>
      <c r="AW500">
        <v>68</v>
      </c>
      <c r="AX500" t="s">
        <v>74</v>
      </c>
      <c r="AY500" t="s">
        <v>74</v>
      </c>
      <c r="AZ500" t="s">
        <v>74</v>
      </c>
      <c r="BA500" t="s">
        <v>74</v>
      </c>
      <c r="BB500">
        <v>27</v>
      </c>
      <c r="BC500">
        <v>33</v>
      </c>
      <c r="BD500" t="s">
        <v>74</v>
      </c>
      <c r="BE500" t="s">
        <v>9583</v>
      </c>
      <c r="BF500" t="str">
        <f>HYPERLINK("http://dx.doi.org/10.3189/2014AoG68A011","http://dx.doi.org/10.3189/2014AoG68A011")</f>
        <v>http://dx.doi.org/10.3189/2014AoG68A011</v>
      </c>
      <c r="BG500" t="s">
        <v>74</v>
      </c>
      <c r="BH500" t="s">
        <v>74</v>
      </c>
      <c r="BI500">
        <v>7</v>
      </c>
      <c r="BJ500" t="s">
        <v>1415</v>
      </c>
      <c r="BK500" t="s">
        <v>101</v>
      </c>
      <c r="BL500" t="s">
        <v>1416</v>
      </c>
      <c r="BM500" t="s">
        <v>9540</v>
      </c>
      <c r="BN500" t="s">
        <v>74</v>
      </c>
      <c r="BO500" t="s">
        <v>200</v>
      </c>
      <c r="BP500" t="s">
        <v>74</v>
      </c>
      <c r="BQ500" t="s">
        <v>74</v>
      </c>
      <c r="BR500" t="s">
        <v>104</v>
      </c>
      <c r="BS500" t="s">
        <v>9584</v>
      </c>
      <c r="BT500" t="str">
        <f>HYPERLINK("https%3A%2F%2Fwww.webofscience.com%2Fwos%2Fwoscc%2Ffull-record%2FWOS:000351889600005","View Full Record in Web of Science")</f>
        <v>View Full Record in Web of Science</v>
      </c>
    </row>
    <row r="501" spans="1:72" x14ac:dyDescent="0.15">
      <c r="A501" t="s">
        <v>72</v>
      </c>
      <c r="B501" t="s">
        <v>9585</v>
      </c>
      <c r="C501" t="s">
        <v>74</v>
      </c>
      <c r="D501" t="s">
        <v>74</v>
      </c>
      <c r="E501" t="s">
        <v>74</v>
      </c>
      <c r="F501" t="s">
        <v>9586</v>
      </c>
      <c r="G501" t="s">
        <v>74</v>
      </c>
      <c r="H501" t="s">
        <v>74</v>
      </c>
      <c r="I501" t="s">
        <v>9587</v>
      </c>
      <c r="J501" t="s">
        <v>9523</v>
      </c>
      <c r="K501" t="s">
        <v>74</v>
      </c>
      <c r="L501" t="s">
        <v>74</v>
      </c>
      <c r="M501" t="s">
        <v>78</v>
      </c>
      <c r="N501" t="s">
        <v>79</v>
      </c>
      <c r="O501" t="s">
        <v>74</v>
      </c>
      <c r="P501" t="s">
        <v>74</v>
      </c>
      <c r="Q501" t="s">
        <v>74</v>
      </c>
      <c r="R501" t="s">
        <v>74</v>
      </c>
      <c r="S501" t="s">
        <v>74</v>
      </c>
      <c r="T501" t="s">
        <v>9574</v>
      </c>
      <c r="U501" t="s">
        <v>9588</v>
      </c>
      <c r="V501" t="s">
        <v>9589</v>
      </c>
      <c r="W501" t="s">
        <v>9590</v>
      </c>
      <c r="X501" t="s">
        <v>9591</v>
      </c>
      <c r="Y501" t="s">
        <v>9592</v>
      </c>
      <c r="Z501" t="s">
        <v>9593</v>
      </c>
      <c r="AA501" t="s">
        <v>9594</v>
      </c>
      <c r="AB501" t="s">
        <v>9595</v>
      </c>
      <c r="AC501" t="s">
        <v>9596</v>
      </c>
      <c r="AD501" t="s">
        <v>9597</v>
      </c>
      <c r="AE501" t="s">
        <v>9598</v>
      </c>
      <c r="AF501" t="s">
        <v>74</v>
      </c>
      <c r="AG501">
        <v>15</v>
      </c>
      <c r="AH501">
        <v>15</v>
      </c>
      <c r="AI501">
        <v>19</v>
      </c>
      <c r="AJ501">
        <v>1</v>
      </c>
      <c r="AK501">
        <v>28</v>
      </c>
      <c r="AL501" t="s">
        <v>9533</v>
      </c>
      <c r="AM501" t="s">
        <v>1948</v>
      </c>
      <c r="AN501" t="s">
        <v>9534</v>
      </c>
      <c r="AO501" t="s">
        <v>9535</v>
      </c>
      <c r="AP501" t="s">
        <v>9536</v>
      </c>
      <c r="AQ501" t="s">
        <v>74</v>
      </c>
      <c r="AR501" t="s">
        <v>9537</v>
      </c>
      <c r="AS501" t="s">
        <v>9538</v>
      </c>
      <c r="AT501" t="s">
        <v>74</v>
      </c>
      <c r="AU501">
        <v>2014</v>
      </c>
      <c r="AV501">
        <v>55</v>
      </c>
      <c r="AW501">
        <v>68</v>
      </c>
      <c r="AX501" t="s">
        <v>74</v>
      </c>
      <c r="AY501" t="s">
        <v>74</v>
      </c>
      <c r="AZ501" t="s">
        <v>74</v>
      </c>
      <c r="BA501" t="s">
        <v>74</v>
      </c>
      <c r="BB501">
        <v>88</v>
      </c>
      <c r="BC501">
        <v>98</v>
      </c>
      <c r="BD501" t="s">
        <v>74</v>
      </c>
      <c r="BE501" t="s">
        <v>9599</v>
      </c>
      <c r="BF501" t="str">
        <f>HYPERLINK("http://dx.doi.org/10.3189/2014AoG68A006","http://dx.doi.org/10.3189/2014AoG68A006")</f>
        <v>http://dx.doi.org/10.3189/2014AoG68A006</v>
      </c>
      <c r="BG501" t="s">
        <v>74</v>
      </c>
      <c r="BH501" t="s">
        <v>74</v>
      </c>
      <c r="BI501">
        <v>11</v>
      </c>
      <c r="BJ501" t="s">
        <v>1415</v>
      </c>
      <c r="BK501" t="s">
        <v>101</v>
      </c>
      <c r="BL501" t="s">
        <v>1416</v>
      </c>
      <c r="BM501" t="s">
        <v>9540</v>
      </c>
      <c r="BN501" t="s">
        <v>74</v>
      </c>
      <c r="BO501" t="s">
        <v>200</v>
      </c>
      <c r="BP501" t="s">
        <v>74</v>
      </c>
      <c r="BQ501" t="s">
        <v>74</v>
      </c>
      <c r="BR501" t="s">
        <v>104</v>
      </c>
      <c r="BS501" t="s">
        <v>9600</v>
      </c>
      <c r="BT501" t="str">
        <f>HYPERLINK("https%3A%2F%2Fwww.webofscience.com%2Fwos%2Fwoscc%2Ffull-record%2FWOS:000351889600013","View Full Record in Web of Science")</f>
        <v>View Full Record in Web of Science</v>
      </c>
    </row>
    <row r="502" spans="1:72" x14ac:dyDescent="0.15">
      <c r="A502" t="s">
        <v>72</v>
      </c>
      <c r="B502" t="s">
        <v>9601</v>
      </c>
      <c r="C502" t="s">
        <v>74</v>
      </c>
      <c r="D502" t="s">
        <v>74</v>
      </c>
      <c r="E502" t="s">
        <v>74</v>
      </c>
      <c r="F502" t="s">
        <v>9602</v>
      </c>
      <c r="G502" t="s">
        <v>74</v>
      </c>
      <c r="H502" t="s">
        <v>74</v>
      </c>
      <c r="I502" t="s">
        <v>9603</v>
      </c>
      <c r="J502" t="s">
        <v>9523</v>
      </c>
      <c r="K502" t="s">
        <v>74</v>
      </c>
      <c r="L502" t="s">
        <v>74</v>
      </c>
      <c r="M502" t="s">
        <v>78</v>
      </c>
      <c r="N502" t="s">
        <v>79</v>
      </c>
      <c r="O502" t="s">
        <v>74</v>
      </c>
      <c r="P502" t="s">
        <v>74</v>
      </c>
      <c r="Q502" t="s">
        <v>74</v>
      </c>
      <c r="R502" t="s">
        <v>74</v>
      </c>
      <c r="S502" t="s">
        <v>74</v>
      </c>
      <c r="T502" t="s">
        <v>9604</v>
      </c>
      <c r="U502" t="s">
        <v>9605</v>
      </c>
      <c r="V502" t="s">
        <v>9606</v>
      </c>
      <c r="W502" t="s">
        <v>9607</v>
      </c>
      <c r="X502" t="s">
        <v>9527</v>
      </c>
      <c r="Y502" t="s">
        <v>9608</v>
      </c>
      <c r="Z502" t="s">
        <v>9609</v>
      </c>
      <c r="AA502" t="s">
        <v>74</v>
      </c>
      <c r="AB502" t="s">
        <v>74</v>
      </c>
      <c r="AC502" t="s">
        <v>9610</v>
      </c>
      <c r="AD502" t="s">
        <v>9611</v>
      </c>
      <c r="AE502" t="s">
        <v>9612</v>
      </c>
      <c r="AF502" t="s">
        <v>74</v>
      </c>
      <c r="AG502">
        <v>6</v>
      </c>
      <c r="AH502">
        <v>15</v>
      </c>
      <c r="AI502">
        <v>15</v>
      </c>
      <c r="AJ502">
        <v>0</v>
      </c>
      <c r="AK502">
        <v>2</v>
      </c>
      <c r="AL502" t="s">
        <v>9533</v>
      </c>
      <c r="AM502" t="s">
        <v>1948</v>
      </c>
      <c r="AN502" t="s">
        <v>9534</v>
      </c>
      <c r="AO502" t="s">
        <v>9535</v>
      </c>
      <c r="AP502" t="s">
        <v>9536</v>
      </c>
      <c r="AQ502" t="s">
        <v>74</v>
      </c>
      <c r="AR502" t="s">
        <v>9537</v>
      </c>
      <c r="AS502" t="s">
        <v>9538</v>
      </c>
      <c r="AT502" t="s">
        <v>74</v>
      </c>
      <c r="AU502">
        <v>2014</v>
      </c>
      <c r="AV502">
        <v>55</v>
      </c>
      <c r="AW502">
        <v>68</v>
      </c>
      <c r="AX502" t="s">
        <v>74</v>
      </c>
      <c r="AY502" t="s">
        <v>74</v>
      </c>
      <c r="AZ502" t="s">
        <v>74</v>
      </c>
      <c r="BA502" t="s">
        <v>74</v>
      </c>
      <c r="BB502">
        <v>147</v>
      </c>
      <c r="BC502">
        <v>155</v>
      </c>
      <c r="BD502" t="s">
        <v>74</v>
      </c>
      <c r="BE502" t="s">
        <v>9613</v>
      </c>
      <c r="BF502" t="str">
        <f>HYPERLINK("http://dx.doi.org/10.3189/2014AoG68A018","http://dx.doi.org/10.3189/2014AoG68A018")</f>
        <v>http://dx.doi.org/10.3189/2014AoG68A018</v>
      </c>
      <c r="BG502" t="s">
        <v>74</v>
      </c>
      <c r="BH502" t="s">
        <v>74</v>
      </c>
      <c r="BI502">
        <v>9</v>
      </c>
      <c r="BJ502" t="s">
        <v>1415</v>
      </c>
      <c r="BK502" t="s">
        <v>101</v>
      </c>
      <c r="BL502" t="s">
        <v>1416</v>
      </c>
      <c r="BM502" t="s">
        <v>9540</v>
      </c>
      <c r="BN502" t="s">
        <v>74</v>
      </c>
      <c r="BO502" t="s">
        <v>200</v>
      </c>
      <c r="BP502" t="s">
        <v>74</v>
      </c>
      <c r="BQ502" t="s">
        <v>74</v>
      </c>
      <c r="BR502" t="s">
        <v>104</v>
      </c>
      <c r="BS502" t="s">
        <v>9614</v>
      </c>
      <c r="BT502" t="str">
        <f>HYPERLINK("https%3A%2F%2Fwww.webofscience.com%2Fwos%2Fwoscc%2Ffull-record%2FWOS:000351889600020","View Full Record in Web of Science")</f>
        <v>View Full Record in Web of Science</v>
      </c>
    </row>
    <row r="503" spans="1:72" x14ac:dyDescent="0.15">
      <c r="A503" t="s">
        <v>72</v>
      </c>
      <c r="B503" t="s">
        <v>9615</v>
      </c>
      <c r="C503" t="s">
        <v>74</v>
      </c>
      <c r="D503" t="s">
        <v>74</v>
      </c>
      <c r="E503" t="s">
        <v>74</v>
      </c>
      <c r="F503" t="s">
        <v>9616</v>
      </c>
      <c r="G503" t="s">
        <v>74</v>
      </c>
      <c r="H503" t="s">
        <v>74</v>
      </c>
      <c r="I503" t="s">
        <v>9617</v>
      </c>
      <c r="J503" t="s">
        <v>9523</v>
      </c>
      <c r="K503" t="s">
        <v>74</v>
      </c>
      <c r="L503" t="s">
        <v>74</v>
      </c>
      <c r="M503" t="s">
        <v>78</v>
      </c>
      <c r="N503" t="s">
        <v>79</v>
      </c>
      <c r="O503" t="s">
        <v>74</v>
      </c>
      <c r="P503" t="s">
        <v>74</v>
      </c>
      <c r="Q503" t="s">
        <v>74</v>
      </c>
      <c r="R503" t="s">
        <v>74</v>
      </c>
      <c r="S503" t="s">
        <v>74</v>
      </c>
      <c r="T503" t="s">
        <v>9618</v>
      </c>
      <c r="U503" t="s">
        <v>9619</v>
      </c>
      <c r="V503" t="s">
        <v>9620</v>
      </c>
      <c r="W503" t="s">
        <v>9621</v>
      </c>
      <c r="X503" t="s">
        <v>9527</v>
      </c>
      <c r="Y503" t="s">
        <v>9622</v>
      </c>
      <c r="Z503" t="s">
        <v>9623</v>
      </c>
      <c r="AA503" t="s">
        <v>74</v>
      </c>
      <c r="AB503" t="s">
        <v>74</v>
      </c>
      <c r="AC503" t="s">
        <v>9624</v>
      </c>
      <c r="AD503" t="s">
        <v>9625</v>
      </c>
      <c r="AE503" t="s">
        <v>9626</v>
      </c>
      <c r="AF503" t="s">
        <v>74</v>
      </c>
      <c r="AG503">
        <v>7</v>
      </c>
      <c r="AH503">
        <v>6</v>
      </c>
      <c r="AI503">
        <v>7</v>
      </c>
      <c r="AJ503">
        <v>1</v>
      </c>
      <c r="AK503">
        <v>6</v>
      </c>
      <c r="AL503" t="s">
        <v>9533</v>
      </c>
      <c r="AM503" t="s">
        <v>1948</v>
      </c>
      <c r="AN503" t="s">
        <v>9534</v>
      </c>
      <c r="AO503" t="s">
        <v>9535</v>
      </c>
      <c r="AP503" t="s">
        <v>9536</v>
      </c>
      <c r="AQ503" t="s">
        <v>74</v>
      </c>
      <c r="AR503" t="s">
        <v>9537</v>
      </c>
      <c r="AS503" t="s">
        <v>9538</v>
      </c>
      <c r="AT503" t="s">
        <v>74</v>
      </c>
      <c r="AU503">
        <v>2014</v>
      </c>
      <c r="AV503">
        <v>55</v>
      </c>
      <c r="AW503">
        <v>68</v>
      </c>
      <c r="AX503" t="s">
        <v>74</v>
      </c>
      <c r="AY503" t="s">
        <v>74</v>
      </c>
      <c r="AZ503" t="s">
        <v>74</v>
      </c>
      <c r="BA503" t="s">
        <v>74</v>
      </c>
      <c r="BB503">
        <v>165</v>
      </c>
      <c r="BC503">
        <v>172</v>
      </c>
      <c r="BD503" t="s">
        <v>74</v>
      </c>
      <c r="BE503" t="s">
        <v>9627</v>
      </c>
      <c r="BF503" t="str">
        <f>HYPERLINK("http://dx.doi.org/10.3189/2014AoG68A019","http://dx.doi.org/10.3189/2014AoG68A019")</f>
        <v>http://dx.doi.org/10.3189/2014AoG68A019</v>
      </c>
      <c r="BG503" t="s">
        <v>74</v>
      </c>
      <c r="BH503" t="s">
        <v>74</v>
      </c>
      <c r="BI503">
        <v>8</v>
      </c>
      <c r="BJ503" t="s">
        <v>1415</v>
      </c>
      <c r="BK503" t="s">
        <v>101</v>
      </c>
      <c r="BL503" t="s">
        <v>1416</v>
      </c>
      <c r="BM503" t="s">
        <v>9540</v>
      </c>
      <c r="BN503" t="s">
        <v>74</v>
      </c>
      <c r="BO503" t="s">
        <v>200</v>
      </c>
      <c r="BP503" t="s">
        <v>74</v>
      </c>
      <c r="BQ503" t="s">
        <v>74</v>
      </c>
      <c r="BR503" t="s">
        <v>104</v>
      </c>
      <c r="BS503" t="s">
        <v>9628</v>
      </c>
      <c r="BT503" t="str">
        <f>HYPERLINK("https%3A%2F%2Fwww.webofscience.com%2Fwos%2Fwoscc%2Ffull-record%2FWOS:000351889600022","View Full Record in Web of Science")</f>
        <v>View Full Record in Web of Science</v>
      </c>
    </row>
    <row r="504" spans="1:72" x14ac:dyDescent="0.15">
      <c r="A504" t="s">
        <v>72</v>
      </c>
      <c r="B504" t="s">
        <v>9629</v>
      </c>
      <c r="C504" t="s">
        <v>74</v>
      </c>
      <c r="D504" t="s">
        <v>74</v>
      </c>
      <c r="E504" t="s">
        <v>74</v>
      </c>
      <c r="F504" t="s">
        <v>9630</v>
      </c>
      <c r="G504" t="s">
        <v>74</v>
      </c>
      <c r="H504" t="s">
        <v>74</v>
      </c>
      <c r="I504" t="s">
        <v>9631</v>
      </c>
      <c r="J504" t="s">
        <v>9523</v>
      </c>
      <c r="K504" t="s">
        <v>74</v>
      </c>
      <c r="L504" t="s">
        <v>74</v>
      </c>
      <c r="M504" t="s">
        <v>78</v>
      </c>
      <c r="N504" t="s">
        <v>79</v>
      </c>
      <c r="O504" t="s">
        <v>74</v>
      </c>
      <c r="P504" t="s">
        <v>74</v>
      </c>
      <c r="Q504" t="s">
        <v>74</v>
      </c>
      <c r="R504" t="s">
        <v>74</v>
      </c>
      <c r="S504" t="s">
        <v>74</v>
      </c>
      <c r="T504" t="s">
        <v>9632</v>
      </c>
      <c r="U504" t="s">
        <v>74</v>
      </c>
      <c r="V504" t="s">
        <v>9633</v>
      </c>
      <c r="W504" t="s">
        <v>9634</v>
      </c>
      <c r="X504" t="s">
        <v>9635</v>
      </c>
      <c r="Y504" t="s">
        <v>9636</v>
      </c>
      <c r="Z504" t="s">
        <v>9637</v>
      </c>
      <c r="AA504" t="s">
        <v>9638</v>
      </c>
      <c r="AB504" t="s">
        <v>9639</v>
      </c>
      <c r="AC504" t="s">
        <v>9640</v>
      </c>
      <c r="AD504" t="s">
        <v>9641</v>
      </c>
      <c r="AE504" t="s">
        <v>9642</v>
      </c>
      <c r="AF504" t="s">
        <v>74</v>
      </c>
      <c r="AG504">
        <v>8</v>
      </c>
      <c r="AH504">
        <v>11</v>
      </c>
      <c r="AI504">
        <v>11</v>
      </c>
      <c r="AJ504">
        <v>0</v>
      </c>
      <c r="AK504">
        <v>9</v>
      </c>
      <c r="AL504" t="s">
        <v>9533</v>
      </c>
      <c r="AM504" t="s">
        <v>1948</v>
      </c>
      <c r="AN504" t="s">
        <v>9534</v>
      </c>
      <c r="AO504" t="s">
        <v>9535</v>
      </c>
      <c r="AP504" t="s">
        <v>9536</v>
      </c>
      <c r="AQ504" t="s">
        <v>74</v>
      </c>
      <c r="AR504" t="s">
        <v>9537</v>
      </c>
      <c r="AS504" t="s">
        <v>9538</v>
      </c>
      <c r="AT504" t="s">
        <v>74</v>
      </c>
      <c r="AU504">
        <v>2014</v>
      </c>
      <c r="AV504">
        <v>55</v>
      </c>
      <c r="AW504">
        <v>68</v>
      </c>
      <c r="AX504" t="s">
        <v>74</v>
      </c>
      <c r="AY504" t="s">
        <v>74</v>
      </c>
      <c r="AZ504" t="s">
        <v>74</v>
      </c>
      <c r="BA504" t="s">
        <v>74</v>
      </c>
      <c r="BB504">
        <v>173</v>
      </c>
      <c r="BC504">
        <v>178</v>
      </c>
      <c r="BD504" t="s">
        <v>74</v>
      </c>
      <c r="BE504" t="s">
        <v>9643</v>
      </c>
      <c r="BF504" t="str">
        <f>HYPERLINK("http://dx.doi.org/10.3189/2014AoG68A040","http://dx.doi.org/10.3189/2014AoG68A040")</f>
        <v>http://dx.doi.org/10.3189/2014AoG68A040</v>
      </c>
      <c r="BG504" t="s">
        <v>74</v>
      </c>
      <c r="BH504" t="s">
        <v>74</v>
      </c>
      <c r="BI504">
        <v>6</v>
      </c>
      <c r="BJ504" t="s">
        <v>1415</v>
      </c>
      <c r="BK504" t="s">
        <v>101</v>
      </c>
      <c r="BL504" t="s">
        <v>1416</v>
      </c>
      <c r="BM504" t="s">
        <v>9540</v>
      </c>
      <c r="BN504" t="s">
        <v>74</v>
      </c>
      <c r="BO504" t="s">
        <v>200</v>
      </c>
      <c r="BP504" t="s">
        <v>74</v>
      </c>
      <c r="BQ504" t="s">
        <v>74</v>
      </c>
      <c r="BR504" t="s">
        <v>104</v>
      </c>
      <c r="BS504" t="s">
        <v>9644</v>
      </c>
      <c r="BT504" t="str">
        <f>HYPERLINK("https%3A%2F%2Fwww.webofscience.com%2Fwos%2Fwoscc%2Ffull-record%2FWOS:000351889600023","View Full Record in Web of Science")</f>
        <v>View Full Record in Web of Science</v>
      </c>
    </row>
    <row r="505" spans="1:72" x14ac:dyDescent="0.15">
      <c r="A505" t="s">
        <v>72</v>
      </c>
      <c r="B505" t="s">
        <v>9645</v>
      </c>
      <c r="C505" t="s">
        <v>74</v>
      </c>
      <c r="D505" t="s">
        <v>74</v>
      </c>
      <c r="E505" t="s">
        <v>74</v>
      </c>
      <c r="F505" t="s">
        <v>9646</v>
      </c>
      <c r="G505" t="s">
        <v>74</v>
      </c>
      <c r="H505" t="s">
        <v>74</v>
      </c>
      <c r="I505" t="s">
        <v>9647</v>
      </c>
      <c r="J505" t="s">
        <v>9523</v>
      </c>
      <c r="K505" t="s">
        <v>74</v>
      </c>
      <c r="L505" t="s">
        <v>74</v>
      </c>
      <c r="M505" t="s">
        <v>78</v>
      </c>
      <c r="N505" t="s">
        <v>79</v>
      </c>
      <c r="O505" t="s">
        <v>74</v>
      </c>
      <c r="P505" t="s">
        <v>74</v>
      </c>
      <c r="Q505" t="s">
        <v>74</v>
      </c>
      <c r="R505" t="s">
        <v>74</v>
      </c>
      <c r="S505" t="s">
        <v>74</v>
      </c>
      <c r="T505" t="s">
        <v>9574</v>
      </c>
      <c r="U505" t="s">
        <v>9605</v>
      </c>
      <c r="V505" t="s">
        <v>9648</v>
      </c>
      <c r="W505" t="s">
        <v>9649</v>
      </c>
      <c r="X505" t="s">
        <v>9527</v>
      </c>
      <c r="Y505" t="s">
        <v>9650</v>
      </c>
      <c r="Z505" t="s">
        <v>9529</v>
      </c>
      <c r="AA505" t="s">
        <v>74</v>
      </c>
      <c r="AB505" t="s">
        <v>74</v>
      </c>
      <c r="AC505" t="s">
        <v>9651</v>
      </c>
      <c r="AD505" t="s">
        <v>9531</v>
      </c>
      <c r="AE505" t="s">
        <v>9652</v>
      </c>
      <c r="AF505" t="s">
        <v>74</v>
      </c>
      <c r="AG505">
        <v>6</v>
      </c>
      <c r="AH505">
        <v>4</v>
      </c>
      <c r="AI505">
        <v>6</v>
      </c>
      <c r="AJ505">
        <v>1</v>
      </c>
      <c r="AK505">
        <v>13</v>
      </c>
      <c r="AL505" t="s">
        <v>9533</v>
      </c>
      <c r="AM505" t="s">
        <v>1948</v>
      </c>
      <c r="AN505" t="s">
        <v>9534</v>
      </c>
      <c r="AO505" t="s">
        <v>9535</v>
      </c>
      <c r="AP505" t="s">
        <v>9536</v>
      </c>
      <c r="AQ505" t="s">
        <v>74</v>
      </c>
      <c r="AR505" t="s">
        <v>9537</v>
      </c>
      <c r="AS505" t="s">
        <v>9538</v>
      </c>
      <c r="AT505" t="s">
        <v>74</v>
      </c>
      <c r="AU505">
        <v>2014</v>
      </c>
      <c r="AV505">
        <v>55</v>
      </c>
      <c r="AW505">
        <v>68</v>
      </c>
      <c r="AX505" t="s">
        <v>74</v>
      </c>
      <c r="AY505" t="s">
        <v>74</v>
      </c>
      <c r="AZ505" t="s">
        <v>74</v>
      </c>
      <c r="BA505" t="s">
        <v>74</v>
      </c>
      <c r="BB505">
        <v>189</v>
      </c>
      <c r="BC505">
        <v>198</v>
      </c>
      <c r="BD505" t="s">
        <v>74</v>
      </c>
      <c r="BE505" t="s">
        <v>9653</v>
      </c>
      <c r="BF505" t="str">
        <f>HYPERLINK("http://dx.doi.org/10.3189/2014AoG68A017","http://dx.doi.org/10.3189/2014AoG68A017")</f>
        <v>http://dx.doi.org/10.3189/2014AoG68A017</v>
      </c>
      <c r="BG505" t="s">
        <v>74</v>
      </c>
      <c r="BH505" t="s">
        <v>74</v>
      </c>
      <c r="BI505">
        <v>10</v>
      </c>
      <c r="BJ505" t="s">
        <v>1415</v>
      </c>
      <c r="BK505" t="s">
        <v>101</v>
      </c>
      <c r="BL505" t="s">
        <v>1416</v>
      </c>
      <c r="BM505" t="s">
        <v>9540</v>
      </c>
      <c r="BN505" t="s">
        <v>74</v>
      </c>
      <c r="BO505" t="s">
        <v>200</v>
      </c>
      <c r="BP505" t="s">
        <v>74</v>
      </c>
      <c r="BQ505" t="s">
        <v>74</v>
      </c>
      <c r="BR505" t="s">
        <v>104</v>
      </c>
      <c r="BS505" t="s">
        <v>9654</v>
      </c>
      <c r="BT505" t="str">
        <f>HYPERLINK("https%3A%2F%2Fwww.webofscience.com%2Fwos%2Fwoscc%2Ffull-record%2FWOS:000351889600025","View Full Record in Web of Science")</f>
        <v>View Full Record in Web of Science</v>
      </c>
    </row>
    <row r="506" spans="1:72" x14ac:dyDescent="0.15">
      <c r="A506" t="s">
        <v>72</v>
      </c>
      <c r="B506" t="s">
        <v>9655</v>
      </c>
      <c r="C506" t="s">
        <v>74</v>
      </c>
      <c r="D506" t="s">
        <v>74</v>
      </c>
      <c r="E506" t="s">
        <v>74</v>
      </c>
      <c r="F506" t="s">
        <v>9656</v>
      </c>
      <c r="G506" t="s">
        <v>74</v>
      </c>
      <c r="H506" t="s">
        <v>74</v>
      </c>
      <c r="I506" t="s">
        <v>9657</v>
      </c>
      <c r="J506" t="s">
        <v>9523</v>
      </c>
      <c r="K506" t="s">
        <v>74</v>
      </c>
      <c r="L506" t="s">
        <v>74</v>
      </c>
      <c r="M506" t="s">
        <v>78</v>
      </c>
      <c r="N506" t="s">
        <v>79</v>
      </c>
      <c r="O506" t="s">
        <v>74</v>
      </c>
      <c r="P506" t="s">
        <v>74</v>
      </c>
      <c r="Q506" t="s">
        <v>74</v>
      </c>
      <c r="R506" t="s">
        <v>74</v>
      </c>
      <c r="S506" t="s">
        <v>74</v>
      </c>
      <c r="T506" t="s">
        <v>9658</v>
      </c>
      <c r="U506" t="s">
        <v>9575</v>
      </c>
      <c r="V506" t="s">
        <v>9659</v>
      </c>
      <c r="W506" t="s">
        <v>9660</v>
      </c>
      <c r="X506" t="s">
        <v>9661</v>
      </c>
      <c r="Y506" t="s">
        <v>9662</v>
      </c>
      <c r="Z506" t="s">
        <v>9663</v>
      </c>
      <c r="AA506" t="s">
        <v>9664</v>
      </c>
      <c r="AB506" t="s">
        <v>9665</v>
      </c>
      <c r="AC506" t="s">
        <v>9666</v>
      </c>
      <c r="AD506" t="s">
        <v>9667</v>
      </c>
      <c r="AE506" t="s">
        <v>9668</v>
      </c>
      <c r="AF506" t="s">
        <v>74</v>
      </c>
      <c r="AG506">
        <v>17</v>
      </c>
      <c r="AH506">
        <v>17</v>
      </c>
      <c r="AI506">
        <v>17</v>
      </c>
      <c r="AJ506">
        <v>1</v>
      </c>
      <c r="AK506">
        <v>22</v>
      </c>
      <c r="AL506" t="s">
        <v>91</v>
      </c>
      <c r="AM506" t="s">
        <v>1948</v>
      </c>
      <c r="AN506" t="s">
        <v>2519</v>
      </c>
      <c r="AO506" t="s">
        <v>9535</v>
      </c>
      <c r="AP506" t="s">
        <v>9536</v>
      </c>
      <c r="AQ506" t="s">
        <v>74</v>
      </c>
      <c r="AR506" t="s">
        <v>9537</v>
      </c>
      <c r="AS506" t="s">
        <v>9538</v>
      </c>
      <c r="AT506" t="s">
        <v>74</v>
      </c>
      <c r="AU506">
        <v>2014</v>
      </c>
      <c r="AV506">
        <v>55</v>
      </c>
      <c r="AW506">
        <v>68</v>
      </c>
      <c r="AX506" t="s">
        <v>74</v>
      </c>
      <c r="AY506" t="s">
        <v>74</v>
      </c>
      <c r="AZ506" t="s">
        <v>74</v>
      </c>
      <c r="BA506" t="s">
        <v>74</v>
      </c>
      <c r="BB506">
        <v>233</v>
      </c>
      <c r="BC506">
        <v>242</v>
      </c>
      <c r="BD506" t="s">
        <v>74</v>
      </c>
      <c r="BE506" t="s">
        <v>9669</v>
      </c>
      <c r="BF506" t="str">
        <f>HYPERLINK("http://dx.doi.org/10.3189/2014AoG68A026","http://dx.doi.org/10.3189/2014AoG68A026")</f>
        <v>http://dx.doi.org/10.3189/2014AoG68A026</v>
      </c>
      <c r="BG506" t="s">
        <v>74</v>
      </c>
      <c r="BH506" t="s">
        <v>74</v>
      </c>
      <c r="BI506">
        <v>10</v>
      </c>
      <c r="BJ506" t="s">
        <v>1415</v>
      </c>
      <c r="BK506" t="s">
        <v>101</v>
      </c>
      <c r="BL506" t="s">
        <v>1416</v>
      </c>
      <c r="BM506" t="s">
        <v>9540</v>
      </c>
      <c r="BN506" t="s">
        <v>74</v>
      </c>
      <c r="BO506" t="s">
        <v>2501</v>
      </c>
      <c r="BP506" t="s">
        <v>74</v>
      </c>
      <c r="BQ506" t="s">
        <v>74</v>
      </c>
      <c r="BR506" t="s">
        <v>104</v>
      </c>
      <c r="BS506" t="s">
        <v>9670</v>
      </c>
      <c r="BT506" t="str">
        <f>HYPERLINK("https%3A%2F%2Fwww.webofscience.com%2Fwos%2Fwoscc%2Ffull-record%2FWOS:000351889600029","View Full Record in Web of Science")</f>
        <v>View Full Record in Web of Science</v>
      </c>
    </row>
    <row r="507" spans="1:72" x14ac:dyDescent="0.15">
      <c r="A507" t="s">
        <v>72</v>
      </c>
      <c r="B507" t="s">
        <v>9671</v>
      </c>
      <c r="C507" t="s">
        <v>74</v>
      </c>
      <c r="D507" t="s">
        <v>74</v>
      </c>
      <c r="E507" t="s">
        <v>74</v>
      </c>
      <c r="F507" t="s">
        <v>9672</v>
      </c>
      <c r="G507" t="s">
        <v>74</v>
      </c>
      <c r="H507" t="s">
        <v>74</v>
      </c>
      <c r="I507" t="s">
        <v>9673</v>
      </c>
      <c r="J507" t="s">
        <v>9523</v>
      </c>
      <c r="K507" t="s">
        <v>74</v>
      </c>
      <c r="L507" t="s">
        <v>74</v>
      </c>
      <c r="M507" t="s">
        <v>78</v>
      </c>
      <c r="N507" t="s">
        <v>79</v>
      </c>
      <c r="O507" t="s">
        <v>74</v>
      </c>
      <c r="P507" t="s">
        <v>74</v>
      </c>
      <c r="Q507" t="s">
        <v>74</v>
      </c>
      <c r="R507" t="s">
        <v>74</v>
      </c>
      <c r="S507" t="s">
        <v>74</v>
      </c>
      <c r="T507" t="s">
        <v>9674</v>
      </c>
      <c r="U507" t="s">
        <v>74</v>
      </c>
      <c r="V507" t="s">
        <v>9675</v>
      </c>
      <c r="W507" t="s">
        <v>9676</v>
      </c>
      <c r="X507" t="s">
        <v>9677</v>
      </c>
      <c r="Y507" t="s">
        <v>9678</v>
      </c>
      <c r="Z507" t="s">
        <v>9679</v>
      </c>
      <c r="AA507" t="s">
        <v>9680</v>
      </c>
      <c r="AB507" t="s">
        <v>9681</v>
      </c>
      <c r="AC507" t="s">
        <v>9682</v>
      </c>
      <c r="AD507" t="s">
        <v>9683</v>
      </c>
      <c r="AE507" t="s">
        <v>9684</v>
      </c>
      <c r="AF507" t="s">
        <v>74</v>
      </c>
      <c r="AG507">
        <v>5</v>
      </c>
      <c r="AH507">
        <v>15</v>
      </c>
      <c r="AI507">
        <v>16</v>
      </c>
      <c r="AJ507">
        <v>2</v>
      </c>
      <c r="AK507">
        <v>4</v>
      </c>
      <c r="AL507" t="s">
        <v>9533</v>
      </c>
      <c r="AM507" t="s">
        <v>1948</v>
      </c>
      <c r="AN507" t="s">
        <v>9534</v>
      </c>
      <c r="AO507" t="s">
        <v>9535</v>
      </c>
      <c r="AP507" t="s">
        <v>9536</v>
      </c>
      <c r="AQ507" t="s">
        <v>74</v>
      </c>
      <c r="AR507" t="s">
        <v>9537</v>
      </c>
      <c r="AS507" t="s">
        <v>9538</v>
      </c>
      <c r="AT507" t="s">
        <v>74</v>
      </c>
      <c r="AU507">
        <v>2014</v>
      </c>
      <c r="AV507">
        <v>55</v>
      </c>
      <c r="AW507">
        <v>68</v>
      </c>
      <c r="AX507" t="s">
        <v>74</v>
      </c>
      <c r="AY507" t="s">
        <v>74</v>
      </c>
      <c r="AZ507" t="s">
        <v>74</v>
      </c>
      <c r="BA507" t="s">
        <v>74</v>
      </c>
      <c r="BB507">
        <v>260</v>
      </c>
      <c r="BC507">
        <v>270</v>
      </c>
      <c r="BD507" t="s">
        <v>74</v>
      </c>
      <c r="BE507" t="s">
        <v>9685</v>
      </c>
      <c r="BF507" t="str">
        <f>HYPERLINK("http://dx.doi.org/10.3189/2014AoG68A043","http://dx.doi.org/10.3189/2014AoG68A043")</f>
        <v>http://dx.doi.org/10.3189/2014AoG68A043</v>
      </c>
      <c r="BG507" t="s">
        <v>74</v>
      </c>
      <c r="BH507" t="s">
        <v>74</v>
      </c>
      <c r="BI507">
        <v>11</v>
      </c>
      <c r="BJ507" t="s">
        <v>1415</v>
      </c>
      <c r="BK507" t="s">
        <v>101</v>
      </c>
      <c r="BL507" t="s">
        <v>1416</v>
      </c>
      <c r="BM507" t="s">
        <v>9540</v>
      </c>
      <c r="BN507" t="s">
        <v>74</v>
      </c>
      <c r="BO507" t="s">
        <v>200</v>
      </c>
      <c r="BP507" t="s">
        <v>74</v>
      </c>
      <c r="BQ507" t="s">
        <v>74</v>
      </c>
      <c r="BR507" t="s">
        <v>104</v>
      </c>
      <c r="BS507" t="s">
        <v>9686</v>
      </c>
      <c r="BT507" t="str">
        <f>HYPERLINK("https%3A%2F%2Fwww.webofscience.com%2Fwos%2Fwoscc%2Ffull-record%2FWOS:000351889600032","View Full Record in Web of Science")</f>
        <v>View Full Record in Web of Science</v>
      </c>
    </row>
    <row r="508" spans="1:72" x14ac:dyDescent="0.15">
      <c r="A508" t="s">
        <v>72</v>
      </c>
      <c r="B508" t="s">
        <v>9687</v>
      </c>
      <c r="C508" t="s">
        <v>74</v>
      </c>
      <c r="D508" t="s">
        <v>74</v>
      </c>
      <c r="E508" t="s">
        <v>74</v>
      </c>
      <c r="F508" t="s">
        <v>9688</v>
      </c>
      <c r="G508" t="s">
        <v>74</v>
      </c>
      <c r="H508" t="s">
        <v>74</v>
      </c>
      <c r="I508" t="s">
        <v>9689</v>
      </c>
      <c r="J508" t="s">
        <v>9523</v>
      </c>
      <c r="K508" t="s">
        <v>74</v>
      </c>
      <c r="L508" t="s">
        <v>74</v>
      </c>
      <c r="M508" t="s">
        <v>78</v>
      </c>
      <c r="N508" t="s">
        <v>79</v>
      </c>
      <c r="O508" t="s">
        <v>74</v>
      </c>
      <c r="P508" t="s">
        <v>74</v>
      </c>
      <c r="Q508" t="s">
        <v>74</v>
      </c>
      <c r="R508" t="s">
        <v>74</v>
      </c>
      <c r="S508" t="s">
        <v>74</v>
      </c>
      <c r="T508" t="s">
        <v>9690</v>
      </c>
      <c r="U508" t="s">
        <v>74</v>
      </c>
      <c r="V508" t="s">
        <v>9691</v>
      </c>
      <c r="W508" t="s">
        <v>9692</v>
      </c>
      <c r="X508" t="s">
        <v>9677</v>
      </c>
      <c r="Y508" t="s">
        <v>9678</v>
      </c>
      <c r="Z508" t="s">
        <v>9679</v>
      </c>
      <c r="AA508" t="s">
        <v>74</v>
      </c>
      <c r="AB508" t="s">
        <v>74</v>
      </c>
      <c r="AC508" t="s">
        <v>9693</v>
      </c>
      <c r="AD508" t="s">
        <v>9694</v>
      </c>
      <c r="AE508" t="s">
        <v>9695</v>
      </c>
      <c r="AF508" t="s">
        <v>74</v>
      </c>
      <c r="AG508">
        <v>2</v>
      </c>
      <c r="AH508">
        <v>5</v>
      </c>
      <c r="AI508">
        <v>5</v>
      </c>
      <c r="AJ508">
        <v>3</v>
      </c>
      <c r="AK508">
        <v>9</v>
      </c>
      <c r="AL508" t="s">
        <v>9533</v>
      </c>
      <c r="AM508" t="s">
        <v>1948</v>
      </c>
      <c r="AN508" t="s">
        <v>9534</v>
      </c>
      <c r="AO508" t="s">
        <v>9535</v>
      </c>
      <c r="AP508" t="s">
        <v>9536</v>
      </c>
      <c r="AQ508" t="s">
        <v>74</v>
      </c>
      <c r="AR508" t="s">
        <v>9537</v>
      </c>
      <c r="AS508" t="s">
        <v>9538</v>
      </c>
      <c r="AT508" t="s">
        <v>74</v>
      </c>
      <c r="AU508">
        <v>2014</v>
      </c>
      <c r="AV508">
        <v>55</v>
      </c>
      <c r="AW508">
        <v>68</v>
      </c>
      <c r="AX508" t="s">
        <v>74</v>
      </c>
      <c r="AY508" t="s">
        <v>74</v>
      </c>
      <c r="AZ508" t="s">
        <v>74</v>
      </c>
      <c r="BA508" t="s">
        <v>74</v>
      </c>
      <c r="BB508">
        <v>271</v>
      </c>
      <c r="BC508">
        <v>284</v>
      </c>
      <c r="BD508" t="s">
        <v>74</v>
      </c>
      <c r="BE508" t="s">
        <v>9696</v>
      </c>
      <c r="BF508" t="str">
        <f>HYPERLINK("http://dx.doi.org/10.3189/2014AoG68A038","http://dx.doi.org/10.3189/2014AoG68A038")</f>
        <v>http://dx.doi.org/10.3189/2014AoG68A038</v>
      </c>
      <c r="BG508" t="s">
        <v>74</v>
      </c>
      <c r="BH508" t="s">
        <v>74</v>
      </c>
      <c r="BI508">
        <v>14</v>
      </c>
      <c r="BJ508" t="s">
        <v>1415</v>
      </c>
      <c r="BK508" t="s">
        <v>101</v>
      </c>
      <c r="BL508" t="s">
        <v>1416</v>
      </c>
      <c r="BM508" t="s">
        <v>9540</v>
      </c>
      <c r="BN508" t="s">
        <v>74</v>
      </c>
      <c r="BO508" t="s">
        <v>200</v>
      </c>
      <c r="BP508" t="s">
        <v>74</v>
      </c>
      <c r="BQ508" t="s">
        <v>74</v>
      </c>
      <c r="BR508" t="s">
        <v>104</v>
      </c>
      <c r="BS508" t="s">
        <v>9697</v>
      </c>
      <c r="BT508" t="str">
        <f>HYPERLINK("https%3A%2F%2Fwww.webofscience.com%2Fwos%2Fwoscc%2Ffull-record%2FWOS:000351889600033","View Full Record in Web of Science")</f>
        <v>View Full Record in Web of Science</v>
      </c>
    </row>
    <row r="509" spans="1:72" x14ac:dyDescent="0.15">
      <c r="A509" t="s">
        <v>72</v>
      </c>
      <c r="B509" t="s">
        <v>9698</v>
      </c>
      <c r="C509" t="s">
        <v>74</v>
      </c>
      <c r="D509" t="s">
        <v>74</v>
      </c>
      <c r="E509" t="s">
        <v>74</v>
      </c>
      <c r="F509" t="s">
        <v>9699</v>
      </c>
      <c r="G509" t="s">
        <v>74</v>
      </c>
      <c r="H509" t="s">
        <v>74</v>
      </c>
      <c r="I509" t="s">
        <v>9700</v>
      </c>
      <c r="J509" t="s">
        <v>9523</v>
      </c>
      <c r="K509" t="s">
        <v>74</v>
      </c>
      <c r="L509" t="s">
        <v>74</v>
      </c>
      <c r="M509" t="s">
        <v>78</v>
      </c>
      <c r="N509" t="s">
        <v>79</v>
      </c>
      <c r="O509" t="s">
        <v>74</v>
      </c>
      <c r="P509" t="s">
        <v>74</v>
      </c>
      <c r="Q509" t="s">
        <v>74</v>
      </c>
      <c r="R509" t="s">
        <v>74</v>
      </c>
      <c r="S509" t="s">
        <v>74</v>
      </c>
      <c r="T509" t="s">
        <v>9701</v>
      </c>
      <c r="U509" t="s">
        <v>9702</v>
      </c>
      <c r="V509" t="s">
        <v>9703</v>
      </c>
      <c r="W509" t="s">
        <v>9704</v>
      </c>
      <c r="X509" t="s">
        <v>9705</v>
      </c>
      <c r="Y509" t="s">
        <v>9706</v>
      </c>
      <c r="Z509" t="s">
        <v>9707</v>
      </c>
      <c r="AA509" t="s">
        <v>9708</v>
      </c>
      <c r="AB509" t="s">
        <v>74</v>
      </c>
      <c r="AC509" t="s">
        <v>9709</v>
      </c>
      <c r="AD509" t="s">
        <v>9710</v>
      </c>
      <c r="AE509" t="s">
        <v>9711</v>
      </c>
      <c r="AF509" t="s">
        <v>74</v>
      </c>
      <c r="AG509">
        <v>10</v>
      </c>
      <c r="AH509">
        <v>26</v>
      </c>
      <c r="AI509">
        <v>29</v>
      </c>
      <c r="AJ509">
        <v>1</v>
      </c>
      <c r="AK509">
        <v>20</v>
      </c>
      <c r="AL509" t="s">
        <v>9533</v>
      </c>
      <c r="AM509" t="s">
        <v>1948</v>
      </c>
      <c r="AN509" t="s">
        <v>9534</v>
      </c>
      <c r="AO509" t="s">
        <v>9535</v>
      </c>
      <c r="AP509" t="s">
        <v>9536</v>
      </c>
      <c r="AQ509" t="s">
        <v>74</v>
      </c>
      <c r="AR509" t="s">
        <v>9537</v>
      </c>
      <c r="AS509" t="s">
        <v>9538</v>
      </c>
      <c r="AT509" t="s">
        <v>74</v>
      </c>
      <c r="AU509">
        <v>2014</v>
      </c>
      <c r="AV509">
        <v>55</v>
      </c>
      <c r="AW509">
        <v>68</v>
      </c>
      <c r="AX509" t="s">
        <v>74</v>
      </c>
      <c r="AY509" t="s">
        <v>74</v>
      </c>
      <c r="AZ509" t="s">
        <v>74</v>
      </c>
      <c r="BA509" t="s">
        <v>74</v>
      </c>
      <c r="BB509">
        <v>285</v>
      </c>
      <c r="BC509">
        <v>297</v>
      </c>
      <c r="BD509" t="s">
        <v>74</v>
      </c>
      <c r="BE509" t="s">
        <v>9712</v>
      </c>
      <c r="BF509" t="str">
        <f>HYPERLINK("http://dx.doi.org/10.3189/2014AoG68A031","http://dx.doi.org/10.3189/2014AoG68A031")</f>
        <v>http://dx.doi.org/10.3189/2014AoG68A031</v>
      </c>
      <c r="BG509" t="s">
        <v>74</v>
      </c>
      <c r="BH509" t="s">
        <v>74</v>
      </c>
      <c r="BI509">
        <v>13</v>
      </c>
      <c r="BJ509" t="s">
        <v>1415</v>
      </c>
      <c r="BK509" t="s">
        <v>101</v>
      </c>
      <c r="BL509" t="s">
        <v>1416</v>
      </c>
      <c r="BM509" t="s">
        <v>9540</v>
      </c>
      <c r="BN509" t="s">
        <v>74</v>
      </c>
      <c r="BO509" t="s">
        <v>200</v>
      </c>
      <c r="BP509" t="s">
        <v>74</v>
      </c>
      <c r="BQ509" t="s">
        <v>74</v>
      </c>
      <c r="BR509" t="s">
        <v>104</v>
      </c>
      <c r="BS509" t="s">
        <v>9713</v>
      </c>
      <c r="BT509" t="str">
        <f>HYPERLINK("https%3A%2F%2Fwww.webofscience.com%2Fwos%2Fwoscc%2Ffull-record%2FWOS:000351889600034","View Full Record in Web of Science")</f>
        <v>View Full Record in Web of Science</v>
      </c>
    </row>
    <row r="510" spans="1:72" x14ac:dyDescent="0.15">
      <c r="A510" t="s">
        <v>72</v>
      </c>
      <c r="B510" t="s">
        <v>9714</v>
      </c>
      <c r="C510" t="s">
        <v>74</v>
      </c>
      <c r="D510" t="s">
        <v>74</v>
      </c>
      <c r="E510" t="s">
        <v>74</v>
      </c>
      <c r="F510" t="s">
        <v>9715</v>
      </c>
      <c r="G510" t="s">
        <v>74</v>
      </c>
      <c r="H510" t="s">
        <v>74</v>
      </c>
      <c r="I510" t="s">
        <v>9716</v>
      </c>
      <c r="J510" t="s">
        <v>9523</v>
      </c>
      <c r="K510" t="s">
        <v>74</v>
      </c>
      <c r="L510" t="s">
        <v>74</v>
      </c>
      <c r="M510" t="s">
        <v>78</v>
      </c>
      <c r="N510" t="s">
        <v>79</v>
      </c>
      <c r="O510" t="s">
        <v>74</v>
      </c>
      <c r="P510" t="s">
        <v>74</v>
      </c>
      <c r="Q510" t="s">
        <v>74</v>
      </c>
      <c r="R510" t="s">
        <v>74</v>
      </c>
      <c r="S510" t="s">
        <v>74</v>
      </c>
      <c r="T510" t="s">
        <v>9717</v>
      </c>
      <c r="U510" t="s">
        <v>74</v>
      </c>
      <c r="V510" t="s">
        <v>9718</v>
      </c>
      <c r="W510" t="s">
        <v>9719</v>
      </c>
      <c r="X510" t="s">
        <v>9705</v>
      </c>
      <c r="Y510" t="s">
        <v>9720</v>
      </c>
      <c r="Z510" t="s">
        <v>9721</v>
      </c>
      <c r="AA510" t="s">
        <v>74</v>
      </c>
      <c r="AB510" t="s">
        <v>74</v>
      </c>
      <c r="AC510" t="s">
        <v>9722</v>
      </c>
      <c r="AD510" t="s">
        <v>9723</v>
      </c>
      <c r="AE510" t="s">
        <v>9724</v>
      </c>
      <c r="AF510" t="s">
        <v>74</v>
      </c>
      <c r="AG510">
        <v>2</v>
      </c>
      <c r="AH510">
        <v>12</v>
      </c>
      <c r="AI510">
        <v>15</v>
      </c>
      <c r="AJ510">
        <v>2</v>
      </c>
      <c r="AK510">
        <v>11</v>
      </c>
      <c r="AL510" t="s">
        <v>9533</v>
      </c>
      <c r="AM510" t="s">
        <v>1948</v>
      </c>
      <c r="AN510" t="s">
        <v>9534</v>
      </c>
      <c r="AO510" t="s">
        <v>9535</v>
      </c>
      <c r="AP510" t="s">
        <v>9536</v>
      </c>
      <c r="AQ510" t="s">
        <v>74</v>
      </c>
      <c r="AR510" t="s">
        <v>9537</v>
      </c>
      <c r="AS510" t="s">
        <v>9538</v>
      </c>
      <c r="AT510" t="s">
        <v>74</v>
      </c>
      <c r="AU510">
        <v>2014</v>
      </c>
      <c r="AV510">
        <v>55</v>
      </c>
      <c r="AW510">
        <v>68</v>
      </c>
      <c r="AX510" t="s">
        <v>74</v>
      </c>
      <c r="AY510" t="s">
        <v>74</v>
      </c>
      <c r="AZ510" t="s">
        <v>74</v>
      </c>
      <c r="BA510" t="s">
        <v>74</v>
      </c>
      <c r="BB510">
        <v>298</v>
      </c>
      <c r="BC510">
        <v>310</v>
      </c>
      <c r="BD510" t="s">
        <v>74</v>
      </c>
      <c r="BE510" t="s">
        <v>9725</v>
      </c>
      <c r="BF510" t="str">
        <f>HYPERLINK("http://dx.doi.org/10.3189/2014AoG68A037","http://dx.doi.org/10.3189/2014AoG68A037")</f>
        <v>http://dx.doi.org/10.3189/2014AoG68A037</v>
      </c>
      <c r="BG510" t="s">
        <v>74</v>
      </c>
      <c r="BH510" t="s">
        <v>74</v>
      </c>
      <c r="BI510">
        <v>13</v>
      </c>
      <c r="BJ510" t="s">
        <v>1415</v>
      </c>
      <c r="BK510" t="s">
        <v>101</v>
      </c>
      <c r="BL510" t="s">
        <v>1416</v>
      </c>
      <c r="BM510" t="s">
        <v>9540</v>
      </c>
      <c r="BN510" t="s">
        <v>74</v>
      </c>
      <c r="BO510" t="s">
        <v>200</v>
      </c>
      <c r="BP510" t="s">
        <v>74</v>
      </c>
      <c r="BQ510" t="s">
        <v>74</v>
      </c>
      <c r="BR510" t="s">
        <v>104</v>
      </c>
      <c r="BS510" t="s">
        <v>9726</v>
      </c>
      <c r="BT510" t="str">
        <f>HYPERLINK("https%3A%2F%2Fwww.webofscience.com%2Fwos%2Fwoscc%2Ffull-record%2FWOS:000351889600035","View Full Record in Web of Science")</f>
        <v>View Full Record in Web of Science</v>
      </c>
    </row>
    <row r="511" spans="1:72" x14ac:dyDescent="0.15">
      <c r="A511" t="s">
        <v>72</v>
      </c>
      <c r="B511" t="s">
        <v>9727</v>
      </c>
      <c r="C511" t="s">
        <v>74</v>
      </c>
      <c r="D511" t="s">
        <v>74</v>
      </c>
      <c r="E511" t="s">
        <v>74</v>
      </c>
      <c r="F511" t="s">
        <v>9728</v>
      </c>
      <c r="G511" t="s">
        <v>74</v>
      </c>
      <c r="H511" t="s">
        <v>74</v>
      </c>
      <c r="I511" t="s">
        <v>9729</v>
      </c>
      <c r="J511" t="s">
        <v>9523</v>
      </c>
      <c r="K511" t="s">
        <v>74</v>
      </c>
      <c r="L511" t="s">
        <v>74</v>
      </c>
      <c r="M511" t="s">
        <v>78</v>
      </c>
      <c r="N511" t="s">
        <v>79</v>
      </c>
      <c r="O511" t="s">
        <v>74</v>
      </c>
      <c r="P511" t="s">
        <v>74</v>
      </c>
      <c r="Q511" t="s">
        <v>74</v>
      </c>
      <c r="R511" t="s">
        <v>74</v>
      </c>
      <c r="S511" t="s">
        <v>74</v>
      </c>
      <c r="T511" t="s">
        <v>9730</v>
      </c>
      <c r="U511" t="s">
        <v>74</v>
      </c>
      <c r="V511" t="s">
        <v>9731</v>
      </c>
      <c r="W511" t="s">
        <v>9732</v>
      </c>
      <c r="X511" t="s">
        <v>9527</v>
      </c>
      <c r="Y511" t="s">
        <v>9733</v>
      </c>
      <c r="Z511" t="s">
        <v>9579</v>
      </c>
      <c r="AA511" t="s">
        <v>74</v>
      </c>
      <c r="AB511" t="s">
        <v>74</v>
      </c>
      <c r="AC511" t="s">
        <v>9734</v>
      </c>
      <c r="AD511" t="s">
        <v>9735</v>
      </c>
      <c r="AE511" t="s">
        <v>9736</v>
      </c>
      <c r="AF511" t="s">
        <v>74</v>
      </c>
      <c r="AG511">
        <v>1</v>
      </c>
      <c r="AH511">
        <v>1</v>
      </c>
      <c r="AI511">
        <v>1</v>
      </c>
      <c r="AJ511">
        <v>0</v>
      </c>
      <c r="AK511">
        <v>3</v>
      </c>
      <c r="AL511" t="s">
        <v>9533</v>
      </c>
      <c r="AM511" t="s">
        <v>1948</v>
      </c>
      <c r="AN511" t="s">
        <v>9534</v>
      </c>
      <c r="AO511" t="s">
        <v>9535</v>
      </c>
      <c r="AP511" t="s">
        <v>9536</v>
      </c>
      <c r="AQ511" t="s">
        <v>74</v>
      </c>
      <c r="AR511" t="s">
        <v>9537</v>
      </c>
      <c r="AS511" t="s">
        <v>9538</v>
      </c>
      <c r="AT511" t="s">
        <v>74</v>
      </c>
      <c r="AU511">
        <v>2014</v>
      </c>
      <c r="AV511">
        <v>55</v>
      </c>
      <c r="AW511">
        <v>68</v>
      </c>
      <c r="AX511" t="s">
        <v>74</v>
      </c>
      <c r="AY511" t="s">
        <v>74</v>
      </c>
      <c r="AZ511" t="s">
        <v>74</v>
      </c>
      <c r="BA511" t="s">
        <v>74</v>
      </c>
      <c r="BB511">
        <v>331</v>
      </c>
      <c r="BC511">
        <v>338</v>
      </c>
      <c r="BD511" t="s">
        <v>74</v>
      </c>
      <c r="BE511" t="s">
        <v>9737</v>
      </c>
      <c r="BF511" t="str">
        <f>HYPERLINK("http://dx.doi.org/10.3189/2014AoG68A034","http://dx.doi.org/10.3189/2014AoG68A034")</f>
        <v>http://dx.doi.org/10.3189/2014AoG68A034</v>
      </c>
      <c r="BG511" t="s">
        <v>74</v>
      </c>
      <c r="BH511" t="s">
        <v>74</v>
      </c>
      <c r="BI511">
        <v>8</v>
      </c>
      <c r="BJ511" t="s">
        <v>1415</v>
      </c>
      <c r="BK511" t="s">
        <v>101</v>
      </c>
      <c r="BL511" t="s">
        <v>1416</v>
      </c>
      <c r="BM511" t="s">
        <v>9540</v>
      </c>
      <c r="BN511" t="s">
        <v>74</v>
      </c>
      <c r="BO511" t="s">
        <v>200</v>
      </c>
      <c r="BP511" t="s">
        <v>74</v>
      </c>
      <c r="BQ511" t="s">
        <v>74</v>
      </c>
      <c r="BR511" t="s">
        <v>104</v>
      </c>
      <c r="BS511" t="s">
        <v>9738</v>
      </c>
      <c r="BT511" t="str">
        <f>HYPERLINK("https%3A%2F%2Fwww.webofscience.com%2Fwos%2Fwoscc%2Ffull-record%2FWOS:000351889600038","View Full Record in Web of Science")</f>
        <v>View Full Record in Web of Science</v>
      </c>
    </row>
    <row r="512" spans="1:72" x14ac:dyDescent="0.15">
      <c r="A512" t="s">
        <v>72</v>
      </c>
      <c r="B512" t="s">
        <v>9739</v>
      </c>
      <c r="C512" t="s">
        <v>74</v>
      </c>
      <c r="D512" t="s">
        <v>74</v>
      </c>
      <c r="E512" t="s">
        <v>74</v>
      </c>
      <c r="F512" t="s">
        <v>9740</v>
      </c>
      <c r="G512" t="s">
        <v>74</v>
      </c>
      <c r="H512" t="s">
        <v>74</v>
      </c>
      <c r="I512" t="s">
        <v>9741</v>
      </c>
      <c r="J512" t="s">
        <v>9523</v>
      </c>
      <c r="K512" t="s">
        <v>74</v>
      </c>
      <c r="L512" t="s">
        <v>74</v>
      </c>
      <c r="M512" t="s">
        <v>78</v>
      </c>
      <c r="N512" t="s">
        <v>79</v>
      </c>
      <c r="O512" t="s">
        <v>74</v>
      </c>
      <c r="P512" t="s">
        <v>74</v>
      </c>
      <c r="Q512" t="s">
        <v>74</v>
      </c>
      <c r="R512" t="s">
        <v>74</v>
      </c>
      <c r="S512" t="s">
        <v>74</v>
      </c>
      <c r="T512" t="s">
        <v>9742</v>
      </c>
      <c r="U512" t="s">
        <v>74</v>
      </c>
      <c r="V512" t="s">
        <v>9743</v>
      </c>
      <c r="W512" t="s">
        <v>9744</v>
      </c>
      <c r="X512" t="s">
        <v>9745</v>
      </c>
      <c r="Y512" t="s">
        <v>9746</v>
      </c>
      <c r="Z512" t="s">
        <v>9747</v>
      </c>
      <c r="AA512" t="s">
        <v>74</v>
      </c>
      <c r="AB512" t="s">
        <v>74</v>
      </c>
      <c r="AC512" t="s">
        <v>9748</v>
      </c>
      <c r="AD512" t="s">
        <v>9749</v>
      </c>
      <c r="AE512" t="s">
        <v>9750</v>
      </c>
      <c r="AF512" t="s">
        <v>74</v>
      </c>
      <c r="AG512">
        <v>7</v>
      </c>
      <c r="AH512">
        <v>6</v>
      </c>
      <c r="AI512">
        <v>6</v>
      </c>
      <c r="AJ512">
        <v>0</v>
      </c>
      <c r="AK512">
        <v>2</v>
      </c>
      <c r="AL512" t="s">
        <v>91</v>
      </c>
      <c r="AM512" t="s">
        <v>1948</v>
      </c>
      <c r="AN512" t="s">
        <v>2519</v>
      </c>
      <c r="AO512" t="s">
        <v>9535</v>
      </c>
      <c r="AP512" t="s">
        <v>9536</v>
      </c>
      <c r="AQ512" t="s">
        <v>74</v>
      </c>
      <c r="AR512" t="s">
        <v>9537</v>
      </c>
      <c r="AS512" t="s">
        <v>9538</v>
      </c>
      <c r="AT512" t="s">
        <v>74</v>
      </c>
      <c r="AU512">
        <v>2014</v>
      </c>
      <c r="AV512">
        <v>55</v>
      </c>
      <c r="AW512">
        <v>68</v>
      </c>
      <c r="AX512" t="s">
        <v>74</v>
      </c>
      <c r="AY512" t="s">
        <v>74</v>
      </c>
      <c r="AZ512" t="s">
        <v>74</v>
      </c>
      <c r="BA512" t="s">
        <v>74</v>
      </c>
      <c r="BB512">
        <v>351</v>
      </c>
      <c r="BC512">
        <v>354</v>
      </c>
      <c r="BD512" t="s">
        <v>74</v>
      </c>
      <c r="BE512" t="s">
        <v>9751</v>
      </c>
      <c r="BF512" t="str">
        <f>HYPERLINK("http://dx.doi.org/10.3189/2014AoG68A022","http://dx.doi.org/10.3189/2014AoG68A022")</f>
        <v>http://dx.doi.org/10.3189/2014AoG68A022</v>
      </c>
      <c r="BG512" t="s">
        <v>74</v>
      </c>
      <c r="BH512" t="s">
        <v>74</v>
      </c>
      <c r="BI512">
        <v>4</v>
      </c>
      <c r="BJ512" t="s">
        <v>1415</v>
      </c>
      <c r="BK512" t="s">
        <v>101</v>
      </c>
      <c r="BL512" t="s">
        <v>1416</v>
      </c>
      <c r="BM512" t="s">
        <v>9540</v>
      </c>
      <c r="BN512" t="s">
        <v>74</v>
      </c>
      <c r="BO512" t="s">
        <v>1244</v>
      </c>
      <c r="BP512" t="s">
        <v>74</v>
      </c>
      <c r="BQ512" t="s">
        <v>74</v>
      </c>
      <c r="BR512" t="s">
        <v>104</v>
      </c>
      <c r="BS512" t="s">
        <v>9752</v>
      </c>
      <c r="BT512" t="str">
        <f>HYPERLINK("https%3A%2F%2Fwww.webofscience.com%2Fwos%2Fwoscc%2Ffull-record%2FWOS:000351889600040","View Full Record in Web of Science")</f>
        <v>View Full Record in Web of Science</v>
      </c>
    </row>
    <row r="513" spans="1:72" x14ac:dyDescent="0.15">
      <c r="A513" t="s">
        <v>72</v>
      </c>
      <c r="B513" t="s">
        <v>9753</v>
      </c>
      <c r="C513" t="s">
        <v>74</v>
      </c>
      <c r="D513" t="s">
        <v>74</v>
      </c>
      <c r="E513" t="s">
        <v>74</v>
      </c>
      <c r="F513" t="s">
        <v>9754</v>
      </c>
      <c r="G513" t="s">
        <v>74</v>
      </c>
      <c r="H513" t="s">
        <v>74</v>
      </c>
      <c r="I513" t="s">
        <v>9755</v>
      </c>
      <c r="J513" t="s">
        <v>9523</v>
      </c>
      <c r="K513" t="s">
        <v>74</v>
      </c>
      <c r="L513" t="s">
        <v>74</v>
      </c>
      <c r="M513" t="s">
        <v>78</v>
      </c>
      <c r="N513" t="s">
        <v>79</v>
      </c>
      <c r="O513" t="s">
        <v>74</v>
      </c>
      <c r="P513" t="s">
        <v>74</v>
      </c>
      <c r="Q513" t="s">
        <v>74</v>
      </c>
      <c r="R513" t="s">
        <v>74</v>
      </c>
      <c r="S513" t="s">
        <v>74</v>
      </c>
      <c r="T513" t="s">
        <v>9756</v>
      </c>
      <c r="U513" t="s">
        <v>9757</v>
      </c>
      <c r="V513" t="s">
        <v>9758</v>
      </c>
      <c r="W513" t="s">
        <v>9759</v>
      </c>
      <c r="X513" t="s">
        <v>9760</v>
      </c>
      <c r="Y513" t="s">
        <v>9761</v>
      </c>
      <c r="Z513" t="s">
        <v>9762</v>
      </c>
      <c r="AA513" t="s">
        <v>9763</v>
      </c>
      <c r="AB513" t="s">
        <v>9764</v>
      </c>
      <c r="AC513" t="s">
        <v>9765</v>
      </c>
      <c r="AD513" t="s">
        <v>9766</v>
      </c>
      <c r="AE513" t="s">
        <v>9767</v>
      </c>
      <c r="AF513" t="s">
        <v>74</v>
      </c>
      <c r="AG513">
        <v>25</v>
      </c>
      <c r="AH513">
        <v>14</v>
      </c>
      <c r="AI513">
        <v>16</v>
      </c>
      <c r="AJ513">
        <v>0</v>
      </c>
      <c r="AK513">
        <v>14</v>
      </c>
      <c r="AL513" t="s">
        <v>91</v>
      </c>
      <c r="AM513" t="s">
        <v>1948</v>
      </c>
      <c r="AN513" t="s">
        <v>2519</v>
      </c>
      <c r="AO513" t="s">
        <v>9535</v>
      </c>
      <c r="AP513" t="s">
        <v>9536</v>
      </c>
      <c r="AQ513" t="s">
        <v>74</v>
      </c>
      <c r="AR513" t="s">
        <v>9537</v>
      </c>
      <c r="AS513" t="s">
        <v>9538</v>
      </c>
      <c r="AT513" t="s">
        <v>74</v>
      </c>
      <c r="AU513">
        <v>2014</v>
      </c>
      <c r="AV513">
        <v>55</v>
      </c>
      <c r="AW513">
        <v>68</v>
      </c>
      <c r="AX513" t="s">
        <v>74</v>
      </c>
      <c r="AY513" t="s">
        <v>74</v>
      </c>
      <c r="AZ513" t="s">
        <v>74</v>
      </c>
      <c r="BA513" t="s">
        <v>74</v>
      </c>
      <c r="BB513">
        <v>355</v>
      </c>
      <c r="BC513">
        <v>366</v>
      </c>
      <c r="BD513" t="s">
        <v>74</v>
      </c>
      <c r="BE513" t="s">
        <v>9768</v>
      </c>
      <c r="BF513" t="str">
        <f>HYPERLINK("http://dx.doi.org/10.3189/2014AoG68A189","http://dx.doi.org/10.3189/2014AoG68A189")</f>
        <v>http://dx.doi.org/10.3189/2014AoG68A189</v>
      </c>
      <c r="BG513" t="s">
        <v>74</v>
      </c>
      <c r="BH513" t="s">
        <v>74</v>
      </c>
      <c r="BI513">
        <v>12</v>
      </c>
      <c r="BJ513" t="s">
        <v>1415</v>
      </c>
      <c r="BK513" t="s">
        <v>101</v>
      </c>
      <c r="BL513" t="s">
        <v>1416</v>
      </c>
      <c r="BM513" t="s">
        <v>9540</v>
      </c>
      <c r="BN513" t="s">
        <v>74</v>
      </c>
      <c r="BO513" t="s">
        <v>9769</v>
      </c>
      <c r="BP513" t="s">
        <v>74</v>
      </c>
      <c r="BQ513" t="s">
        <v>74</v>
      </c>
      <c r="BR513" t="s">
        <v>104</v>
      </c>
      <c r="BS513" t="s">
        <v>9770</v>
      </c>
      <c r="BT513" t="str">
        <f>HYPERLINK("https%3A%2F%2Fwww.webofscience.com%2Fwos%2Fwoscc%2Ffull-record%2FWOS:000351889600041","View Full Record in Web of Science")</f>
        <v>View Full Record in Web of Science</v>
      </c>
    </row>
    <row r="514" spans="1:72" x14ac:dyDescent="0.15">
      <c r="A514" t="s">
        <v>8774</v>
      </c>
      <c r="B514" t="s">
        <v>9771</v>
      </c>
      <c r="C514" t="s">
        <v>9772</v>
      </c>
      <c r="D514" t="s">
        <v>74</v>
      </c>
      <c r="E514" t="s">
        <v>74</v>
      </c>
      <c r="F514" t="s">
        <v>9773</v>
      </c>
      <c r="G514" t="s">
        <v>9772</v>
      </c>
      <c r="H514" t="s">
        <v>74</v>
      </c>
      <c r="I514" t="s">
        <v>9774</v>
      </c>
      <c r="J514" t="s">
        <v>9775</v>
      </c>
      <c r="K514" t="s">
        <v>74</v>
      </c>
      <c r="L514" t="s">
        <v>74</v>
      </c>
      <c r="M514" t="s">
        <v>78</v>
      </c>
      <c r="N514" t="s">
        <v>8781</v>
      </c>
      <c r="O514" t="s">
        <v>9776</v>
      </c>
      <c r="P514" t="s">
        <v>9777</v>
      </c>
      <c r="Q514" t="s">
        <v>9778</v>
      </c>
      <c r="R514" t="s">
        <v>74</v>
      </c>
      <c r="S514" t="s">
        <v>74</v>
      </c>
      <c r="T514" t="s">
        <v>9779</v>
      </c>
      <c r="U514" t="s">
        <v>74</v>
      </c>
      <c r="V514" t="s">
        <v>9780</v>
      </c>
      <c r="W514" t="s">
        <v>9781</v>
      </c>
      <c r="X514" t="s">
        <v>9782</v>
      </c>
      <c r="Y514" t="s">
        <v>9783</v>
      </c>
      <c r="Z514" t="s">
        <v>74</v>
      </c>
      <c r="AA514" t="s">
        <v>74</v>
      </c>
      <c r="AB514" t="s">
        <v>74</v>
      </c>
      <c r="AC514" t="s">
        <v>74</v>
      </c>
      <c r="AD514" t="s">
        <v>74</v>
      </c>
      <c r="AE514" t="s">
        <v>74</v>
      </c>
      <c r="AF514" t="s">
        <v>74</v>
      </c>
      <c r="AG514">
        <v>8</v>
      </c>
      <c r="AH514">
        <v>1</v>
      </c>
      <c r="AI514">
        <v>1</v>
      </c>
      <c r="AJ514">
        <v>0</v>
      </c>
      <c r="AK514">
        <v>0</v>
      </c>
      <c r="AL514" t="s">
        <v>9784</v>
      </c>
      <c r="AM514" t="s">
        <v>9785</v>
      </c>
      <c r="AN514" t="s">
        <v>9786</v>
      </c>
      <c r="AO514" t="s">
        <v>74</v>
      </c>
      <c r="AP514" t="s">
        <v>74</v>
      </c>
      <c r="AQ514" t="s">
        <v>9787</v>
      </c>
      <c r="AR514" t="s">
        <v>74</v>
      </c>
      <c r="AS514" t="s">
        <v>74</v>
      </c>
      <c r="AT514" t="s">
        <v>74</v>
      </c>
      <c r="AU514">
        <v>2014</v>
      </c>
      <c r="AV514" t="s">
        <v>74</v>
      </c>
      <c r="AW514" t="s">
        <v>74</v>
      </c>
      <c r="AX514" t="s">
        <v>74</v>
      </c>
      <c r="AY514" t="s">
        <v>74</v>
      </c>
      <c r="AZ514" t="s">
        <v>74</v>
      </c>
      <c r="BA514" t="s">
        <v>74</v>
      </c>
      <c r="BB514">
        <v>75</v>
      </c>
      <c r="BC514">
        <v>79</v>
      </c>
      <c r="BD514" t="s">
        <v>74</v>
      </c>
      <c r="BE514" t="s">
        <v>74</v>
      </c>
      <c r="BF514" t="s">
        <v>74</v>
      </c>
      <c r="BG514" t="s">
        <v>74</v>
      </c>
      <c r="BH514" t="s">
        <v>74</v>
      </c>
      <c r="BI514">
        <v>5</v>
      </c>
      <c r="BJ514" t="s">
        <v>9788</v>
      </c>
      <c r="BK514" t="s">
        <v>9152</v>
      </c>
      <c r="BL514" t="s">
        <v>9789</v>
      </c>
      <c r="BM514" t="s">
        <v>9790</v>
      </c>
      <c r="BN514" t="s">
        <v>74</v>
      </c>
      <c r="BO514" t="s">
        <v>74</v>
      </c>
      <c r="BP514" t="s">
        <v>74</v>
      </c>
      <c r="BQ514" t="s">
        <v>74</v>
      </c>
      <c r="BR514" t="s">
        <v>104</v>
      </c>
      <c r="BS514" t="s">
        <v>9791</v>
      </c>
      <c r="BT514" t="str">
        <f>HYPERLINK("https%3A%2F%2Fwww.webofscience.com%2Fwos%2Fwoscc%2Ffull-record%2FWOS:000351910600015","View Full Record in Web of Science")</f>
        <v>View Full Record in Web of Science</v>
      </c>
    </row>
    <row r="515" spans="1:72" x14ac:dyDescent="0.15">
      <c r="A515" t="s">
        <v>8774</v>
      </c>
      <c r="B515" t="s">
        <v>9792</v>
      </c>
      <c r="C515" t="s">
        <v>74</v>
      </c>
      <c r="D515" t="s">
        <v>74</v>
      </c>
      <c r="E515" t="s">
        <v>8931</v>
      </c>
      <c r="F515" t="s">
        <v>9793</v>
      </c>
      <c r="G515" t="s">
        <v>74</v>
      </c>
      <c r="H515" t="s">
        <v>74</v>
      </c>
      <c r="I515" t="s">
        <v>9794</v>
      </c>
      <c r="J515" t="s">
        <v>9795</v>
      </c>
      <c r="K515" t="s">
        <v>9796</v>
      </c>
      <c r="L515" t="s">
        <v>74</v>
      </c>
      <c r="M515" t="s">
        <v>78</v>
      </c>
      <c r="N515" t="s">
        <v>8781</v>
      </c>
      <c r="O515" t="s">
        <v>9797</v>
      </c>
      <c r="P515" t="s">
        <v>9798</v>
      </c>
      <c r="Q515" t="s">
        <v>9799</v>
      </c>
      <c r="R515" t="s">
        <v>74</v>
      </c>
      <c r="S515" t="s">
        <v>74</v>
      </c>
      <c r="T515" t="s">
        <v>74</v>
      </c>
      <c r="U515" t="s">
        <v>74</v>
      </c>
      <c r="V515" t="s">
        <v>9800</v>
      </c>
      <c r="W515" t="s">
        <v>9801</v>
      </c>
      <c r="X515" t="s">
        <v>9802</v>
      </c>
      <c r="Y515" t="s">
        <v>9803</v>
      </c>
      <c r="Z515" t="s">
        <v>74</v>
      </c>
      <c r="AA515" t="s">
        <v>9804</v>
      </c>
      <c r="AB515" t="s">
        <v>9805</v>
      </c>
      <c r="AC515" t="s">
        <v>74</v>
      </c>
      <c r="AD515" t="s">
        <v>74</v>
      </c>
      <c r="AE515" t="s">
        <v>74</v>
      </c>
      <c r="AF515" t="s">
        <v>74</v>
      </c>
      <c r="AG515">
        <v>4</v>
      </c>
      <c r="AH515">
        <v>1</v>
      </c>
      <c r="AI515">
        <v>1</v>
      </c>
      <c r="AJ515">
        <v>0</v>
      </c>
      <c r="AK515">
        <v>2</v>
      </c>
      <c r="AL515" t="s">
        <v>8931</v>
      </c>
      <c r="AM515" t="s">
        <v>92</v>
      </c>
      <c r="AN515" t="s">
        <v>8945</v>
      </c>
      <c r="AO515" t="s">
        <v>9806</v>
      </c>
      <c r="AP515" t="s">
        <v>74</v>
      </c>
      <c r="AQ515" t="s">
        <v>9807</v>
      </c>
      <c r="AR515" t="s">
        <v>9808</v>
      </c>
      <c r="AS515" t="s">
        <v>74</v>
      </c>
      <c r="AT515" t="s">
        <v>74</v>
      </c>
      <c r="AU515">
        <v>2014</v>
      </c>
      <c r="AV515" t="s">
        <v>74</v>
      </c>
      <c r="AW515" t="s">
        <v>74</v>
      </c>
      <c r="AX515" t="s">
        <v>74</v>
      </c>
      <c r="AY515" t="s">
        <v>74</v>
      </c>
      <c r="AZ515" t="s">
        <v>74</v>
      </c>
      <c r="BA515" t="s">
        <v>74</v>
      </c>
      <c r="BB515">
        <v>4098</v>
      </c>
      <c r="BC515">
        <v>4100</v>
      </c>
      <c r="BD515" t="s">
        <v>74</v>
      </c>
      <c r="BE515" t="s">
        <v>9809</v>
      </c>
      <c r="BF515" t="str">
        <f>HYPERLINK("http://dx.doi.org/10.1109/IGARSS.2014.6947387","http://dx.doi.org/10.1109/IGARSS.2014.6947387")</f>
        <v>http://dx.doi.org/10.1109/IGARSS.2014.6947387</v>
      </c>
      <c r="BG515" t="s">
        <v>74</v>
      </c>
      <c r="BH515" t="s">
        <v>74</v>
      </c>
      <c r="BI515">
        <v>3</v>
      </c>
      <c r="BJ515" t="s">
        <v>9810</v>
      </c>
      <c r="BK515" t="s">
        <v>8799</v>
      </c>
      <c r="BL515" t="s">
        <v>9811</v>
      </c>
      <c r="BM515" t="s">
        <v>9812</v>
      </c>
      <c r="BN515" t="s">
        <v>74</v>
      </c>
      <c r="BO515" t="s">
        <v>74</v>
      </c>
      <c r="BP515" t="s">
        <v>74</v>
      </c>
      <c r="BQ515" t="s">
        <v>74</v>
      </c>
      <c r="BR515" t="s">
        <v>104</v>
      </c>
      <c r="BS515" t="s">
        <v>9813</v>
      </c>
      <c r="BT515" t="str">
        <f>HYPERLINK("https%3A%2F%2Fwww.webofscience.com%2Fwos%2Fwoscc%2Ffull-record%2FWOS:000349688105166","View Full Record in Web of Science")</f>
        <v>View Full Record in Web of Science</v>
      </c>
    </row>
    <row r="516" spans="1:72" x14ac:dyDescent="0.15">
      <c r="A516" t="s">
        <v>72</v>
      </c>
      <c r="B516" t="s">
        <v>9814</v>
      </c>
      <c r="C516" t="s">
        <v>74</v>
      </c>
      <c r="D516" t="s">
        <v>74</v>
      </c>
      <c r="E516" t="s">
        <v>74</v>
      </c>
      <c r="F516" t="s">
        <v>9815</v>
      </c>
      <c r="G516" t="s">
        <v>74</v>
      </c>
      <c r="H516" t="s">
        <v>74</v>
      </c>
      <c r="I516" t="s">
        <v>9816</v>
      </c>
      <c r="J516" t="s">
        <v>9817</v>
      </c>
      <c r="K516" t="s">
        <v>74</v>
      </c>
      <c r="L516" t="s">
        <v>74</v>
      </c>
      <c r="M516" t="s">
        <v>78</v>
      </c>
      <c r="N516" t="s">
        <v>79</v>
      </c>
      <c r="O516" t="s">
        <v>74</v>
      </c>
      <c r="P516" t="s">
        <v>74</v>
      </c>
      <c r="Q516" t="s">
        <v>74</v>
      </c>
      <c r="R516" t="s">
        <v>74</v>
      </c>
      <c r="S516" t="s">
        <v>74</v>
      </c>
      <c r="T516" t="s">
        <v>9818</v>
      </c>
      <c r="U516" t="s">
        <v>9819</v>
      </c>
      <c r="V516" t="s">
        <v>9820</v>
      </c>
      <c r="W516" t="s">
        <v>9821</v>
      </c>
      <c r="X516" t="s">
        <v>9822</v>
      </c>
      <c r="Y516" t="s">
        <v>9823</v>
      </c>
      <c r="Z516" t="s">
        <v>9824</v>
      </c>
      <c r="AA516" t="s">
        <v>74</v>
      </c>
      <c r="AB516" t="s">
        <v>74</v>
      </c>
      <c r="AC516" t="s">
        <v>5019</v>
      </c>
      <c r="AD516" t="s">
        <v>5019</v>
      </c>
      <c r="AE516" t="s">
        <v>9825</v>
      </c>
      <c r="AF516" t="s">
        <v>74</v>
      </c>
      <c r="AG516">
        <v>62</v>
      </c>
      <c r="AH516">
        <v>2</v>
      </c>
      <c r="AI516">
        <v>2</v>
      </c>
      <c r="AJ516">
        <v>1</v>
      </c>
      <c r="AK516">
        <v>4</v>
      </c>
      <c r="AL516" t="s">
        <v>9826</v>
      </c>
      <c r="AM516" t="s">
        <v>4432</v>
      </c>
      <c r="AN516" t="s">
        <v>9827</v>
      </c>
      <c r="AO516" t="s">
        <v>9828</v>
      </c>
      <c r="AP516" t="s">
        <v>9829</v>
      </c>
      <c r="AQ516" t="s">
        <v>74</v>
      </c>
      <c r="AR516" t="s">
        <v>9830</v>
      </c>
      <c r="AS516" t="s">
        <v>9831</v>
      </c>
      <c r="AT516" t="s">
        <v>74</v>
      </c>
      <c r="AU516">
        <v>2014</v>
      </c>
      <c r="AV516">
        <v>144</v>
      </c>
      <c r="AW516">
        <v>3</v>
      </c>
      <c r="AX516" t="s">
        <v>74</v>
      </c>
      <c r="AY516" t="s">
        <v>74</v>
      </c>
      <c r="AZ516" t="s">
        <v>74</v>
      </c>
      <c r="BA516" t="s">
        <v>74</v>
      </c>
      <c r="BB516">
        <v>212</v>
      </c>
      <c r="BC516">
        <v>219</v>
      </c>
      <c r="BD516" t="s">
        <v>74</v>
      </c>
      <c r="BE516" t="s">
        <v>9832</v>
      </c>
      <c r="BF516" t="str">
        <f>HYPERLINK("http://dx.doi.org/10.1159/000370054","http://dx.doi.org/10.1159/000370054")</f>
        <v>http://dx.doi.org/10.1159/000370054</v>
      </c>
      <c r="BG516" t="s">
        <v>74</v>
      </c>
      <c r="BH516" t="s">
        <v>74</v>
      </c>
      <c r="BI516">
        <v>8</v>
      </c>
      <c r="BJ516" t="s">
        <v>9833</v>
      </c>
      <c r="BK516" t="s">
        <v>101</v>
      </c>
      <c r="BL516" t="s">
        <v>9833</v>
      </c>
      <c r="BM516" t="s">
        <v>9834</v>
      </c>
      <c r="BN516">
        <v>25592394</v>
      </c>
      <c r="BO516" t="s">
        <v>74</v>
      </c>
      <c r="BP516" t="s">
        <v>74</v>
      </c>
      <c r="BQ516" t="s">
        <v>74</v>
      </c>
      <c r="BR516" t="s">
        <v>104</v>
      </c>
      <c r="BS516" t="s">
        <v>9835</v>
      </c>
      <c r="BT516" t="str">
        <f>HYPERLINK("https%3A%2F%2Fwww.webofscience.com%2Fwos%2Fwoscc%2Ffull-record%2FWOS:000350489100009","View Full Record in Web of Science")</f>
        <v>View Full Record in Web of Science</v>
      </c>
    </row>
    <row r="517" spans="1:72" x14ac:dyDescent="0.15">
      <c r="A517" t="s">
        <v>8803</v>
      </c>
      <c r="B517" t="s">
        <v>9836</v>
      </c>
      <c r="C517" t="s">
        <v>74</v>
      </c>
      <c r="D517" t="s">
        <v>9837</v>
      </c>
      <c r="E517" t="s">
        <v>74</v>
      </c>
      <c r="F517" t="s">
        <v>9838</v>
      </c>
      <c r="G517" t="s">
        <v>74</v>
      </c>
      <c r="H517" t="s">
        <v>74</v>
      </c>
      <c r="I517" t="s">
        <v>9839</v>
      </c>
      <c r="J517" t="s">
        <v>9840</v>
      </c>
      <c r="K517" t="s">
        <v>9841</v>
      </c>
      <c r="L517" t="s">
        <v>74</v>
      </c>
      <c r="M517" t="s">
        <v>78</v>
      </c>
      <c r="N517" t="s">
        <v>8809</v>
      </c>
      <c r="O517" t="s">
        <v>74</v>
      </c>
      <c r="P517" t="s">
        <v>74</v>
      </c>
      <c r="Q517" t="s">
        <v>74</v>
      </c>
      <c r="R517" t="s">
        <v>74</v>
      </c>
      <c r="S517" t="s">
        <v>74</v>
      </c>
      <c r="T517" t="s">
        <v>74</v>
      </c>
      <c r="U517" t="s">
        <v>9842</v>
      </c>
      <c r="V517" t="s">
        <v>74</v>
      </c>
      <c r="W517" t="s">
        <v>9843</v>
      </c>
      <c r="X517" t="s">
        <v>9844</v>
      </c>
      <c r="Y517" t="s">
        <v>74</v>
      </c>
      <c r="Z517" t="s">
        <v>74</v>
      </c>
      <c r="AA517" t="s">
        <v>9845</v>
      </c>
      <c r="AB517" t="s">
        <v>9846</v>
      </c>
      <c r="AC517" t="s">
        <v>74</v>
      </c>
      <c r="AD517" t="s">
        <v>74</v>
      </c>
      <c r="AE517" t="s">
        <v>74</v>
      </c>
      <c r="AF517" t="s">
        <v>74</v>
      </c>
      <c r="AG517">
        <v>23</v>
      </c>
      <c r="AH517">
        <v>0</v>
      </c>
      <c r="AI517">
        <v>0</v>
      </c>
      <c r="AJ517">
        <v>0</v>
      </c>
      <c r="AK517">
        <v>0</v>
      </c>
      <c r="AL517" t="s">
        <v>9847</v>
      </c>
      <c r="AM517" t="s">
        <v>9848</v>
      </c>
      <c r="AN517" t="s">
        <v>9849</v>
      </c>
      <c r="AO517" t="s">
        <v>74</v>
      </c>
      <c r="AP517" t="s">
        <v>74</v>
      </c>
      <c r="AQ517" t="s">
        <v>9850</v>
      </c>
      <c r="AR517" t="s">
        <v>9851</v>
      </c>
      <c r="AS517" t="s">
        <v>74</v>
      </c>
      <c r="AT517" t="s">
        <v>74</v>
      </c>
      <c r="AU517">
        <v>2014</v>
      </c>
      <c r="AV517" t="s">
        <v>74</v>
      </c>
      <c r="AW517" t="s">
        <v>74</v>
      </c>
      <c r="AX517" t="s">
        <v>74</v>
      </c>
      <c r="AY517" t="s">
        <v>74</v>
      </c>
      <c r="AZ517" t="s">
        <v>74</v>
      </c>
      <c r="BA517" t="s">
        <v>74</v>
      </c>
      <c r="BB517">
        <v>73</v>
      </c>
      <c r="BC517">
        <v>90</v>
      </c>
      <c r="BD517" t="s">
        <v>74</v>
      </c>
      <c r="BE517" t="s">
        <v>74</v>
      </c>
      <c r="BF517" t="s">
        <v>74</v>
      </c>
      <c r="BG517" t="s">
        <v>74</v>
      </c>
      <c r="BH517" t="s">
        <v>74</v>
      </c>
      <c r="BI517">
        <v>18</v>
      </c>
      <c r="BJ517" t="s">
        <v>9852</v>
      </c>
      <c r="BK517" t="s">
        <v>8815</v>
      </c>
      <c r="BL517" t="s">
        <v>9853</v>
      </c>
      <c r="BM517" t="s">
        <v>9854</v>
      </c>
      <c r="BN517" t="s">
        <v>74</v>
      </c>
      <c r="BO517" t="s">
        <v>74</v>
      </c>
      <c r="BP517" t="s">
        <v>74</v>
      </c>
      <c r="BQ517" t="s">
        <v>74</v>
      </c>
      <c r="BR517" t="s">
        <v>104</v>
      </c>
      <c r="BS517" t="s">
        <v>9855</v>
      </c>
      <c r="BT517" t="str">
        <f>HYPERLINK("https%3A%2F%2Fwww.webofscience.com%2Fwos%2Fwoscc%2Ffull-record%2FWOS:000348924700006","View Full Record in Web of Science")</f>
        <v>View Full Record in Web of Science</v>
      </c>
    </row>
    <row r="518" spans="1:72" x14ac:dyDescent="0.15">
      <c r="A518" t="s">
        <v>9250</v>
      </c>
      <c r="B518" t="s">
        <v>9856</v>
      </c>
      <c r="C518" t="s">
        <v>74</v>
      </c>
      <c r="D518" t="s">
        <v>9857</v>
      </c>
      <c r="E518" t="s">
        <v>74</v>
      </c>
      <c r="F518" t="s">
        <v>9858</v>
      </c>
      <c r="G518" t="s">
        <v>74</v>
      </c>
      <c r="H518" t="s">
        <v>74</v>
      </c>
      <c r="I518" t="s">
        <v>9859</v>
      </c>
      <c r="J518" t="s">
        <v>9860</v>
      </c>
      <c r="K518" t="s">
        <v>9861</v>
      </c>
      <c r="L518" t="s">
        <v>74</v>
      </c>
      <c r="M518" t="s">
        <v>78</v>
      </c>
      <c r="N518" t="s">
        <v>9862</v>
      </c>
      <c r="O518" t="s">
        <v>74</v>
      </c>
      <c r="P518" t="s">
        <v>74</v>
      </c>
      <c r="Q518" t="s">
        <v>74</v>
      </c>
      <c r="R518" t="s">
        <v>74</v>
      </c>
      <c r="S518" t="s">
        <v>74</v>
      </c>
      <c r="T518" t="s">
        <v>9863</v>
      </c>
      <c r="U518" t="s">
        <v>9864</v>
      </c>
      <c r="V518" t="s">
        <v>9865</v>
      </c>
      <c r="W518" t="s">
        <v>9866</v>
      </c>
      <c r="X518" t="s">
        <v>9867</v>
      </c>
      <c r="Y518" t="s">
        <v>9868</v>
      </c>
      <c r="Z518" t="s">
        <v>9869</v>
      </c>
      <c r="AA518" t="s">
        <v>74</v>
      </c>
      <c r="AB518" t="s">
        <v>74</v>
      </c>
      <c r="AC518" t="s">
        <v>74</v>
      </c>
      <c r="AD518" t="s">
        <v>74</v>
      </c>
      <c r="AE518" t="s">
        <v>74</v>
      </c>
      <c r="AF518" t="s">
        <v>74</v>
      </c>
      <c r="AG518">
        <v>109</v>
      </c>
      <c r="AH518">
        <v>7</v>
      </c>
      <c r="AI518">
        <v>7</v>
      </c>
      <c r="AJ518">
        <v>3</v>
      </c>
      <c r="AK518">
        <v>62</v>
      </c>
      <c r="AL518" t="s">
        <v>9870</v>
      </c>
      <c r="AM518" t="s">
        <v>6025</v>
      </c>
      <c r="AN518" t="s">
        <v>9871</v>
      </c>
      <c r="AO518" t="s">
        <v>9872</v>
      </c>
      <c r="AP518" t="s">
        <v>74</v>
      </c>
      <c r="AQ518" t="s">
        <v>9873</v>
      </c>
      <c r="AR518" t="s">
        <v>9874</v>
      </c>
      <c r="AS518" t="s">
        <v>9875</v>
      </c>
      <c r="AT518" t="s">
        <v>74</v>
      </c>
      <c r="AU518">
        <v>2014</v>
      </c>
      <c r="AV518">
        <v>69</v>
      </c>
      <c r="AW518" t="s">
        <v>74</v>
      </c>
      <c r="AX518" t="s">
        <v>74</v>
      </c>
      <c r="AY518" t="s">
        <v>74</v>
      </c>
      <c r="AZ518" t="s">
        <v>74</v>
      </c>
      <c r="BA518" t="s">
        <v>74</v>
      </c>
      <c r="BB518">
        <v>253</v>
      </c>
      <c r="BC518">
        <v>288</v>
      </c>
      <c r="BD518" t="s">
        <v>74</v>
      </c>
      <c r="BE518" t="s">
        <v>9876</v>
      </c>
      <c r="BF518" t="str">
        <f>HYPERLINK("http://dx.doi.org/10.1016/B978-0-12-800214-8.00007-4","http://dx.doi.org/10.1016/B978-0-12-800214-8.00007-4")</f>
        <v>http://dx.doi.org/10.1016/B978-0-12-800214-8.00007-4</v>
      </c>
      <c r="BG518" t="s">
        <v>74</v>
      </c>
      <c r="BH518" t="s">
        <v>74</v>
      </c>
      <c r="BI518">
        <v>36</v>
      </c>
      <c r="BJ518" t="s">
        <v>2114</v>
      </c>
      <c r="BK518" t="s">
        <v>9877</v>
      </c>
      <c r="BL518" t="s">
        <v>2115</v>
      </c>
      <c r="BM518" t="s">
        <v>9878</v>
      </c>
      <c r="BN518">
        <v>25358302</v>
      </c>
      <c r="BO518" t="s">
        <v>74</v>
      </c>
      <c r="BP518" t="s">
        <v>74</v>
      </c>
      <c r="BQ518" t="s">
        <v>74</v>
      </c>
      <c r="BR518" t="s">
        <v>104</v>
      </c>
      <c r="BS518" t="s">
        <v>9879</v>
      </c>
      <c r="BT518" t="str">
        <f>HYPERLINK("https%3A%2F%2Fwww.webofscience.com%2Fwos%2Fwoscc%2Ffull-record%2FWOS:000349890300008","View Full Record in Web of Science")</f>
        <v>View Full Record in Web of Science</v>
      </c>
    </row>
    <row r="519" spans="1:72" x14ac:dyDescent="0.15">
      <c r="A519" t="s">
        <v>72</v>
      </c>
      <c r="B519" t="s">
        <v>9880</v>
      </c>
      <c r="C519" t="s">
        <v>74</v>
      </c>
      <c r="D519" t="s">
        <v>74</v>
      </c>
      <c r="E519" t="s">
        <v>74</v>
      </c>
      <c r="F519" t="s">
        <v>9881</v>
      </c>
      <c r="G519" t="s">
        <v>74</v>
      </c>
      <c r="H519" t="s">
        <v>74</v>
      </c>
      <c r="I519" t="s">
        <v>9882</v>
      </c>
      <c r="J519" t="s">
        <v>9883</v>
      </c>
      <c r="K519" t="s">
        <v>74</v>
      </c>
      <c r="L519" t="s">
        <v>74</v>
      </c>
      <c r="M519" t="s">
        <v>78</v>
      </c>
      <c r="N519" t="s">
        <v>79</v>
      </c>
      <c r="O519" t="s">
        <v>74</v>
      </c>
      <c r="P519" t="s">
        <v>74</v>
      </c>
      <c r="Q519" t="s">
        <v>74</v>
      </c>
      <c r="R519" t="s">
        <v>74</v>
      </c>
      <c r="S519" t="s">
        <v>74</v>
      </c>
      <c r="T519" t="s">
        <v>9884</v>
      </c>
      <c r="U519" t="s">
        <v>9885</v>
      </c>
      <c r="V519" t="s">
        <v>9886</v>
      </c>
      <c r="W519" t="s">
        <v>9887</v>
      </c>
      <c r="X519" t="s">
        <v>9888</v>
      </c>
      <c r="Y519" t="s">
        <v>9889</v>
      </c>
      <c r="Z519" t="s">
        <v>9890</v>
      </c>
      <c r="AA519" t="s">
        <v>9891</v>
      </c>
      <c r="AB519" t="s">
        <v>9892</v>
      </c>
      <c r="AC519" t="s">
        <v>9893</v>
      </c>
      <c r="AD519" t="s">
        <v>9893</v>
      </c>
      <c r="AE519" t="s">
        <v>9894</v>
      </c>
      <c r="AF519" t="s">
        <v>74</v>
      </c>
      <c r="AG519">
        <v>95</v>
      </c>
      <c r="AH519">
        <v>56</v>
      </c>
      <c r="AI519">
        <v>61</v>
      </c>
      <c r="AJ519">
        <v>2</v>
      </c>
      <c r="AK519">
        <v>125</v>
      </c>
      <c r="AL519" t="s">
        <v>9895</v>
      </c>
      <c r="AM519" t="s">
        <v>9896</v>
      </c>
      <c r="AN519" t="s">
        <v>9897</v>
      </c>
      <c r="AO519" t="s">
        <v>9898</v>
      </c>
      <c r="AP519" t="s">
        <v>9899</v>
      </c>
      <c r="AQ519" t="s">
        <v>74</v>
      </c>
      <c r="AR519" t="s">
        <v>9900</v>
      </c>
      <c r="AS519" t="s">
        <v>9901</v>
      </c>
      <c r="AT519" t="s">
        <v>74</v>
      </c>
      <c r="AU519">
        <v>2014</v>
      </c>
      <c r="AV519">
        <v>41</v>
      </c>
      <c r="AW519">
        <v>5</v>
      </c>
      <c r="AX519" t="s">
        <v>74</v>
      </c>
      <c r="AY519" t="s">
        <v>74</v>
      </c>
      <c r="AZ519" t="s">
        <v>74</v>
      </c>
      <c r="BA519" t="s">
        <v>74</v>
      </c>
      <c r="BB519">
        <v>435</v>
      </c>
      <c r="BC519">
        <v>446</v>
      </c>
      <c r="BD519" t="s">
        <v>74</v>
      </c>
      <c r="BE519" t="s">
        <v>9902</v>
      </c>
      <c r="BF519" t="str">
        <f>HYPERLINK("http://dx.doi.org/10.1071/WR14159","http://dx.doi.org/10.1071/WR14159")</f>
        <v>http://dx.doi.org/10.1071/WR14159</v>
      </c>
      <c r="BG519" t="s">
        <v>74</v>
      </c>
      <c r="BH519" t="s">
        <v>74</v>
      </c>
      <c r="BI519">
        <v>12</v>
      </c>
      <c r="BJ519" t="s">
        <v>4195</v>
      </c>
      <c r="BK519" t="s">
        <v>101</v>
      </c>
      <c r="BL519" t="s">
        <v>4196</v>
      </c>
      <c r="BM519" t="s">
        <v>9903</v>
      </c>
      <c r="BN519" t="s">
        <v>74</v>
      </c>
      <c r="BO519" t="s">
        <v>270</v>
      </c>
      <c r="BP519" t="s">
        <v>74</v>
      </c>
      <c r="BQ519" t="s">
        <v>74</v>
      </c>
      <c r="BR519" t="s">
        <v>104</v>
      </c>
      <c r="BS519" t="s">
        <v>9904</v>
      </c>
      <c r="BT519" t="str">
        <f>HYPERLINK("https%3A%2F%2Fwww.webofscience.com%2Fwos%2Fwoscc%2Ffull-record%2FWOS:000350154800006","View Full Record in Web of Science")</f>
        <v>View Full Record in Web of Science</v>
      </c>
    </row>
    <row r="520" spans="1:72" x14ac:dyDescent="0.15">
      <c r="A520" t="s">
        <v>72</v>
      </c>
      <c r="B520" t="s">
        <v>9905</v>
      </c>
      <c r="C520" t="s">
        <v>74</v>
      </c>
      <c r="D520" t="s">
        <v>74</v>
      </c>
      <c r="E520" t="s">
        <v>74</v>
      </c>
      <c r="F520" t="s">
        <v>9906</v>
      </c>
      <c r="G520" t="s">
        <v>74</v>
      </c>
      <c r="H520" t="s">
        <v>74</v>
      </c>
      <c r="I520" t="s">
        <v>9907</v>
      </c>
      <c r="J520" t="s">
        <v>9908</v>
      </c>
      <c r="K520" t="s">
        <v>74</v>
      </c>
      <c r="L520" t="s">
        <v>74</v>
      </c>
      <c r="M520" t="s">
        <v>78</v>
      </c>
      <c r="N520" t="s">
        <v>52</v>
      </c>
      <c r="O520" t="s">
        <v>74</v>
      </c>
      <c r="P520" t="s">
        <v>74</v>
      </c>
      <c r="Q520" t="s">
        <v>74</v>
      </c>
      <c r="R520" t="s">
        <v>74</v>
      </c>
      <c r="S520" t="s">
        <v>74</v>
      </c>
      <c r="T520" t="s">
        <v>74</v>
      </c>
      <c r="U520" t="s">
        <v>74</v>
      </c>
      <c r="V520" t="s">
        <v>74</v>
      </c>
      <c r="W520" t="s">
        <v>9909</v>
      </c>
      <c r="X520" t="s">
        <v>9910</v>
      </c>
      <c r="Y520" t="s">
        <v>74</v>
      </c>
      <c r="Z520" t="s">
        <v>9911</v>
      </c>
      <c r="AA520" t="s">
        <v>74</v>
      </c>
      <c r="AB520" t="s">
        <v>74</v>
      </c>
      <c r="AC520" t="s">
        <v>74</v>
      </c>
      <c r="AD520" t="s">
        <v>74</v>
      </c>
      <c r="AE520" t="s">
        <v>74</v>
      </c>
      <c r="AF520" t="s">
        <v>74</v>
      </c>
      <c r="AG520">
        <v>0</v>
      </c>
      <c r="AH520">
        <v>0</v>
      </c>
      <c r="AI520">
        <v>0</v>
      </c>
      <c r="AJ520">
        <v>0</v>
      </c>
      <c r="AK520">
        <v>1</v>
      </c>
      <c r="AL520" t="s">
        <v>9912</v>
      </c>
      <c r="AM520" t="s">
        <v>9913</v>
      </c>
      <c r="AN520" t="s">
        <v>9914</v>
      </c>
      <c r="AO520" t="s">
        <v>9915</v>
      </c>
      <c r="AP520" t="s">
        <v>9916</v>
      </c>
      <c r="AQ520" t="s">
        <v>74</v>
      </c>
      <c r="AR520" t="s">
        <v>9908</v>
      </c>
      <c r="AS520" t="s">
        <v>9917</v>
      </c>
      <c r="AT520" t="s">
        <v>74</v>
      </c>
      <c r="AU520">
        <v>2014</v>
      </c>
      <c r="AV520">
        <v>38</v>
      </c>
      <c r="AW520" t="s">
        <v>74</v>
      </c>
      <c r="AX520" t="s">
        <v>74</v>
      </c>
      <c r="AY520">
        <v>2</v>
      </c>
      <c r="AZ520" t="s">
        <v>74</v>
      </c>
      <c r="BA520" t="s">
        <v>9918</v>
      </c>
      <c r="BB520">
        <v>88</v>
      </c>
      <c r="BC520">
        <v>89</v>
      </c>
      <c r="BD520" t="s">
        <v>74</v>
      </c>
      <c r="BE520" t="s">
        <v>74</v>
      </c>
      <c r="BF520" t="s">
        <v>74</v>
      </c>
      <c r="BG520" t="s">
        <v>74</v>
      </c>
      <c r="BH520" t="s">
        <v>74</v>
      </c>
      <c r="BI520">
        <v>2</v>
      </c>
      <c r="BJ520" t="s">
        <v>2474</v>
      </c>
      <c r="BK520" t="s">
        <v>101</v>
      </c>
      <c r="BL520" t="s">
        <v>2475</v>
      </c>
      <c r="BM520" t="s">
        <v>9919</v>
      </c>
      <c r="BN520" t="s">
        <v>74</v>
      </c>
      <c r="BO520" t="s">
        <v>74</v>
      </c>
      <c r="BP520" t="s">
        <v>74</v>
      </c>
      <c r="BQ520" t="s">
        <v>74</v>
      </c>
      <c r="BR520" t="s">
        <v>104</v>
      </c>
      <c r="BS520" t="s">
        <v>9920</v>
      </c>
      <c r="BT520" t="str">
        <f>HYPERLINK("https%3A%2F%2Fwww.webofscience.com%2Fwos%2Fwoscc%2Ffull-record%2FWOS:000349780600114","View Full Record in Web of Science")</f>
        <v>View Full Record in Web of Science</v>
      </c>
    </row>
    <row r="521" spans="1:72" x14ac:dyDescent="0.15">
      <c r="A521" t="s">
        <v>8774</v>
      </c>
      <c r="B521" t="s">
        <v>9921</v>
      </c>
      <c r="C521" t="s">
        <v>74</v>
      </c>
      <c r="D521" t="s">
        <v>9922</v>
      </c>
      <c r="E521" t="s">
        <v>74</v>
      </c>
      <c r="F521" t="s">
        <v>9923</v>
      </c>
      <c r="G521" t="s">
        <v>74</v>
      </c>
      <c r="H521" t="s">
        <v>74</v>
      </c>
      <c r="I521" t="s">
        <v>9924</v>
      </c>
      <c r="J521" t="s">
        <v>9925</v>
      </c>
      <c r="K521" t="s">
        <v>9049</v>
      </c>
      <c r="L521" t="s">
        <v>74</v>
      </c>
      <c r="M521" t="s">
        <v>78</v>
      </c>
      <c r="N521" t="s">
        <v>8781</v>
      </c>
      <c r="O521" t="s">
        <v>9926</v>
      </c>
      <c r="P521" t="s">
        <v>9927</v>
      </c>
      <c r="Q521" t="s">
        <v>9928</v>
      </c>
      <c r="R521" t="s">
        <v>74</v>
      </c>
      <c r="S521" t="s">
        <v>74</v>
      </c>
      <c r="T521" t="s">
        <v>9929</v>
      </c>
      <c r="U521" t="s">
        <v>9930</v>
      </c>
      <c r="V521" t="s">
        <v>9931</v>
      </c>
      <c r="W521" t="s">
        <v>9932</v>
      </c>
      <c r="X521" t="s">
        <v>9933</v>
      </c>
      <c r="Y521" t="s">
        <v>9934</v>
      </c>
      <c r="Z521" t="s">
        <v>74</v>
      </c>
      <c r="AA521" t="s">
        <v>9935</v>
      </c>
      <c r="AB521" t="s">
        <v>9936</v>
      </c>
      <c r="AC521" t="s">
        <v>74</v>
      </c>
      <c r="AD521" t="s">
        <v>74</v>
      </c>
      <c r="AE521" t="s">
        <v>74</v>
      </c>
      <c r="AF521" t="s">
        <v>74</v>
      </c>
      <c r="AG521">
        <v>24</v>
      </c>
      <c r="AH521">
        <v>17</v>
      </c>
      <c r="AI521">
        <v>18</v>
      </c>
      <c r="AJ521">
        <v>3</v>
      </c>
      <c r="AK521">
        <v>57</v>
      </c>
      <c r="AL521" t="s">
        <v>9059</v>
      </c>
      <c r="AM521" t="s">
        <v>8092</v>
      </c>
      <c r="AN521" t="s">
        <v>9060</v>
      </c>
      <c r="AO521" t="s">
        <v>9061</v>
      </c>
      <c r="AP521" t="s">
        <v>9385</v>
      </c>
      <c r="AQ521" t="s">
        <v>9937</v>
      </c>
      <c r="AR521" t="s">
        <v>9063</v>
      </c>
      <c r="AS521" t="s">
        <v>74</v>
      </c>
      <c r="AT521" t="s">
        <v>74</v>
      </c>
      <c r="AU521">
        <v>2014</v>
      </c>
      <c r="AV521">
        <v>9264</v>
      </c>
      <c r="AW521" t="s">
        <v>74</v>
      </c>
      <c r="AX521" t="s">
        <v>74</v>
      </c>
      <c r="AY521" t="s">
        <v>74</v>
      </c>
      <c r="AZ521" t="s">
        <v>74</v>
      </c>
      <c r="BA521" t="s">
        <v>74</v>
      </c>
      <c r="BB521" t="s">
        <v>74</v>
      </c>
      <c r="BC521" t="s">
        <v>74</v>
      </c>
      <c r="BD521" t="s">
        <v>9938</v>
      </c>
      <c r="BE521" t="s">
        <v>9939</v>
      </c>
      <c r="BF521" t="str">
        <f>HYPERLINK("http://dx.doi.org/10.1117/12.2068999","http://dx.doi.org/10.1117/12.2068999")</f>
        <v>http://dx.doi.org/10.1117/12.2068999</v>
      </c>
      <c r="BG521" t="s">
        <v>74</v>
      </c>
      <c r="BH521" t="s">
        <v>74</v>
      </c>
      <c r="BI521">
        <v>8</v>
      </c>
      <c r="BJ521" t="s">
        <v>9940</v>
      </c>
      <c r="BK521" t="s">
        <v>8799</v>
      </c>
      <c r="BL521" t="s">
        <v>9940</v>
      </c>
      <c r="BM521" t="s">
        <v>9941</v>
      </c>
      <c r="BN521" t="s">
        <v>74</v>
      </c>
      <c r="BO521" t="s">
        <v>74</v>
      </c>
      <c r="BP521" t="s">
        <v>74</v>
      </c>
      <c r="BQ521" t="s">
        <v>74</v>
      </c>
      <c r="BR521" t="s">
        <v>104</v>
      </c>
      <c r="BS521" t="s">
        <v>9942</v>
      </c>
      <c r="BT521" t="str">
        <f>HYPERLINK("https%3A%2F%2Fwww.webofscience.com%2Fwos%2Fwoscc%2Ffull-record%2FWOS:000349361500006","View Full Record in Web of Science")</f>
        <v>View Full Record in Web of Science</v>
      </c>
    </row>
    <row r="522" spans="1:72" x14ac:dyDescent="0.15">
      <c r="A522" t="s">
        <v>8774</v>
      </c>
      <c r="B522" t="s">
        <v>9943</v>
      </c>
      <c r="C522" t="s">
        <v>74</v>
      </c>
      <c r="D522" t="s">
        <v>9922</v>
      </c>
      <c r="E522" t="s">
        <v>74</v>
      </c>
      <c r="F522" t="s">
        <v>9944</v>
      </c>
      <c r="G522" t="s">
        <v>74</v>
      </c>
      <c r="H522" t="s">
        <v>74</v>
      </c>
      <c r="I522" t="s">
        <v>9945</v>
      </c>
      <c r="J522" t="s">
        <v>9925</v>
      </c>
      <c r="K522" t="s">
        <v>9049</v>
      </c>
      <c r="L522" t="s">
        <v>74</v>
      </c>
      <c r="M522" t="s">
        <v>78</v>
      </c>
      <c r="N522" t="s">
        <v>8781</v>
      </c>
      <c r="O522" t="s">
        <v>9926</v>
      </c>
      <c r="P522" t="s">
        <v>9927</v>
      </c>
      <c r="Q522" t="s">
        <v>9928</v>
      </c>
      <c r="R522" t="s">
        <v>74</v>
      </c>
      <c r="S522" t="s">
        <v>74</v>
      </c>
      <c r="T522" t="s">
        <v>9946</v>
      </c>
      <c r="U522" t="s">
        <v>74</v>
      </c>
      <c r="V522" t="s">
        <v>9947</v>
      </c>
      <c r="W522" t="s">
        <v>9948</v>
      </c>
      <c r="X522" t="s">
        <v>9949</v>
      </c>
      <c r="Y522" t="s">
        <v>9950</v>
      </c>
      <c r="Z522" t="s">
        <v>74</v>
      </c>
      <c r="AA522" t="s">
        <v>9951</v>
      </c>
      <c r="AB522" t="s">
        <v>9952</v>
      </c>
      <c r="AC522" t="s">
        <v>74</v>
      </c>
      <c r="AD522" t="s">
        <v>74</v>
      </c>
      <c r="AE522" t="s">
        <v>74</v>
      </c>
      <c r="AF522" t="s">
        <v>74</v>
      </c>
      <c r="AG522">
        <v>10</v>
      </c>
      <c r="AH522">
        <v>4</v>
      </c>
      <c r="AI522">
        <v>4</v>
      </c>
      <c r="AJ522">
        <v>0</v>
      </c>
      <c r="AK522">
        <v>3</v>
      </c>
      <c r="AL522" t="s">
        <v>9059</v>
      </c>
      <c r="AM522" t="s">
        <v>8092</v>
      </c>
      <c r="AN522" t="s">
        <v>9060</v>
      </c>
      <c r="AO522" t="s">
        <v>9061</v>
      </c>
      <c r="AP522" t="s">
        <v>9385</v>
      </c>
      <c r="AQ522" t="s">
        <v>9937</v>
      </c>
      <c r="AR522" t="s">
        <v>9063</v>
      </c>
      <c r="AS522" t="s">
        <v>74</v>
      </c>
      <c r="AT522" t="s">
        <v>74</v>
      </c>
      <c r="AU522">
        <v>2014</v>
      </c>
      <c r="AV522">
        <v>9264</v>
      </c>
      <c r="AW522" t="s">
        <v>74</v>
      </c>
      <c r="AX522" t="s">
        <v>74</v>
      </c>
      <c r="AY522" t="s">
        <v>74</v>
      </c>
      <c r="AZ522" t="s">
        <v>74</v>
      </c>
      <c r="BA522" t="s">
        <v>74</v>
      </c>
      <c r="BB522" t="s">
        <v>74</v>
      </c>
      <c r="BC522" t="s">
        <v>74</v>
      </c>
      <c r="BD522" t="s">
        <v>9953</v>
      </c>
      <c r="BE522" t="s">
        <v>9954</v>
      </c>
      <c r="BF522" t="str">
        <f>HYPERLINK("http://dx.doi.org/10.1117/12.2069246","http://dx.doi.org/10.1117/12.2069246")</f>
        <v>http://dx.doi.org/10.1117/12.2069246</v>
      </c>
      <c r="BG522" t="s">
        <v>74</v>
      </c>
      <c r="BH522" t="s">
        <v>74</v>
      </c>
      <c r="BI522">
        <v>11</v>
      </c>
      <c r="BJ522" t="s">
        <v>9940</v>
      </c>
      <c r="BK522" t="s">
        <v>8799</v>
      </c>
      <c r="BL522" t="s">
        <v>9940</v>
      </c>
      <c r="BM522" t="s">
        <v>9941</v>
      </c>
      <c r="BN522" t="s">
        <v>74</v>
      </c>
      <c r="BO522" t="s">
        <v>74</v>
      </c>
      <c r="BP522" t="s">
        <v>74</v>
      </c>
      <c r="BQ522" t="s">
        <v>74</v>
      </c>
      <c r="BR522" t="s">
        <v>104</v>
      </c>
      <c r="BS522" t="s">
        <v>9955</v>
      </c>
      <c r="BT522" t="str">
        <f>HYPERLINK("https%3A%2F%2Fwww.webofscience.com%2Fwos%2Fwoscc%2Ffull-record%2FWOS:000349361500018","View Full Record in Web of Science")</f>
        <v>View Full Record in Web of Science</v>
      </c>
    </row>
    <row r="523" spans="1:72" x14ac:dyDescent="0.15">
      <c r="A523" t="s">
        <v>8774</v>
      </c>
      <c r="B523" t="s">
        <v>9956</v>
      </c>
      <c r="C523" t="s">
        <v>74</v>
      </c>
      <c r="D523" t="s">
        <v>9957</v>
      </c>
      <c r="E523" t="s">
        <v>74</v>
      </c>
      <c r="F523" t="s">
        <v>9958</v>
      </c>
      <c r="G523" t="s">
        <v>74</v>
      </c>
      <c r="H523" t="s">
        <v>74</v>
      </c>
      <c r="I523" t="s">
        <v>9959</v>
      </c>
      <c r="J523" t="s">
        <v>9960</v>
      </c>
      <c r="K523" t="s">
        <v>9961</v>
      </c>
      <c r="L523" t="s">
        <v>74</v>
      </c>
      <c r="M523" t="s">
        <v>78</v>
      </c>
      <c r="N523" t="s">
        <v>8781</v>
      </c>
      <c r="O523" t="s">
        <v>9962</v>
      </c>
      <c r="P523" t="s">
        <v>9963</v>
      </c>
      <c r="Q523" t="s">
        <v>9964</v>
      </c>
      <c r="R523" t="s">
        <v>74</v>
      </c>
      <c r="S523" t="s">
        <v>9965</v>
      </c>
      <c r="T523" t="s">
        <v>9966</v>
      </c>
      <c r="U523" t="s">
        <v>9967</v>
      </c>
      <c r="V523" t="s">
        <v>9968</v>
      </c>
      <c r="W523" t="s">
        <v>9969</v>
      </c>
      <c r="X523" t="s">
        <v>74</v>
      </c>
      <c r="Y523" t="s">
        <v>9970</v>
      </c>
      <c r="Z523" t="s">
        <v>9971</v>
      </c>
      <c r="AA523" t="s">
        <v>74</v>
      </c>
      <c r="AB523" t="s">
        <v>74</v>
      </c>
      <c r="AC523" t="s">
        <v>74</v>
      </c>
      <c r="AD523" t="s">
        <v>74</v>
      </c>
      <c r="AE523" t="s">
        <v>74</v>
      </c>
      <c r="AF523" t="s">
        <v>74</v>
      </c>
      <c r="AG523">
        <v>27</v>
      </c>
      <c r="AH523">
        <v>0</v>
      </c>
      <c r="AI523">
        <v>0</v>
      </c>
      <c r="AJ523">
        <v>0</v>
      </c>
      <c r="AK523">
        <v>2</v>
      </c>
      <c r="AL523" t="s">
        <v>9972</v>
      </c>
      <c r="AM523" t="s">
        <v>9973</v>
      </c>
      <c r="AN523" t="s">
        <v>9974</v>
      </c>
      <c r="AO523" t="s">
        <v>9975</v>
      </c>
      <c r="AP523" t="s">
        <v>9976</v>
      </c>
      <c r="AQ523" t="s">
        <v>74</v>
      </c>
      <c r="AR523" t="s">
        <v>9977</v>
      </c>
      <c r="AS523" t="s">
        <v>9978</v>
      </c>
      <c r="AT523" t="s">
        <v>74</v>
      </c>
      <c r="AU523">
        <v>2014</v>
      </c>
      <c r="AV523">
        <v>93</v>
      </c>
      <c r="AW523" t="s">
        <v>74</v>
      </c>
      <c r="AX523" t="s">
        <v>74</v>
      </c>
      <c r="AY523" t="s">
        <v>74</v>
      </c>
      <c r="AZ523" t="s">
        <v>74</v>
      </c>
      <c r="BA523" t="s">
        <v>74</v>
      </c>
      <c r="BB523">
        <v>71</v>
      </c>
      <c r="BC523">
        <v>77</v>
      </c>
      <c r="BD523" t="s">
        <v>74</v>
      </c>
      <c r="BE523" t="s">
        <v>74</v>
      </c>
      <c r="BF523" t="s">
        <v>74</v>
      </c>
      <c r="BG523" t="s">
        <v>74</v>
      </c>
      <c r="BH523" t="s">
        <v>74</v>
      </c>
      <c r="BI523">
        <v>7</v>
      </c>
      <c r="BJ523" t="s">
        <v>1100</v>
      </c>
      <c r="BK523" t="s">
        <v>8799</v>
      </c>
      <c r="BL523" t="s">
        <v>1101</v>
      </c>
      <c r="BM523" t="s">
        <v>9979</v>
      </c>
      <c r="BN523" t="s">
        <v>74</v>
      </c>
      <c r="BO523" t="s">
        <v>74</v>
      </c>
      <c r="BP523" t="s">
        <v>74</v>
      </c>
      <c r="BQ523" t="s">
        <v>74</v>
      </c>
      <c r="BR523" t="s">
        <v>104</v>
      </c>
      <c r="BS523" t="s">
        <v>9980</v>
      </c>
      <c r="BT523" t="str">
        <f>HYPERLINK("https%3A%2F%2Fwww.webofscience.com%2Fwos%2Fwoscc%2Ffull-record%2FWOS:000349496600006","View Full Record in Web of Science")</f>
        <v>View Full Record in Web of Science</v>
      </c>
    </row>
    <row r="524" spans="1:72" x14ac:dyDescent="0.15">
      <c r="A524" t="s">
        <v>8774</v>
      </c>
      <c r="B524" t="s">
        <v>9981</v>
      </c>
      <c r="C524" t="s">
        <v>74</v>
      </c>
      <c r="D524" t="s">
        <v>9982</v>
      </c>
      <c r="E524" t="s">
        <v>74</v>
      </c>
      <c r="F524" t="s">
        <v>9983</v>
      </c>
      <c r="G524" t="s">
        <v>74</v>
      </c>
      <c r="H524" t="s">
        <v>74</v>
      </c>
      <c r="I524" t="s">
        <v>9984</v>
      </c>
      <c r="J524" t="s">
        <v>9985</v>
      </c>
      <c r="K524" t="s">
        <v>9049</v>
      </c>
      <c r="L524" t="s">
        <v>74</v>
      </c>
      <c r="M524" t="s">
        <v>78</v>
      </c>
      <c r="N524" t="s">
        <v>8781</v>
      </c>
      <c r="O524" t="s">
        <v>9986</v>
      </c>
      <c r="P524" t="s">
        <v>9927</v>
      </c>
      <c r="Q524" t="s">
        <v>9928</v>
      </c>
      <c r="R524" t="s">
        <v>74</v>
      </c>
      <c r="S524" t="s">
        <v>74</v>
      </c>
      <c r="T524" t="s">
        <v>9987</v>
      </c>
      <c r="U524" t="s">
        <v>9988</v>
      </c>
      <c r="V524" t="s">
        <v>9989</v>
      </c>
      <c r="W524" t="s">
        <v>9990</v>
      </c>
      <c r="X524" t="s">
        <v>9991</v>
      </c>
      <c r="Y524" t="s">
        <v>9992</v>
      </c>
      <c r="Z524" t="s">
        <v>9993</v>
      </c>
      <c r="AA524" t="s">
        <v>74</v>
      </c>
      <c r="AB524" t="s">
        <v>74</v>
      </c>
      <c r="AC524" t="s">
        <v>74</v>
      </c>
      <c r="AD524" t="s">
        <v>74</v>
      </c>
      <c r="AE524" t="s">
        <v>74</v>
      </c>
      <c r="AF524" t="s">
        <v>74</v>
      </c>
      <c r="AG524">
        <v>12</v>
      </c>
      <c r="AH524">
        <v>3</v>
      </c>
      <c r="AI524">
        <v>3</v>
      </c>
      <c r="AJ524">
        <v>1</v>
      </c>
      <c r="AK524">
        <v>16</v>
      </c>
      <c r="AL524" t="s">
        <v>9059</v>
      </c>
      <c r="AM524" t="s">
        <v>8092</v>
      </c>
      <c r="AN524" t="s">
        <v>9060</v>
      </c>
      <c r="AO524" t="s">
        <v>9061</v>
      </c>
      <c r="AP524" t="s">
        <v>74</v>
      </c>
      <c r="AQ524" t="s">
        <v>9994</v>
      </c>
      <c r="AR524" t="s">
        <v>9063</v>
      </c>
      <c r="AS524" t="s">
        <v>74</v>
      </c>
      <c r="AT524" t="s">
        <v>74</v>
      </c>
      <c r="AU524">
        <v>2014</v>
      </c>
      <c r="AV524">
        <v>9259</v>
      </c>
      <c r="AW524" t="s">
        <v>74</v>
      </c>
      <c r="AX524" t="s">
        <v>74</v>
      </c>
      <c r="AY524" t="s">
        <v>74</v>
      </c>
      <c r="AZ524" t="s">
        <v>74</v>
      </c>
      <c r="BA524" t="s">
        <v>74</v>
      </c>
      <c r="BB524" t="s">
        <v>74</v>
      </c>
      <c r="BC524" t="s">
        <v>74</v>
      </c>
      <c r="BD524" t="s">
        <v>74</v>
      </c>
      <c r="BE524" t="s">
        <v>9995</v>
      </c>
      <c r="BF524" t="str">
        <f>HYPERLINK("http://dx.doi.org/10.1117/12.2070635","http://dx.doi.org/10.1117/12.2070635")</f>
        <v>http://dx.doi.org/10.1117/12.2070635</v>
      </c>
      <c r="BG524" t="s">
        <v>74</v>
      </c>
      <c r="BH524" t="s">
        <v>74</v>
      </c>
      <c r="BI524">
        <v>9</v>
      </c>
      <c r="BJ524" t="s">
        <v>9996</v>
      </c>
      <c r="BK524" t="s">
        <v>8799</v>
      </c>
      <c r="BL524" t="s">
        <v>9997</v>
      </c>
      <c r="BM524" t="s">
        <v>9998</v>
      </c>
      <c r="BN524" t="s">
        <v>74</v>
      </c>
      <c r="BO524" t="s">
        <v>74</v>
      </c>
      <c r="BP524" t="s">
        <v>74</v>
      </c>
      <c r="BQ524" t="s">
        <v>74</v>
      </c>
      <c r="BR524" t="s">
        <v>104</v>
      </c>
      <c r="BS524" t="s">
        <v>9999</v>
      </c>
      <c r="BT524" t="str">
        <f>HYPERLINK("https%3A%2F%2Fwww.webofscience.com%2Fwos%2Fwoscc%2Ffull-record%2FWOS:000348833900011","View Full Record in Web of Science")</f>
        <v>View Full Record in Web of Science</v>
      </c>
    </row>
    <row r="525" spans="1:72" x14ac:dyDescent="0.15">
      <c r="A525" t="s">
        <v>8774</v>
      </c>
      <c r="B525" t="s">
        <v>10000</v>
      </c>
      <c r="C525" t="s">
        <v>74</v>
      </c>
      <c r="D525" t="s">
        <v>10001</v>
      </c>
      <c r="E525" t="s">
        <v>74</v>
      </c>
      <c r="F525" t="s">
        <v>10002</v>
      </c>
      <c r="G525" t="s">
        <v>74</v>
      </c>
      <c r="H525" t="s">
        <v>74</v>
      </c>
      <c r="I525" t="s">
        <v>10003</v>
      </c>
      <c r="J525" t="s">
        <v>10004</v>
      </c>
      <c r="K525" t="s">
        <v>10005</v>
      </c>
      <c r="L525" t="s">
        <v>74</v>
      </c>
      <c r="M525" t="s">
        <v>78</v>
      </c>
      <c r="N525" t="s">
        <v>8781</v>
      </c>
      <c r="O525" t="s">
        <v>10006</v>
      </c>
      <c r="P525" t="s">
        <v>10007</v>
      </c>
      <c r="Q525" t="s">
        <v>10008</v>
      </c>
      <c r="R525" t="s">
        <v>74</v>
      </c>
      <c r="S525" t="s">
        <v>10009</v>
      </c>
      <c r="T525" t="s">
        <v>74</v>
      </c>
      <c r="U525" t="s">
        <v>10010</v>
      </c>
      <c r="V525" t="s">
        <v>74</v>
      </c>
      <c r="W525" t="s">
        <v>10011</v>
      </c>
      <c r="X525" t="s">
        <v>10012</v>
      </c>
      <c r="Y525" t="s">
        <v>74</v>
      </c>
      <c r="Z525" t="s">
        <v>74</v>
      </c>
      <c r="AA525" t="s">
        <v>74</v>
      </c>
      <c r="AB525" t="s">
        <v>74</v>
      </c>
      <c r="AC525" t="s">
        <v>74</v>
      </c>
      <c r="AD525" t="s">
        <v>74</v>
      </c>
      <c r="AE525" t="s">
        <v>74</v>
      </c>
      <c r="AF525" t="s">
        <v>74</v>
      </c>
      <c r="AG525">
        <v>54</v>
      </c>
      <c r="AH525">
        <v>1</v>
      </c>
      <c r="AI525">
        <v>1</v>
      </c>
      <c r="AJ525">
        <v>0</v>
      </c>
      <c r="AK525">
        <v>1</v>
      </c>
      <c r="AL525" t="s">
        <v>10013</v>
      </c>
      <c r="AM525" t="s">
        <v>10014</v>
      </c>
      <c r="AN525" t="s">
        <v>10015</v>
      </c>
      <c r="AO525" t="s">
        <v>10016</v>
      </c>
      <c r="AP525" t="s">
        <v>74</v>
      </c>
      <c r="AQ525" t="s">
        <v>10017</v>
      </c>
      <c r="AR525" t="s">
        <v>10018</v>
      </c>
      <c r="AS525" t="s">
        <v>74</v>
      </c>
      <c r="AT525" t="s">
        <v>74</v>
      </c>
      <c r="AU525">
        <v>2014</v>
      </c>
      <c r="AV525">
        <v>43</v>
      </c>
      <c r="AW525" t="s">
        <v>74</v>
      </c>
      <c r="AX525" t="s">
        <v>74</v>
      </c>
      <c r="AY525" t="s">
        <v>74</v>
      </c>
      <c r="AZ525" t="s">
        <v>74</v>
      </c>
      <c r="BA525" t="s">
        <v>74</v>
      </c>
      <c r="BB525">
        <v>105</v>
      </c>
      <c r="BC525">
        <v>125</v>
      </c>
      <c r="BD525" t="s">
        <v>74</v>
      </c>
      <c r="BE525" t="s">
        <v>74</v>
      </c>
      <c r="BF525" t="s">
        <v>74</v>
      </c>
      <c r="BG525" t="s">
        <v>74</v>
      </c>
      <c r="BH525" t="s">
        <v>74</v>
      </c>
      <c r="BI525">
        <v>21</v>
      </c>
      <c r="BJ525" t="s">
        <v>10019</v>
      </c>
      <c r="BK525" t="s">
        <v>10020</v>
      </c>
      <c r="BL525" t="s">
        <v>10021</v>
      </c>
      <c r="BM525" t="s">
        <v>10022</v>
      </c>
      <c r="BN525" t="s">
        <v>74</v>
      </c>
      <c r="BO525" t="s">
        <v>74</v>
      </c>
      <c r="BP525" t="s">
        <v>74</v>
      </c>
      <c r="BQ525" t="s">
        <v>74</v>
      </c>
      <c r="BR525" t="s">
        <v>104</v>
      </c>
      <c r="BS525" t="s">
        <v>10023</v>
      </c>
      <c r="BT525" t="str">
        <f>HYPERLINK("https%3A%2F%2Fwww.webofscience.com%2Fwos%2Fwoscc%2Ffull-record%2FWOS:000348710900006","View Full Record in Web of Science")</f>
        <v>View Full Record in Web of Science</v>
      </c>
    </row>
    <row r="526" spans="1:72" x14ac:dyDescent="0.15">
      <c r="A526" t="s">
        <v>72</v>
      </c>
      <c r="B526" t="s">
        <v>10024</v>
      </c>
      <c r="C526" t="s">
        <v>74</v>
      </c>
      <c r="D526" t="s">
        <v>74</v>
      </c>
      <c r="E526" t="s">
        <v>74</v>
      </c>
      <c r="F526" t="s">
        <v>10025</v>
      </c>
      <c r="G526" t="s">
        <v>74</v>
      </c>
      <c r="H526" t="s">
        <v>74</v>
      </c>
      <c r="I526" t="s">
        <v>10026</v>
      </c>
      <c r="J526" t="s">
        <v>10027</v>
      </c>
      <c r="K526" t="s">
        <v>74</v>
      </c>
      <c r="L526" t="s">
        <v>74</v>
      </c>
      <c r="M526" t="s">
        <v>78</v>
      </c>
      <c r="N526" t="s">
        <v>79</v>
      </c>
      <c r="O526" t="s">
        <v>74</v>
      </c>
      <c r="P526" t="s">
        <v>74</v>
      </c>
      <c r="Q526" t="s">
        <v>74</v>
      </c>
      <c r="R526" t="s">
        <v>74</v>
      </c>
      <c r="S526" t="s">
        <v>74</v>
      </c>
      <c r="T526" t="s">
        <v>10028</v>
      </c>
      <c r="U526" t="s">
        <v>10029</v>
      </c>
      <c r="V526" t="s">
        <v>10030</v>
      </c>
      <c r="W526" t="s">
        <v>10031</v>
      </c>
      <c r="X526" t="s">
        <v>10032</v>
      </c>
      <c r="Y526" t="s">
        <v>10033</v>
      </c>
      <c r="Z526" t="s">
        <v>10034</v>
      </c>
      <c r="AA526" t="s">
        <v>10035</v>
      </c>
      <c r="AB526" t="s">
        <v>10036</v>
      </c>
      <c r="AC526" t="s">
        <v>10037</v>
      </c>
      <c r="AD526" t="s">
        <v>10038</v>
      </c>
      <c r="AE526" t="s">
        <v>10039</v>
      </c>
      <c r="AF526" t="s">
        <v>74</v>
      </c>
      <c r="AG526">
        <v>55</v>
      </c>
      <c r="AH526">
        <v>31</v>
      </c>
      <c r="AI526">
        <v>37</v>
      </c>
      <c r="AJ526">
        <v>2</v>
      </c>
      <c r="AK526">
        <v>32</v>
      </c>
      <c r="AL526" t="s">
        <v>10040</v>
      </c>
      <c r="AM526" t="s">
        <v>10041</v>
      </c>
      <c r="AN526" t="s">
        <v>10042</v>
      </c>
      <c r="AO526" t="s">
        <v>10043</v>
      </c>
      <c r="AP526" t="s">
        <v>74</v>
      </c>
      <c r="AQ526" t="s">
        <v>74</v>
      </c>
      <c r="AR526" t="s">
        <v>10044</v>
      </c>
      <c r="AS526" t="s">
        <v>10045</v>
      </c>
      <c r="AT526" t="s">
        <v>74</v>
      </c>
      <c r="AU526">
        <v>2014</v>
      </c>
      <c r="AV526">
        <v>40</v>
      </c>
      <c r="AW526">
        <v>4</v>
      </c>
      <c r="AX526" t="s">
        <v>74</v>
      </c>
      <c r="AY526" t="s">
        <v>74</v>
      </c>
      <c r="AZ526" t="s">
        <v>74</v>
      </c>
      <c r="BA526" t="s">
        <v>74</v>
      </c>
      <c r="BB526">
        <v>329</v>
      </c>
      <c r="BC526">
        <v>340</v>
      </c>
      <c r="BD526" t="s">
        <v>74</v>
      </c>
      <c r="BE526" t="s">
        <v>10046</v>
      </c>
      <c r="BF526" t="str">
        <f>HYPERLINK("http://dx.doi.org/10.1578/AM.40.4.2014.329","http://dx.doi.org/10.1578/AM.40.4.2014.329")</f>
        <v>http://dx.doi.org/10.1578/AM.40.4.2014.329</v>
      </c>
      <c r="BG526" t="s">
        <v>74</v>
      </c>
      <c r="BH526" t="s">
        <v>74</v>
      </c>
      <c r="BI526">
        <v>12</v>
      </c>
      <c r="BJ526" t="s">
        <v>10047</v>
      </c>
      <c r="BK526" t="s">
        <v>101</v>
      </c>
      <c r="BL526" t="s">
        <v>10047</v>
      </c>
      <c r="BM526" t="s">
        <v>10048</v>
      </c>
      <c r="BN526" t="s">
        <v>74</v>
      </c>
      <c r="BO526" t="s">
        <v>74</v>
      </c>
      <c r="BP526" t="s">
        <v>74</v>
      </c>
      <c r="BQ526" t="s">
        <v>74</v>
      </c>
      <c r="BR526" t="s">
        <v>104</v>
      </c>
      <c r="BS526" t="s">
        <v>10049</v>
      </c>
      <c r="BT526" t="str">
        <f>HYPERLINK("https%3A%2F%2Fwww.webofscience.com%2Fwos%2Fwoscc%2Ffull-record%2FWOS:000348340700003","View Full Record in Web of Science")</f>
        <v>View Full Record in Web of Science</v>
      </c>
    </row>
    <row r="527" spans="1:72" x14ac:dyDescent="0.15">
      <c r="A527" t="s">
        <v>72</v>
      </c>
      <c r="B527" t="s">
        <v>10050</v>
      </c>
      <c r="C527" t="s">
        <v>74</v>
      </c>
      <c r="D527" t="s">
        <v>74</v>
      </c>
      <c r="E527" t="s">
        <v>74</v>
      </c>
      <c r="F527" t="s">
        <v>10051</v>
      </c>
      <c r="G527" t="s">
        <v>74</v>
      </c>
      <c r="H527" t="s">
        <v>74</v>
      </c>
      <c r="I527" t="s">
        <v>10052</v>
      </c>
      <c r="J527" t="s">
        <v>10027</v>
      </c>
      <c r="K527" t="s">
        <v>74</v>
      </c>
      <c r="L527" t="s">
        <v>74</v>
      </c>
      <c r="M527" t="s">
        <v>78</v>
      </c>
      <c r="N527" t="s">
        <v>79</v>
      </c>
      <c r="O527" t="s">
        <v>74</v>
      </c>
      <c r="P527" t="s">
        <v>74</v>
      </c>
      <c r="Q527" t="s">
        <v>74</v>
      </c>
      <c r="R527" t="s">
        <v>74</v>
      </c>
      <c r="S527" t="s">
        <v>74</v>
      </c>
      <c r="T527" t="s">
        <v>10053</v>
      </c>
      <c r="U527" t="s">
        <v>10054</v>
      </c>
      <c r="V527" t="s">
        <v>10055</v>
      </c>
      <c r="W527" t="s">
        <v>10056</v>
      </c>
      <c r="X527" t="s">
        <v>10057</v>
      </c>
      <c r="Y527" t="s">
        <v>10058</v>
      </c>
      <c r="Z527" t="s">
        <v>10059</v>
      </c>
      <c r="AA527" t="s">
        <v>74</v>
      </c>
      <c r="AB527" t="s">
        <v>74</v>
      </c>
      <c r="AC527" t="s">
        <v>10060</v>
      </c>
      <c r="AD527" t="s">
        <v>10061</v>
      </c>
      <c r="AE527" t="s">
        <v>10062</v>
      </c>
      <c r="AF527" t="s">
        <v>74</v>
      </c>
      <c r="AG527">
        <v>25</v>
      </c>
      <c r="AH527">
        <v>0</v>
      </c>
      <c r="AI527">
        <v>0</v>
      </c>
      <c r="AJ527">
        <v>0</v>
      </c>
      <c r="AK527">
        <v>2</v>
      </c>
      <c r="AL527" t="s">
        <v>10040</v>
      </c>
      <c r="AM527" t="s">
        <v>10041</v>
      </c>
      <c r="AN527" t="s">
        <v>10042</v>
      </c>
      <c r="AO527" t="s">
        <v>10043</v>
      </c>
      <c r="AP527" t="s">
        <v>74</v>
      </c>
      <c r="AQ527" t="s">
        <v>74</v>
      </c>
      <c r="AR527" t="s">
        <v>10044</v>
      </c>
      <c r="AS527" t="s">
        <v>10045</v>
      </c>
      <c r="AT527" t="s">
        <v>74</v>
      </c>
      <c r="AU527">
        <v>2014</v>
      </c>
      <c r="AV527">
        <v>40</v>
      </c>
      <c r="AW527">
        <v>4</v>
      </c>
      <c r="AX527" t="s">
        <v>74</v>
      </c>
      <c r="AY527" t="s">
        <v>74</v>
      </c>
      <c r="AZ527" t="s">
        <v>74</v>
      </c>
      <c r="BA527" t="s">
        <v>74</v>
      </c>
      <c r="BB527">
        <v>412</v>
      </c>
      <c r="BC527">
        <v>422</v>
      </c>
      <c r="BD527" t="s">
        <v>74</v>
      </c>
      <c r="BE527" t="s">
        <v>10063</v>
      </c>
      <c r="BF527" t="str">
        <f>HYPERLINK("http://dx.doi.org/10.1578/AM.40.4.2014.412","http://dx.doi.org/10.1578/AM.40.4.2014.412")</f>
        <v>http://dx.doi.org/10.1578/AM.40.4.2014.412</v>
      </c>
      <c r="BG527" t="s">
        <v>74</v>
      </c>
      <c r="BH527" t="s">
        <v>74</v>
      </c>
      <c r="BI527">
        <v>11</v>
      </c>
      <c r="BJ527" t="s">
        <v>10047</v>
      </c>
      <c r="BK527" t="s">
        <v>101</v>
      </c>
      <c r="BL527" t="s">
        <v>10047</v>
      </c>
      <c r="BM527" t="s">
        <v>10048</v>
      </c>
      <c r="BN527" t="s">
        <v>74</v>
      </c>
      <c r="BO527" t="s">
        <v>74</v>
      </c>
      <c r="BP527" t="s">
        <v>74</v>
      </c>
      <c r="BQ527" t="s">
        <v>74</v>
      </c>
      <c r="BR527" t="s">
        <v>104</v>
      </c>
      <c r="BS527" t="s">
        <v>10064</v>
      </c>
      <c r="BT527" t="str">
        <f>HYPERLINK("https%3A%2F%2Fwww.webofscience.com%2Fwos%2Fwoscc%2Ffull-record%2FWOS:000348340700014","View Full Record in Web of Science")</f>
        <v>View Full Record in Web of Science</v>
      </c>
    </row>
    <row r="528" spans="1:72" x14ac:dyDescent="0.15">
      <c r="A528" t="s">
        <v>72</v>
      </c>
      <c r="B528" t="s">
        <v>10065</v>
      </c>
      <c r="C528" t="s">
        <v>74</v>
      </c>
      <c r="D528" t="s">
        <v>74</v>
      </c>
      <c r="E528" t="s">
        <v>74</v>
      </c>
      <c r="F528" t="s">
        <v>10066</v>
      </c>
      <c r="G528" t="s">
        <v>74</v>
      </c>
      <c r="H528" t="s">
        <v>74</v>
      </c>
      <c r="I528" t="s">
        <v>10067</v>
      </c>
      <c r="J528" t="s">
        <v>10068</v>
      </c>
      <c r="K528" t="s">
        <v>74</v>
      </c>
      <c r="L528" t="s">
        <v>74</v>
      </c>
      <c r="M528" t="s">
        <v>78</v>
      </c>
      <c r="N528" t="s">
        <v>79</v>
      </c>
      <c r="O528" t="s">
        <v>74</v>
      </c>
      <c r="P528" t="s">
        <v>74</v>
      </c>
      <c r="Q528" t="s">
        <v>74</v>
      </c>
      <c r="R528" t="s">
        <v>74</v>
      </c>
      <c r="S528" t="s">
        <v>74</v>
      </c>
      <c r="T528" t="s">
        <v>74</v>
      </c>
      <c r="U528" t="s">
        <v>10069</v>
      </c>
      <c r="V528" t="s">
        <v>10070</v>
      </c>
      <c r="W528" t="s">
        <v>10071</v>
      </c>
      <c r="X528" t="s">
        <v>10072</v>
      </c>
      <c r="Y528" t="s">
        <v>10073</v>
      </c>
      <c r="Z528" t="s">
        <v>10074</v>
      </c>
      <c r="AA528" t="s">
        <v>10075</v>
      </c>
      <c r="AB528" t="s">
        <v>10076</v>
      </c>
      <c r="AC528" t="s">
        <v>74</v>
      </c>
      <c r="AD528" t="s">
        <v>74</v>
      </c>
      <c r="AE528" t="s">
        <v>74</v>
      </c>
      <c r="AF528" t="s">
        <v>74</v>
      </c>
      <c r="AG528">
        <v>26</v>
      </c>
      <c r="AH528">
        <v>10</v>
      </c>
      <c r="AI528">
        <v>11</v>
      </c>
      <c r="AJ528">
        <v>0</v>
      </c>
      <c r="AK528">
        <v>11</v>
      </c>
      <c r="AL528" t="s">
        <v>10077</v>
      </c>
      <c r="AM528" t="s">
        <v>10078</v>
      </c>
      <c r="AN528" t="s">
        <v>10079</v>
      </c>
      <c r="AO528" t="s">
        <v>10080</v>
      </c>
      <c r="AP528" t="s">
        <v>74</v>
      </c>
      <c r="AQ528" t="s">
        <v>74</v>
      </c>
      <c r="AR528" t="s">
        <v>10081</v>
      </c>
      <c r="AS528" t="s">
        <v>10082</v>
      </c>
      <c r="AT528" t="s">
        <v>74</v>
      </c>
      <c r="AU528">
        <v>2014</v>
      </c>
      <c r="AV528">
        <v>21</v>
      </c>
      <c r="AW528" t="s">
        <v>74</v>
      </c>
      <c r="AX528" t="s">
        <v>74</v>
      </c>
      <c r="AY528" t="s">
        <v>74</v>
      </c>
      <c r="AZ528" t="s">
        <v>74</v>
      </c>
      <c r="BA528" t="s">
        <v>74</v>
      </c>
      <c r="BB528">
        <v>1</v>
      </c>
      <c r="BC528">
        <v>9</v>
      </c>
      <c r="BD528" t="s">
        <v>74</v>
      </c>
      <c r="BE528" t="s">
        <v>74</v>
      </c>
      <c r="BF528" t="s">
        <v>74</v>
      </c>
      <c r="BG528" t="s">
        <v>74</v>
      </c>
      <c r="BH528" t="s">
        <v>74</v>
      </c>
      <c r="BI528">
        <v>9</v>
      </c>
      <c r="BJ528" t="s">
        <v>3864</v>
      </c>
      <c r="BK528" t="s">
        <v>101</v>
      </c>
      <c r="BL528" t="s">
        <v>3864</v>
      </c>
      <c r="BM528" t="s">
        <v>10083</v>
      </c>
      <c r="BN528" t="s">
        <v>74</v>
      </c>
      <c r="BO528" t="s">
        <v>74</v>
      </c>
      <c r="BP528" t="s">
        <v>74</v>
      </c>
      <c r="BQ528" t="s">
        <v>74</v>
      </c>
      <c r="BR528" t="s">
        <v>104</v>
      </c>
      <c r="BS528" t="s">
        <v>10084</v>
      </c>
      <c r="BT528" t="str">
        <f>HYPERLINK("https%3A%2F%2Fwww.webofscience.com%2Fwos%2Fwoscc%2Ffull-record%2FWOS:000348215300001","View Full Record in Web of Science")</f>
        <v>View Full Record in Web of Science</v>
      </c>
    </row>
    <row r="529" spans="1:72" x14ac:dyDescent="0.15">
      <c r="A529" t="s">
        <v>72</v>
      </c>
      <c r="B529" t="s">
        <v>10085</v>
      </c>
      <c r="C529" t="s">
        <v>74</v>
      </c>
      <c r="D529" t="s">
        <v>74</v>
      </c>
      <c r="E529" t="s">
        <v>74</v>
      </c>
      <c r="F529" t="s">
        <v>10086</v>
      </c>
      <c r="G529" t="s">
        <v>74</v>
      </c>
      <c r="H529" t="s">
        <v>74</v>
      </c>
      <c r="I529" t="s">
        <v>10087</v>
      </c>
      <c r="J529" t="s">
        <v>10068</v>
      </c>
      <c r="K529" t="s">
        <v>74</v>
      </c>
      <c r="L529" t="s">
        <v>74</v>
      </c>
      <c r="M529" t="s">
        <v>78</v>
      </c>
      <c r="N529" t="s">
        <v>79</v>
      </c>
      <c r="O529" t="s">
        <v>74</v>
      </c>
      <c r="P529" t="s">
        <v>74</v>
      </c>
      <c r="Q529" t="s">
        <v>74</v>
      </c>
      <c r="R529" t="s">
        <v>74</v>
      </c>
      <c r="S529" t="s">
        <v>74</v>
      </c>
      <c r="T529" t="s">
        <v>74</v>
      </c>
      <c r="U529" t="s">
        <v>10088</v>
      </c>
      <c r="V529" t="s">
        <v>10089</v>
      </c>
      <c r="W529" t="s">
        <v>10090</v>
      </c>
      <c r="X529" t="s">
        <v>10091</v>
      </c>
      <c r="Y529" t="s">
        <v>10092</v>
      </c>
      <c r="Z529" t="s">
        <v>10093</v>
      </c>
      <c r="AA529" t="s">
        <v>74</v>
      </c>
      <c r="AB529" t="s">
        <v>10094</v>
      </c>
      <c r="AC529" t="s">
        <v>10095</v>
      </c>
      <c r="AD529" t="s">
        <v>10096</v>
      </c>
      <c r="AE529" t="s">
        <v>74</v>
      </c>
      <c r="AF529" t="s">
        <v>74</v>
      </c>
      <c r="AG529">
        <v>20</v>
      </c>
      <c r="AH529">
        <v>12</v>
      </c>
      <c r="AI529">
        <v>12</v>
      </c>
      <c r="AJ529">
        <v>0</v>
      </c>
      <c r="AK529">
        <v>13</v>
      </c>
      <c r="AL529" t="s">
        <v>10077</v>
      </c>
      <c r="AM529" t="s">
        <v>10078</v>
      </c>
      <c r="AN529" t="s">
        <v>10079</v>
      </c>
      <c r="AO529" t="s">
        <v>10080</v>
      </c>
      <c r="AP529" t="s">
        <v>74</v>
      </c>
      <c r="AQ529" t="s">
        <v>74</v>
      </c>
      <c r="AR529" t="s">
        <v>10081</v>
      </c>
      <c r="AS529" t="s">
        <v>10082</v>
      </c>
      <c r="AT529" t="s">
        <v>74</v>
      </c>
      <c r="AU529">
        <v>2014</v>
      </c>
      <c r="AV529">
        <v>21</v>
      </c>
      <c r="AW529" t="s">
        <v>74</v>
      </c>
      <c r="AX529" t="s">
        <v>74</v>
      </c>
      <c r="AY529" t="s">
        <v>74</v>
      </c>
      <c r="AZ529" t="s">
        <v>74</v>
      </c>
      <c r="BA529" t="s">
        <v>74</v>
      </c>
      <c r="BB529">
        <v>11</v>
      </c>
      <c r="BC529">
        <v>17</v>
      </c>
      <c r="BD529" t="s">
        <v>74</v>
      </c>
      <c r="BE529" t="s">
        <v>74</v>
      </c>
      <c r="BF529" t="s">
        <v>74</v>
      </c>
      <c r="BG529" t="s">
        <v>74</v>
      </c>
      <c r="BH529" t="s">
        <v>74</v>
      </c>
      <c r="BI529">
        <v>7</v>
      </c>
      <c r="BJ529" t="s">
        <v>3864</v>
      </c>
      <c r="BK529" t="s">
        <v>101</v>
      </c>
      <c r="BL529" t="s">
        <v>3864</v>
      </c>
      <c r="BM529" t="s">
        <v>10083</v>
      </c>
      <c r="BN529" t="s">
        <v>74</v>
      </c>
      <c r="BO529" t="s">
        <v>74</v>
      </c>
      <c r="BP529" t="s">
        <v>74</v>
      </c>
      <c r="BQ529" t="s">
        <v>74</v>
      </c>
      <c r="BR529" t="s">
        <v>104</v>
      </c>
      <c r="BS529" t="s">
        <v>10097</v>
      </c>
      <c r="BT529" t="str">
        <f>HYPERLINK("https%3A%2F%2Fwww.webofscience.com%2Fwos%2Fwoscc%2Ffull-record%2FWOS:000348215300002","View Full Record in Web of Science")</f>
        <v>View Full Record in Web of Science</v>
      </c>
    </row>
    <row r="530" spans="1:72" x14ac:dyDescent="0.15">
      <c r="A530" t="s">
        <v>72</v>
      </c>
      <c r="B530" t="s">
        <v>10098</v>
      </c>
      <c r="C530" t="s">
        <v>74</v>
      </c>
      <c r="D530" t="s">
        <v>74</v>
      </c>
      <c r="E530" t="s">
        <v>74</v>
      </c>
      <c r="F530" t="s">
        <v>10099</v>
      </c>
      <c r="G530" t="s">
        <v>74</v>
      </c>
      <c r="H530" t="s">
        <v>74</v>
      </c>
      <c r="I530" t="s">
        <v>10100</v>
      </c>
      <c r="J530" t="s">
        <v>10068</v>
      </c>
      <c r="K530" t="s">
        <v>74</v>
      </c>
      <c r="L530" t="s">
        <v>74</v>
      </c>
      <c r="M530" t="s">
        <v>78</v>
      </c>
      <c r="N530" t="s">
        <v>79</v>
      </c>
      <c r="O530" t="s">
        <v>74</v>
      </c>
      <c r="P530" t="s">
        <v>74</v>
      </c>
      <c r="Q530" t="s">
        <v>74</v>
      </c>
      <c r="R530" t="s">
        <v>74</v>
      </c>
      <c r="S530" t="s">
        <v>74</v>
      </c>
      <c r="T530" t="s">
        <v>74</v>
      </c>
      <c r="U530" t="s">
        <v>10101</v>
      </c>
      <c r="V530" t="s">
        <v>10102</v>
      </c>
      <c r="W530" t="s">
        <v>10103</v>
      </c>
      <c r="X530" t="s">
        <v>10104</v>
      </c>
      <c r="Y530" t="s">
        <v>10105</v>
      </c>
      <c r="Z530" t="s">
        <v>10106</v>
      </c>
      <c r="AA530" t="s">
        <v>74</v>
      </c>
      <c r="AB530" t="s">
        <v>74</v>
      </c>
      <c r="AC530" t="s">
        <v>10107</v>
      </c>
      <c r="AD530" t="s">
        <v>10108</v>
      </c>
      <c r="AE530" t="s">
        <v>10109</v>
      </c>
      <c r="AF530" t="s">
        <v>74</v>
      </c>
      <c r="AG530">
        <v>39</v>
      </c>
      <c r="AH530">
        <v>16</v>
      </c>
      <c r="AI530">
        <v>16</v>
      </c>
      <c r="AJ530">
        <v>0</v>
      </c>
      <c r="AK530">
        <v>12</v>
      </c>
      <c r="AL530" t="s">
        <v>10077</v>
      </c>
      <c r="AM530" t="s">
        <v>10078</v>
      </c>
      <c r="AN530" t="s">
        <v>10079</v>
      </c>
      <c r="AO530" t="s">
        <v>10080</v>
      </c>
      <c r="AP530" t="s">
        <v>74</v>
      </c>
      <c r="AQ530" t="s">
        <v>74</v>
      </c>
      <c r="AR530" t="s">
        <v>10081</v>
      </c>
      <c r="AS530" t="s">
        <v>10082</v>
      </c>
      <c r="AT530" t="s">
        <v>74</v>
      </c>
      <c r="AU530">
        <v>2014</v>
      </c>
      <c r="AV530">
        <v>21</v>
      </c>
      <c r="AW530" t="s">
        <v>74</v>
      </c>
      <c r="AX530" t="s">
        <v>74</v>
      </c>
      <c r="AY530" t="s">
        <v>74</v>
      </c>
      <c r="AZ530" t="s">
        <v>74</v>
      </c>
      <c r="BA530" t="s">
        <v>74</v>
      </c>
      <c r="BB530">
        <v>19</v>
      </c>
      <c r="BC530">
        <v>37</v>
      </c>
      <c r="BD530" t="s">
        <v>74</v>
      </c>
      <c r="BE530" t="s">
        <v>74</v>
      </c>
      <c r="BF530" t="s">
        <v>74</v>
      </c>
      <c r="BG530" t="s">
        <v>74</v>
      </c>
      <c r="BH530" t="s">
        <v>74</v>
      </c>
      <c r="BI530">
        <v>19</v>
      </c>
      <c r="BJ530" t="s">
        <v>3864</v>
      </c>
      <c r="BK530" t="s">
        <v>101</v>
      </c>
      <c r="BL530" t="s">
        <v>3864</v>
      </c>
      <c r="BM530" t="s">
        <v>10083</v>
      </c>
      <c r="BN530" t="s">
        <v>74</v>
      </c>
      <c r="BO530" t="s">
        <v>74</v>
      </c>
      <c r="BP530" t="s">
        <v>74</v>
      </c>
      <c r="BQ530" t="s">
        <v>74</v>
      </c>
      <c r="BR530" t="s">
        <v>104</v>
      </c>
      <c r="BS530" t="s">
        <v>10110</v>
      </c>
      <c r="BT530" t="str">
        <f>HYPERLINK("https%3A%2F%2Fwww.webofscience.com%2Fwos%2Fwoscc%2Ffull-record%2FWOS:000348215300003","View Full Record in Web of Science")</f>
        <v>View Full Record in Web of Science</v>
      </c>
    </row>
    <row r="531" spans="1:72" x14ac:dyDescent="0.15">
      <c r="A531" t="s">
        <v>72</v>
      </c>
      <c r="B531" t="s">
        <v>10111</v>
      </c>
      <c r="C531" t="s">
        <v>74</v>
      </c>
      <c r="D531" t="s">
        <v>74</v>
      </c>
      <c r="E531" t="s">
        <v>74</v>
      </c>
      <c r="F531" t="s">
        <v>10112</v>
      </c>
      <c r="G531" t="s">
        <v>74</v>
      </c>
      <c r="H531" t="s">
        <v>74</v>
      </c>
      <c r="I531" t="s">
        <v>10113</v>
      </c>
      <c r="J531" t="s">
        <v>10068</v>
      </c>
      <c r="K531" t="s">
        <v>74</v>
      </c>
      <c r="L531" t="s">
        <v>74</v>
      </c>
      <c r="M531" t="s">
        <v>78</v>
      </c>
      <c r="N531" t="s">
        <v>79</v>
      </c>
      <c r="O531" t="s">
        <v>74</v>
      </c>
      <c r="P531" t="s">
        <v>74</v>
      </c>
      <c r="Q531" t="s">
        <v>74</v>
      </c>
      <c r="R531" t="s">
        <v>74</v>
      </c>
      <c r="S531" t="s">
        <v>74</v>
      </c>
      <c r="T531" t="s">
        <v>74</v>
      </c>
      <c r="U531" t="s">
        <v>10114</v>
      </c>
      <c r="V531" t="s">
        <v>10115</v>
      </c>
      <c r="W531" t="s">
        <v>10116</v>
      </c>
      <c r="X531" t="s">
        <v>10104</v>
      </c>
      <c r="Y531" t="s">
        <v>10117</v>
      </c>
      <c r="Z531" t="s">
        <v>10106</v>
      </c>
      <c r="AA531" t="s">
        <v>74</v>
      </c>
      <c r="AB531" t="s">
        <v>10118</v>
      </c>
      <c r="AC531" t="s">
        <v>10119</v>
      </c>
      <c r="AD531" t="s">
        <v>10120</v>
      </c>
      <c r="AE531" t="s">
        <v>10121</v>
      </c>
      <c r="AF531" t="s">
        <v>74</v>
      </c>
      <c r="AG531">
        <v>54</v>
      </c>
      <c r="AH531">
        <v>21</v>
      </c>
      <c r="AI531">
        <v>22</v>
      </c>
      <c r="AJ531">
        <v>0</v>
      </c>
      <c r="AK531">
        <v>11</v>
      </c>
      <c r="AL531" t="s">
        <v>10077</v>
      </c>
      <c r="AM531" t="s">
        <v>10078</v>
      </c>
      <c r="AN531" t="s">
        <v>10079</v>
      </c>
      <c r="AO531" t="s">
        <v>10080</v>
      </c>
      <c r="AP531" t="s">
        <v>74</v>
      </c>
      <c r="AQ531" t="s">
        <v>74</v>
      </c>
      <c r="AR531" t="s">
        <v>10081</v>
      </c>
      <c r="AS531" t="s">
        <v>10082</v>
      </c>
      <c r="AT531" t="s">
        <v>74</v>
      </c>
      <c r="AU531">
        <v>2014</v>
      </c>
      <c r="AV531">
        <v>21</v>
      </c>
      <c r="AW531" t="s">
        <v>74</v>
      </c>
      <c r="AX531" t="s">
        <v>74</v>
      </c>
      <c r="AY531" t="s">
        <v>74</v>
      </c>
      <c r="AZ531" t="s">
        <v>74</v>
      </c>
      <c r="BA531" t="s">
        <v>74</v>
      </c>
      <c r="BB531">
        <v>39</v>
      </c>
      <c r="BC531">
        <v>62</v>
      </c>
      <c r="BD531" t="s">
        <v>74</v>
      </c>
      <c r="BE531" t="s">
        <v>74</v>
      </c>
      <c r="BF531" t="s">
        <v>74</v>
      </c>
      <c r="BG531" t="s">
        <v>74</v>
      </c>
      <c r="BH531" t="s">
        <v>74</v>
      </c>
      <c r="BI531">
        <v>24</v>
      </c>
      <c r="BJ531" t="s">
        <v>3864</v>
      </c>
      <c r="BK531" t="s">
        <v>101</v>
      </c>
      <c r="BL531" t="s">
        <v>3864</v>
      </c>
      <c r="BM531" t="s">
        <v>10083</v>
      </c>
      <c r="BN531" t="s">
        <v>74</v>
      </c>
      <c r="BO531" t="s">
        <v>74</v>
      </c>
      <c r="BP531" t="s">
        <v>74</v>
      </c>
      <c r="BQ531" t="s">
        <v>74</v>
      </c>
      <c r="BR531" t="s">
        <v>104</v>
      </c>
      <c r="BS531" t="s">
        <v>10122</v>
      </c>
      <c r="BT531" t="str">
        <f>HYPERLINK("https%3A%2F%2Fwww.webofscience.com%2Fwos%2Fwoscc%2Ffull-record%2FWOS:000348215300004","View Full Record in Web of Science")</f>
        <v>View Full Record in Web of Science</v>
      </c>
    </row>
    <row r="532" spans="1:72" x14ac:dyDescent="0.15">
      <c r="A532" t="s">
        <v>8774</v>
      </c>
      <c r="B532" t="s">
        <v>10123</v>
      </c>
      <c r="C532" t="s">
        <v>74</v>
      </c>
      <c r="D532" t="s">
        <v>10124</v>
      </c>
      <c r="E532" t="s">
        <v>74</v>
      </c>
      <c r="F532" t="s">
        <v>10125</v>
      </c>
      <c r="G532" t="s">
        <v>74</v>
      </c>
      <c r="H532" t="s">
        <v>74</v>
      </c>
      <c r="I532" t="s">
        <v>10126</v>
      </c>
      <c r="J532" t="s">
        <v>10127</v>
      </c>
      <c r="K532" t="s">
        <v>9049</v>
      </c>
      <c r="L532" t="s">
        <v>74</v>
      </c>
      <c r="M532" t="s">
        <v>78</v>
      </c>
      <c r="N532" t="s">
        <v>8781</v>
      </c>
      <c r="O532" t="s">
        <v>10128</v>
      </c>
      <c r="P532" t="s">
        <v>10129</v>
      </c>
      <c r="Q532" t="s">
        <v>10130</v>
      </c>
      <c r="R532" t="s">
        <v>74</v>
      </c>
      <c r="S532" t="s">
        <v>74</v>
      </c>
      <c r="T532" t="s">
        <v>10131</v>
      </c>
      <c r="U532" t="s">
        <v>10132</v>
      </c>
      <c r="V532" t="s">
        <v>10133</v>
      </c>
      <c r="W532" t="s">
        <v>10134</v>
      </c>
      <c r="X532" t="s">
        <v>10135</v>
      </c>
      <c r="Y532" t="s">
        <v>10136</v>
      </c>
      <c r="Z532" t="s">
        <v>74</v>
      </c>
      <c r="AA532" t="s">
        <v>10137</v>
      </c>
      <c r="AB532" t="s">
        <v>9936</v>
      </c>
      <c r="AC532" t="s">
        <v>74</v>
      </c>
      <c r="AD532" t="s">
        <v>74</v>
      </c>
      <c r="AE532" t="s">
        <v>74</v>
      </c>
      <c r="AF532" t="s">
        <v>74</v>
      </c>
      <c r="AG532">
        <v>12</v>
      </c>
      <c r="AH532">
        <v>3</v>
      </c>
      <c r="AI532">
        <v>3</v>
      </c>
      <c r="AJ532">
        <v>0</v>
      </c>
      <c r="AK532">
        <v>4</v>
      </c>
      <c r="AL532" t="s">
        <v>9059</v>
      </c>
      <c r="AM532" t="s">
        <v>8092</v>
      </c>
      <c r="AN532" t="s">
        <v>9060</v>
      </c>
      <c r="AO532" t="s">
        <v>9061</v>
      </c>
      <c r="AP532" t="s">
        <v>9385</v>
      </c>
      <c r="AQ532" t="s">
        <v>10138</v>
      </c>
      <c r="AR532" t="s">
        <v>9063</v>
      </c>
      <c r="AS532" t="s">
        <v>74</v>
      </c>
      <c r="AT532" t="s">
        <v>74</v>
      </c>
      <c r="AU532">
        <v>2014</v>
      </c>
      <c r="AV532">
        <v>9218</v>
      </c>
      <c r="AW532" t="s">
        <v>74</v>
      </c>
      <c r="AX532" t="s">
        <v>74</v>
      </c>
      <c r="AY532" t="s">
        <v>74</v>
      </c>
      <c r="AZ532" t="s">
        <v>74</v>
      </c>
      <c r="BA532" t="s">
        <v>74</v>
      </c>
      <c r="BB532" t="s">
        <v>74</v>
      </c>
      <c r="BC532" t="s">
        <v>74</v>
      </c>
      <c r="BD532" t="s">
        <v>10139</v>
      </c>
      <c r="BE532" t="s">
        <v>10140</v>
      </c>
      <c r="BF532" t="str">
        <f>HYPERLINK("http://dx.doi.org/10.1117/12.2061855","http://dx.doi.org/10.1117/12.2061855")</f>
        <v>http://dx.doi.org/10.1117/12.2061855</v>
      </c>
      <c r="BG532" t="s">
        <v>74</v>
      </c>
      <c r="BH532" t="s">
        <v>74</v>
      </c>
      <c r="BI532">
        <v>8</v>
      </c>
      <c r="BJ532" t="s">
        <v>9940</v>
      </c>
      <c r="BK532" t="s">
        <v>8799</v>
      </c>
      <c r="BL532" t="s">
        <v>9940</v>
      </c>
      <c r="BM532" t="s">
        <v>10141</v>
      </c>
      <c r="BN532" t="s">
        <v>74</v>
      </c>
      <c r="BO532" t="s">
        <v>74</v>
      </c>
      <c r="BP532" t="s">
        <v>74</v>
      </c>
      <c r="BQ532" t="s">
        <v>74</v>
      </c>
      <c r="BR532" t="s">
        <v>104</v>
      </c>
      <c r="BS532" t="s">
        <v>10142</v>
      </c>
      <c r="BT532" t="str">
        <f>HYPERLINK("https%3A%2F%2Fwww.webofscience.com%2Fwos%2Fwoscc%2Ffull-record%2FWOS:000348319500014","View Full Record in Web of Science")</f>
        <v>View Full Record in Web of Science</v>
      </c>
    </row>
    <row r="533" spans="1:72" x14ac:dyDescent="0.15">
      <c r="A533" t="s">
        <v>8774</v>
      </c>
      <c r="B533" t="s">
        <v>10143</v>
      </c>
      <c r="C533" t="s">
        <v>74</v>
      </c>
      <c r="D533" t="s">
        <v>10124</v>
      </c>
      <c r="E533" t="s">
        <v>74</v>
      </c>
      <c r="F533" t="s">
        <v>10144</v>
      </c>
      <c r="G533" t="s">
        <v>74</v>
      </c>
      <c r="H533" t="s">
        <v>74</v>
      </c>
      <c r="I533" t="s">
        <v>10145</v>
      </c>
      <c r="J533" t="s">
        <v>10127</v>
      </c>
      <c r="K533" t="s">
        <v>9049</v>
      </c>
      <c r="L533" t="s">
        <v>74</v>
      </c>
      <c r="M533" t="s">
        <v>78</v>
      </c>
      <c r="N533" t="s">
        <v>8781</v>
      </c>
      <c r="O533" t="s">
        <v>10128</v>
      </c>
      <c r="P533" t="s">
        <v>10129</v>
      </c>
      <c r="Q533" t="s">
        <v>10130</v>
      </c>
      <c r="R533" t="s">
        <v>74</v>
      </c>
      <c r="S533" t="s">
        <v>74</v>
      </c>
      <c r="T533" t="s">
        <v>10146</v>
      </c>
      <c r="U533" t="s">
        <v>74</v>
      </c>
      <c r="V533" t="s">
        <v>10147</v>
      </c>
      <c r="W533" t="s">
        <v>10148</v>
      </c>
      <c r="X533" t="s">
        <v>74</v>
      </c>
      <c r="Y533" t="s">
        <v>10149</v>
      </c>
      <c r="Z533" t="s">
        <v>74</v>
      </c>
      <c r="AA533" t="s">
        <v>74</v>
      </c>
      <c r="AB533" t="s">
        <v>74</v>
      </c>
      <c r="AC533" t="s">
        <v>74</v>
      </c>
      <c r="AD533" t="s">
        <v>74</v>
      </c>
      <c r="AE533" t="s">
        <v>74</v>
      </c>
      <c r="AF533" t="s">
        <v>74</v>
      </c>
      <c r="AG533">
        <v>15</v>
      </c>
      <c r="AH533">
        <v>4</v>
      </c>
      <c r="AI533">
        <v>4</v>
      </c>
      <c r="AJ533">
        <v>0</v>
      </c>
      <c r="AK533">
        <v>0</v>
      </c>
      <c r="AL533" t="s">
        <v>9059</v>
      </c>
      <c r="AM533" t="s">
        <v>8092</v>
      </c>
      <c r="AN533" t="s">
        <v>9060</v>
      </c>
      <c r="AO533" t="s">
        <v>9061</v>
      </c>
      <c r="AP533" t="s">
        <v>9385</v>
      </c>
      <c r="AQ533" t="s">
        <v>10138</v>
      </c>
      <c r="AR533" t="s">
        <v>9063</v>
      </c>
      <c r="AS533" t="s">
        <v>74</v>
      </c>
      <c r="AT533" t="s">
        <v>74</v>
      </c>
      <c r="AU533">
        <v>2014</v>
      </c>
      <c r="AV533">
        <v>9218</v>
      </c>
      <c r="AW533" t="s">
        <v>74</v>
      </c>
      <c r="AX533" t="s">
        <v>74</v>
      </c>
      <c r="AY533" t="s">
        <v>74</v>
      </c>
      <c r="AZ533" t="s">
        <v>74</v>
      </c>
      <c r="BA533" t="s">
        <v>74</v>
      </c>
      <c r="BB533" t="s">
        <v>74</v>
      </c>
      <c r="BC533" t="s">
        <v>74</v>
      </c>
      <c r="BD533" t="s">
        <v>10150</v>
      </c>
      <c r="BE533" t="s">
        <v>10151</v>
      </c>
      <c r="BF533" t="str">
        <f>HYPERLINK("http://dx.doi.org/10.1117/12.2060728","http://dx.doi.org/10.1117/12.2060728")</f>
        <v>http://dx.doi.org/10.1117/12.2060728</v>
      </c>
      <c r="BG533" t="s">
        <v>74</v>
      </c>
      <c r="BH533" t="s">
        <v>74</v>
      </c>
      <c r="BI533">
        <v>9</v>
      </c>
      <c r="BJ533" t="s">
        <v>9940</v>
      </c>
      <c r="BK533" t="s">
        <v>8799</v>
      </c>
      <c r="BL533" t="s">
        <v>9940</v>
      </c>
      <c r="BM533" t="s">
        <v>10141</v>
      </c>
      <c r="BN533" t="s">
        <v>74</v>
      </c>
      <c r="BO533" t="s">
        <v>74</v>
      </c>
      <c r="BP533" t="s">
        <v>74</v>
      </c>
      <c r="BQ533" t="s">
        <v>74</v>
      </c>
      <c r="BR533" t="s">
        <v>104</v>
      </c>
      <c r="BS533" t="s">
        <v>10152</v>
      </c>
      <c r="BT533" t="str">
        <f>HYPERLINK("https%3A%2F%2Fwww.webofscience.com%2Fwos%2Fwoscc%2Ffull-record%2FWOS:000348319500048","View Full Record in Web of Science")</f>
        <v>View Full Record in Web of Science</v>
      </c>
    </row>
    <row r="534" spans="1:72" x14ac:dyDescent="0.15">
      <c r="A534" t="s">
        <v>8774</v>
      </c>
      <c r="B534" t="s">
        <v>10153</v>
      </c>
      <c r="C534" t="s">
        <v>74</v>
      </c>
      <c r="D534" t="s">
        <v>10124</v>
      </c>
      <c r="E534" t="s">
        <v>74</v>
      </c>
      <c r="F534" t="s">
        <v>10154</v>
      </c>
      <c r="G534" t="s">
        <v>74</v>
      </c>
      <c r="H534" t="s">
        <v>74</v>
      </c>
      <c r="I534" t="s">
        <v>10155</v>
      </c>
      <c r="J534" t="s">
        <v>10127</v>
      </c>
      <c r="K534" t="s">
        <v>9049</v>
      </c>
      <c r="L534" t="s">
        <v>74</v>
      </c>
      <c r="M534" t="s">
        <v>78</v>
      </c>
      <c r="N534" t="s">
        <v>8781</v>
      </c>
      <c r="O534" t="s">
        <v>10128</v>
      </c>
      <c r="P534" t="s">
        <v>10129</v>
      </c>
      <c r="Q534" t="s">
        <v>10130</v>
      </c>
      <c r="R534" t="s">
        <v>74</v>
      </c>
      <c r="S534" t="s">
        <v>74</v>
      </c>
      <c r="T534" t="s">
        <v>10156</v>
      </c>
      <c r="U534" t="s">
        <v>10157</v>
      </c>
      <c r="V534" t="s">
        <v>10158</v>
      </c>
      <c r="W534" t="s">
        <v>10159</v>
      </c>
      <c r="X534" t="s">
        <v>9949</v>
      </c>
      <c r="Y534" t="s">
        <v>10160</v>
      </c>
      <c r="Z534" t="s">
        <v>74</v>
      </c>
      <c r="AA534" t="s">
        <v>74</v>
      </c>
      <c r="AB534" t="s">
        <v>74</v>
      </c>
      <c r="AC534" t="s">
        <v>74</v>
      </c>
      <c r="AD534" t="s">
        <v>74</v>
      </c>
      <c r="AE534" t="s">
        <v>74</v>
      </c>
      <c r="AF534" t="s">
        <v>74</v>
      </c>
      <c r="AG534">
        <v>14</v>
      </c>
      <c r="AH534">
        <v>2</v>
      </c>
      <c r="AI534">
        <v>2</v>
      </c>
      <c r="AJ534">
        <v>2</v>
      </c>
      <c r="AK534">
        <v>6</v>
      </c>
      <c r="AL534" t="s">
        <v>9059</v>
      </c>
      <c r="AM534" t="s">
        <v>8092</v>
      </c>
      <c r="AN534" t="s">
        <v>9060</v>
      </c>
      <c r="AO534" t="s">
        <v>9061</v>
      </c>
      <c r="AP534" t="s">
        <v>9385</v>
      </c>
      <c r="AQ534" t="s">
        <v>10138</v>
      </c>
      <c r="AR534" t="s">
        <v>9063</v>
      </c>
      <c r="AS534" t="s">
        <v>74</v>
      </c>
      <c r="AT534" t="s">
        <v>74</v>
      </c>
      <c r="AU534">
        <v>2014</v>
      </c>
      <c r="AV534">
        <v>9218</v>
      </c>
      <c r="AW534" t="s">
        <v>74</v>
      </c>
      <c r="AX534" t="s">
        <v>74</v>
      </c>
      <c r="AY534" t="s">
        <v>74</v>
      </c>
      <c r="AZ534" t="s">
        <v>74</v>
      </c>
      <c r="BA534" t="s">
        <v>74</v>
      </c>
      <c r="BB534" t="s">
        <v>74</v>
      </c>
      <c r="BC534" t="s">
        <v>74</v>
      </c>
      <c r="BD534" t="s">
        <v>10161</v>
      </c>
      <c r="BE534" t="s">
        <v>10162</v>
      </c>
      <c r="BF534" t="str">
        <f>HYPERLINK("http://dx.doi.org/10.1117/12.2061117","http://dx.doi.org/10.1117/12.2061117")</f>
        <v>http://dx.doi.org/10.1117/12.2061117</v>
      </c>
      <c r="BG534" t="s">
        <v>74</v>
      </c>
      <c r="BH534" t="s">
        <v>74</v>
      </c>
      <c r="BI534">
        <v>13</v>
      </c>
      <c r="BJ534" t="s">
        <v>9940</v>
      </c>
      <c r="BK534" t="s">
        <v>8799</v>
      </c>
      <c r="BL534" t="s">
        <v>9940</v>
      </c>
      <c r="BM534" t="s">
        <v>10141</v>
      </c>
      <c r="BN534" t="s">
        <v>74</v>
      </c>
      <c r="BO534" t="s">
        <v>74</v>
      </c>
      <c r="BP534" t="s">
        <v>74</v>
      </c>
      <c r="BQ534" t="s">
        <v>74</v>
      </c>
      <c r="BR534" t="s">
        <v>104</v>
      </c>
      <c r="BS534" t="s">
        <v>10163</v>
      </c>
      <c r="BT534" t="str">
        <f>HYPERLINK("https%3A%2F%2Fwww.webofscience.com%2Fwos%2Fwoscc%2Ffull-record%2FWOS:000348319500025","View Full Record in Web of Science")</f>
        <v>View Full Record in Web of Science</v>
      </c>
    </row>
    <row r="535" spans="1:72" x14ac:dyDescent="0.15">
      <c r="A535" t="s">
        <v>8774</v>
      </c>
      <c r="B535" t="s">
        <v>10164</v>
      </c>
      <c r="C535" t="s">
        <v>74</v>
      </c>
      <c r="D535" t="s">
        <v>10165</v>
      </c>
      <c r="E535" t="s">
        <v>74</v>
      </c>
      <c r="F535" t="s">
        <v>10166</v>
      </c>
      <c r="G535" t="s">
        <v>74</v>
      </c>
      <c r="H535" t="s">
        <v>74</v>
      </c>
      <c r="I535" t="s">
        <v>10167</v>
      </c>
      <c r="J535" t="s">
        <v>10168</v>
      </c>
      <c r="K535" t="s">
        <v>9049</v>
      </c>
      <c r="L535" t="s">
        <v>74</v>
      </c>
      <c r="M535" t="s">
        <v>78</v>
      </c>
      <c r="N535" t="s">
        <v>8781</v>
      </c>
      <c r="O535" t="s">
        <v>10169</v>
      </c>
      <c r="P535" t="s">
        <v>10170</v>
      </c>
      <c r="Q535" t="s">
        <v>9052</v>
      </c>
      <c r="R535" t="s">
        <v>74</v>
      </c>
      <c r="S535" t="s">
        <v>74</v>
      </c>
      <c r="T535" t="s">
        <v>10171</v>
      </c>
      <c r="U535" t="s">
        <v>10172</v>
      </c>
      <c r="V535" t="s">
        <v>10173</v>
      </c>
      <c r="W535" t="s">
        <v>10174</v>
      </c>
      <c r="X535" t="s">
        <v>10175</v>
      </c>
      <c r="Y535" t="s">
        <v>10176</v>
      </c>
      <c r="Z535" t="s">
        <v>74</v>
      </c>
      <c r="AA535" t="s">
        <v>10177</v>
      </c>
      <c r="AB535" t="s">
        <v>10178</v>
      </c>
      <c r="AC535" t="s">
        <v>74</v>
      </c>
      <c r="AD535" t="s">
        <v>74</v>
      </c>
      <c r="AE535" t="s">
        <v>74</v>
      </c>
      <c r="AF535" t="s">
        <v>74</v>
      </c>
      <c r="AG535">
        <v>21</v>
      </c>
      <c r="AH535">
        <v>3</v>
      </c>
      <c r="AI535">
        <v>3</v>
      </c>
      <c r="AJ535">
        <v>0</v>
      </c>
      <c r="AK535">
        <v>7</v>
      </c>
      <c r="AL535" t="s">
        <v>9059</v>
      </c>
      <c r="AM535" t="s">
        <v>8092</v>
      </c>
      <c r="AN535" t="s">
        <v>9060</v>
      </c>
      <c r="AO535" t="s">
        <v>9061</v>
      </c>
      <c r="AP535" t="s">
        <v>9385</v>
      </c>
      <c r="AQ535" t="s">
        <v>10179</v>
      </c>
      <c r="AR535" t="s">
        <v>9063</v>
      </c>
      <c r="AS535" t="s">
        <v>74</v>
      </c>
      <c r="AT535" t="s">
        <v>74</v>
      </c>
      <c r="AU535">
        <v>2014</v>
      </c>
      <c r="AV535">
        <v>9246</v>
      </c>
      <c r="AW535" t="s">
        <v>74</v>
      </c>
      <c r="AX535" t="s">
        <v>74</v>
      </c>
      <c r="AY535" t="s">
        <v>74</v>
      </c>
      <c r="AZ535" t="s">
        <v>74</v>
      </c>
      <c r="BA535" t="s">
        <v>74</v>
      </c>
      <c r="BB535" t="s">
        <v>74</v>
      </c>
      <c r="BC535" t="s">
        <v>74</v>
      </c>
      <c r="BD535" t="s">
        <v>10180</v>
      </c>
      <c r="BE535" t="s">
        <v>10181</v>
      </c>
      <c r="BF535" t="str">
        <f>HYPERLINK("http://dx.doi.org/10.1117/12.2068201","http://dx.doi.org/10.1117/12.2068201")</f>
        <v>http://dx.doi.org/10.1117/12.2068201</v>
      </c>
      <c r="BG535" t="s">
        <v>74</v>
      </c>
      <c r="BH535" t="s">
        <v>74</v>
      </c>
      <c r="BI535">
        <v>5</v>
      </c>
      <c r="BJ535" t="s">
        <v>9940</v>
      </c>
      <c r="BK535" t="s">
        <v>8799</v>
      </c>
      <c r="BL535" t="s">
        <v>9940</v>
      </c>
      <c r="BM535" t="s">
        <v>10182</v>
      </c>
      <c r="BN535" t="s">
        <v>74</v>
      </c>
      <c r="BO535" t="s">
        <v>74</v>
      </c>
      <c r="BP535" t="s">
        <v>74</v>
      </c>
      <c r="BQ535" t="s">
        <v>74</v>
      </c>
      <c r="BR535" t="s">
        <v>104</v>
      </c>
      <c r="BS535" t="s">
        <v>10183</v>
      </c>
      <c r="BT535" t="str">
        <f>HYPERLINK("https%3A%2F%2Fwww.webofscience.com%2Fwos%2Fwoscc%2Ffull-record%2FWOS:000348314400014","View Full Record in Web of Science")</f>
        <v>View Full Record in Web of Science</v>
      </c>
    </row>
    <row r="536" spans="1:72" x14ac:dyDescent="0.15">
      <c r="A536" t="s">
        <v>8774</v>
      </c>
      <c r="B536" t="s">
        <v>10184</v>
      </c>
      <c r="C536" t="s">
        <v>74</v>
      </c>
      <c r="D536" t="s">
        <v>10165</v>
      </c>
      <c r="E536" t="s">
        <v>74</v>
      </c>
      <c r="F536" t="s">
        <v>10185</v>
      </c>
      <c r="G536" t="s">
        <v>74</v>
      </c>
      <c r="H536" t="s">
        <v>74</v>
      </c>
      <c r="I536" t="s">
        <v>10186</v>
      </c>
      <c r="J536" t="s">
        <v>10168</v>
      </c>
      <c r="K536" t="s">
        <v>9049</v>
      </c>
      <c r="L536" t="s">
        <v>74</v>
      </c>
      <c r="M536" t="s">
        <v>78</v>
      </c>
      <c r="N536" t="s">
        <v>8781</v>
      </c>
      <c r="O536" t="s">
        <v>10169</v>
      </c>
      <c r="P536" t="s">
        <v>10170</v>
      </c>
      <c r="Q536" t="s">
        <v>9052</v>
      </c>
      <c r="R536" t="s">
        <v>74</v>
      </c>
      <c r="S536" t="s">
        <v>74</v>
      </c>
      <c r="T536" t="s">
        <v>10187</v>
      </c>
      <c r="U536" t="s">
        <v>10188</v>
      </c>
      <c r="V536" t="s">
        <v>10189</v>
      </c>
      <c r="W536" t="s">
        <v>10190</v>
      </c>
      <c r="X536" t="s">
        <v>10191</v>
      </c>
      <c r="Y536" t="s">
        <v>10192</v>
      </c>
      <c r="Z536" t="s">
        <v>74</v>
      </c>
      <c r="AA536" t="s">
        <v>74</v>
      </c>
      <c r="AB536" t="s">
        <v>74</v>
      </c>
      <c r="AC536" t="s">
        <v>74</v>
      </c>
      <c r="AD536" t="s">
        <v>74</v>
      </c>
      <c r="AE536" t="s">
        <v>74</v>
      </c>
      <c r="AF536" t="s">
        <v>74</v>
      </c>
      <c r="AG536">
        <v>10</v>
      </c>
      <c r="AH536">
        <v>1</v>
      </c>
      <c r="AI536">
        <v>1</v>
      </c>
      <c r="AJ536">
        <v>0</v>
      </c>
      <c r="AK536">
        <v>8</v>
      </c>
      <c r="AL536" t="s">
        <v>9059</v>
      </c>
      <c r="AM536" t="s">
        <v>8092</v>
      </c>
      <c r="AN536" t="s">
        <v>9060</v>
      </c>
      <c r="AO536" t="s">
        <v>9061</v>
      </c>
      <c r="AP536" t="s">
        <v>9385</v>
      </c>
      <c r="AQ536" t="s">
        <v>10179</v>
      </c>
      <c r="AR536" t="s">
        <v>9063</v>
      </c>
      <c r="AS536" t="s">
        <v>74</v>
      </c>
      <c r="AT536" t="s">
        <v>74</v>
      </c>
      <c r="AU536">
        <v>2014</v>
      </c>
      <c r="AV536">
        <v>9246</v>
      </c>
      <c r="AW536" t="s">
        <v>74</v>
      </c>
      <c r="AX536" t="s">
        <v>74</v>
      </c>
      <c r="AY536" t="s">
        <v>74</v>
      </c>
      <c r="AZ536" t="s">
        <v>74</v>
      </c>
      <c r="BA536" t="s">
        <v>74</v>
      </c>
      <c r="BB536" t="s">
        <v>74</v>
      </c>
      <c r="BC536" t="s">
        <v>74</v>
      </c>
      <c r="BD536" t="s">
        <v>10193</v>
      </c>
      <c r="BE536" t="s">
        <v>10194</v>
      </c>
      <c r="BF536" t="str">
        <f>HYPERLINK("http://dx.doi.org/10.1117/12.2068236","http://dx.doi.org/10.1117/12.2068236")</f>
        <v>http://dx.doi.org/10.1117/12.2068236</v>
      </c>
      <c r="BG536" t="s">
        <v>74</v>
      </c>
      <c r="BH536" t="s">
        <v>74</v>
      </c>
      <c r="BI536">
        <v>10</v>
      </c>
      <c r="BJ536" t="s">
        <v>9940</v>
      </c>
      <c r="BK536" t="s">
        <v>8799</v>
      </c>
      <c r="BL536" t="s">
        <v>9940</v>
      </c>
      <c r="BM536" t="s">
        <v>10182</v>
      </c>
      <c r="BN536" t="s">
        <v>74</v>
      </c>
      <c r="BO536" t="s">
        <v>74</v>
      </c>
      <c r="BP536" t="s">
        <v>74</v>
      </c>
      <c r="BQ536" t="s">
        <v>74</v>
      </c>
      <c r="BR536" t="s">
        <v>104</v>
      </c>
      <c r="BS536" t="s">
        <v>10195</v>
      </c>
      <c r="BT536" t="str">
        <f>HYPERLINK("https%3A%2F%2Fwww.webofscience.com%2Fwos%2Fwoscc%2Ffull-record%2FWOS:000348314400007","View Full Record in Web of Science")</f>
        <v>View Full Record in Web of Science</v>
      </c>
    </row>
    <row r="537" spans="1:72" x14ac:dyDescent="0.15">
      <c r="A537" t="s">
        <v>72</v>
      </c>
      <c r="B537" t="s">
        <v>10196</v>
      </c>
      <c r="C537" t="s">
        <v>74</v>
      </c>
      <c r="D537" t="s">
        <v>74</v>
      </c>
      <c r="E537" t="s">
        <v>74</v>
      </c>
      <c r="F537" t="s">
        <v>10197</v>
      </c>
      <c r="G537" t="s">
        <v>74</v>
      </c>
      <c r="H537" t="s">
        <v>74</v>
      </c>
      <c r="I537" t="s">
        <v>10198</v>
      </c>
      <c r="J537" t="s">
        <v>10199</v>
      </c>
      <c r="K537" t="s">
        <v>74</v>
      </c>
      <c r="L537" t="s">
        <v>74</v>
      </c>
      <c r="M537" t="s">
        <v>1424</v>
      </c>
      <c r="N537" t="s">
        <v>79</v>
      </c>
      <c r="O537" t="s">
        <v>74</v>
      </c>
      <c r="P537" t="s">
        <v>74</v>
      </c>
      <c r="Q537" t="s">
        <v>74</v>
      </c>
      <c r="R537" t="s">
        <v>74</v>
      </c>
      <c r="S537" t="s">
        <v>74</v>
      </c>
      <c r="T537" t="s">
        <v>10200</v>
      </c>
      <c r="U537" t="s">
        <v>74</v>
      </c>
      <c r="V537" t="s">
        <v>10201</v>
      </c>
      <c r="W537" t="s">
        <v>10202</v>
      </c>
      <c r="X537" t="s">
        <v>10203</v>
      </c>
      <c r="Y537" t="s">
        <v>10204</v>
      </c>
      <c r="Z537" t="s">
        <v>10205</v>
      </c>
      <c r="AA537" t="s">
        <v>74</v>
      </c>
      <c r="AB537" t="s">
        <v>74</v>
      </c>
      <c r="AC537" t="s">
        <v>74</v>
      </c>
      <c r="AD537" t="s">
        <v>74</v>
      </c>
      <c r="AE537" t="s">
        <v>74</v>
      </c>
      <c r="AF537" t="s">
        <v>74</v>
      </c>
      <c r="AG537">
        <v>82</v>
      </c>
      <c r="AH537">
        <v>1</v>
      </c>
      <c r="AI537">
        <v>1</v>
      </c>
      <c r="AJ537">
        <v>2</v>
      </c>
      <c r="AK537">
        <v>2</v>
      </c>
      <c r="AL537" t="s">
        <v>10206</v>
      </c>
      <c r="AM537" t="s">
        <v>10207</v>
      </c>
      <c r="AN537" t="s">
        <v>10208</v>
      </c>
      <c r="AO537" t="s">
        <v>10209</v>
      </c>
      <c r="AP537" t="s">
        <v>74</v>
      </c>
      <c r="AQ537" t="s">
        <v>74</v>
      </c>
      <c r="AR537" t="s">
        <v>10199</v>
      </c>
      <c r="AS537" t="s">
        <v>10210</v>
      </c>
      <c r="AT537" t="s">
        <v>74</v>
      </c>
      <c r="AU537">
        <v>2014</v>
      </c>
      <c r="AV537">
        <v>42</v>
      </c>
      <c r="AW537">
        <v>2</v>
      </c>
      <c r="AX537" t="s">
        <v>74</v>
      </c>
      <c r="AY537" t="s">
        <v>74</v>
      </c>
      <c r="AZ537" t="s">
        <v>74</v>
      </c>
      <c r="BA537" t="s">
        <v>74</v>
      </c>
      <c r="BB537">
        <v>61</v>
      </c>
      <c r="BC537">
        <v>79</v>
      </c>
      <c r="BD537" t="s">
        <v>74</v>
      </c>
      <c r="BE537" t="s">
        <v>10211</v>
      </c>
      <c r="BF537" t="str">
        <f>HYPERLINK("http://dx.doi.org/10.4067/S0718-22442014000200004","http://dx.doi.org/10.4067/S0718-22442014000200004")</f>
        <v>http://dx.doi.org/10.4067/S0718-22442014000200004</v>
      </c>
      <c r="BG537" t="s">
        <v>74</v>
      </c>
      <c r="BH537" t="s">
        <v>74</v>
      </c>
      <c r="BI537">
        <v>19</v>
      </c>
      <c r="BJ537" t="s">
        <v>10212</v>
      </c>
      <c r="BK537" t="s">
        <v>8725</v>
      </c>
      <c r="BL537" t="s">
        <v>10212</v>
      </c>
      <c r="BM537" t="s">
        <v>10213</v>
      </c>
      <c r="BN537" t="s">
        <v>74</v>
      </c>
      <c r="BO537" t="s">
        <v>6156</v>
      </c>
      <c r="BP537" t="s">
        <v>74</v>
      </c>
      <c r="BQ537" t="s">
        <v>74</v>
      </c>
      <c r="BR537" t="s">
        <v>104</v>
      </c>
      <c r="BS537" t="s">
        <v>10214</v>
      </c>
      <c r="BT537" t="str">
        <f>HYPERLINK("https%3A%2F%2Fwww.webofscience.com%2Fwos%2Fwoscc%2Ffull-record%2FWOS:000348347200004","View Full Record in Web of Science")</f>
        <v>View Full Record in Web of Science</v>
      </c>
    </row>
    <row r="538" spans="1:72" x14ac:dyDescent="0.15">
      <c r="A538" t="s">
        <v>72</v>
      </c>
      <c r="B538" t="s">
        <v>10215</v>
      </c>
      <c r="C538" t="s">
        <v>74</v>
      </c>
      <c r="D538" t="s">
        <v>74</v>
      </c>
      <c r="E538" t="s">
        <v>74</v>
      </c>
      <c r="F538" t="s">
        <v>10216</v>
      </c>
      <c r="G538" t="s">
        <v>74</v>
      </c>
      <c r="H538" t="s">
        <v>74</v>
      </c>
      <c r="I538" t="s">
        <v>10217</v>
      </c>
      <c r="J538" t="s">
        <v>10218</v>
      </c>
      <c r="K538" t="s">
        <v>74</v>
      </c>
      <c r="L538" t="s">
        <v>74</v>
      </c>
      <c r="M538" t="s">
        <v>78</v>
      </c>
      <c r="N538" t="s">
        <v>79</v>
      </c>
      <c r="O538" t="s">
        <v>74</v>
      </c>
      <c r="P538" t="s">
        <v>74</v>
      </c>
      <c r="Q538" t="s">
        <v>74</v>
      </c>
      <c r="R538" t="s">
        <v>74</v>
      </c>
      <c r="S538" t="s">
        <v>74</v>
      </c>
      <c r="T538" t="s">
        <v>10219</v>
      </c>
      <c r="U538" t="s">
        <v>10220</v>
      </c>
      <c r="V538" t="s">
        <v>10221</v>
      </c>
      <c r="W538" t="s">
        <v>10222</v>
      </c>
      <c r="X538" t="s">
        <v>2706</v>
      </c>
      <c r="Y538" t="s">
        <v>10223</v>
      </c>
      <c r="Z538" t="s">
        <v>10224</v>
      </c>
      <c r="AA538" t="s">
        <v>10225</v>
      </c>
      <c r="AB538" t="s">
        <v>2709</v>
      </c>
      <c r="AC538" t="s">
        <v>10226</v>
      </c>
      <c r="AD538" t="s">
        <v>10226</v>
      </c>
      <c r="AE538" t="s">
        <v>10227</v>
      </c>
      <c r="AF538" t="s">
        <v>74</v>
      </c>
      <c r="AG538">
        <v>32</v>
      </c>
      <c r="AH538">
        <v>8</v>
      </c>
      <c r="AI538">
        <v>9</v>
      </c>
      <c r="AJ538">
        <v>0</v>
      </c>
      <c r="AK538">
        <v>2</v>
      </c>
      <c r="AL538" t="s">
        <v>10228</v>
      </c>
      <c r="AM538" t="s">
        <v>10229</v>
      </c>
      <c r="AN538" t="s">
        <v>10230</v>
      </c>
      <c r="AO538" t="s">
        <v>10231</v>
      </c>
      <c r="AP538" t="s">
        <v>10232</v>
      </c>
      <c r="AQ538" t="s">
        <v>74</v>
      </c>
      <c r="AR538" t="s">
        <v>10218</v>
      </c>
      <c r="AS538" t="s">
        <v>10233</v>
      </c>
      <c r="AT538" t="s">
        <v>74</v>
      </c>
      <c r="AU538">
        <v>2014</v>
      </c>
      <c r="AV538">
        <v>60</v>
      </c>
      <c r="AW538">
        <v>5</v>
      </c>
      <c r="AX538" t="s">
        <v>74</v>
      </c>
      <c r="AY538" t="s">
        <v>74</v>
      </c>
      <c r="AZ538" t="s">
        <v>74</v>
      </c>
      <c r="BA538" t="s">
        <v>74</v>
      </c>
      <c r="BB538">
        <v>475</v>
      </c>
      <c r="BC538">
        <v>481</v>
      </c>
      <c r="BD538" t="s">
        <v>74</v>
      </c>
      <c r="BE538" t="s">
        <v>74</v>
      </c>
      <c r="BF538" t="s">
        <v>74</v>
      </c>
      <c r="BG538" t="s">
        <v>74</v>
      </c>
      <c r="BH538" t="s">
        <v>74</v>
      </c>
      <c r="BI538">
        <v>7</v>
      </c>
      <c r="BJ538" t="s">
        <v>2715</v>
      </c>
      <c r="BK538" t="s">
        <v>101</v>
      </c>
      <c r="BL538" t="s">
        <v>2715</v>
      </c>
      <c r="BM538" t="s">
        <v>10234</v>
      </c>
      <c r="BN538" t="s">
        <v>74</v>
      </c>
      <c r="BO538" t="s">
        <v>74</v>
      </c>
      <c r="BP538" t="s">
        <v>74</v>
      </c>
      <c r="BQ538" t="s">
        <v>74</v>
      </c>
      <c r="BR538" t="s">
        <v>104</v>
      </c>
      <c r="BS538" t="s">
        <v>10235</v>
      </c>
      <c r="BT538" t="str">
        <f>HYPERLINK("https%3A%2F%2Fwww.webofscience.com%2Fwos%2Fwoscc%2Ffull-record%2FWOS:000348650800004","View Full Record in Web of Science")</f>
        <v>View Full Record in Web of Science</v>
      </c>
    </row>
    <row r="539" spans="1:72" x14ac:dyDescent="0.15">
      <c r="A539" t="s">
        <v>8774</v>
      </c>
      <c r="B539" t="s">
        <v>10236</v>
      </c>
      <c r="C539" t="s">
        <v>74</v>
      </c>
      <c r="D539" t="s">
        <v>10237</v>
      </c>
      <c r="E539" t="s">
        <v>74</v>
      </c>
      <c r="F539" t="s">
        <v>10238</v>
      </c>
      <c r="G539" t="s">
        <v>74</v>
      </c>
      <c r="H539" t="s">
        <v>74</v>
      </c>
      <c r="I539" t="s">
        <v>10239</v>
      </c>
      <c r="J539" t="s">
        <v>10240</v>
      </c>
      <c r="K539" t="s">
        <v>9049</v>
      </c>
      <c r="L539" t="s">
        <v>74</v>
      </c>
      <c r="M539" t="s">
        <v>78</v>
      </c>
      <c r="N539" t="s">
        <v>8781</v>
      </c>
      <c r="O539" t="s">
        <v>10241</v>
      </c>
      <c r="P539" t="s">
        <v>9051</v>
      </c>
      <c r="Q539" t="s">
        <v>9052</v>
      </c>
      <c r="R539" t="s">
        <v>74</v>
      </c>
      <c r="S539" t="s">
        <v>74</v>
      </c>
      <c r="T539" t="s">
        <v>10242</v>
      </c>
      <c r="U539" t="s">
        <v>10243</v>
      </c>
      <c r="V539" t="s">
        <v>10244</v>
      </c>
      <c r="W539" t="s">
        <v>10245</v>
      </c>
      <c r="X539" t="s">
        <v>10246</v>
      </c>
      <c r="Y539" t="s">
        <v>10247</v>
      </c>
      <c r="Z539" t="s">
        <v>10248</v>
      </c>
      <c r="AA539" t="s">
        <v>10249</v>
      </c>
      <c r="AB539" t="s">
        <v>10250</v>
      </c>
      <c r="AC539" t="s">
        <v>10251</v>
      </c>
      <c r="AD539" t="s">
        <v>10252</v>
      </c>
      <c r="AE539" t="s">
        <v>10253</v>
      </c>
      <c r="AF539" t="s">
        <v>74</v>
      </c>
      <c r="AG539">
        <v>12</v>
      </c>
      <c r="AH539">
        <v>0</v>
      </c>
      <c r="AI539">
        <v>0</v>
      </c>
      <c r="AJ539">
        <v>0</v>
      </c>
      <c r="AK539">
        <v>6</v>
      </c>
      <c r="AL539" t="s">
        <v>9059</v>
      </c>
      <c r="AM539" t="s">
        <v>8092</v>
      </c>
      <c r="AN539" t="s">
        <v>9060</v>
      </c>
      <c r="AO539" t="s">
        <v>9061</v>
      </c>
      <c r="AP539" t="s">
        <v>9385</v>
      </c>
      <c r="AQ539" t="s">
        <v>10254</v>
      </c>
      <c r="AR539" t="s">
        <v>9063</v>
      </c>
      <c r="AS539" t="s">
        <v>74</v>
      </c>
      <c r="AT539" t="s">
        <v>74</v>
      </c>
      <c r="AU539">
        <v>2014</v>
      </c>
      <c r="AV539">
        <v>9242</v>
      </c>
      <c r="AW539" t="s">
        <v>74</v>
      </c>
      <c r="AX539" t="s">
        <v>74</v>
      </c>
      <c r="AY539" t="s">
        <v>74</v>
      </c>
      <c r="AZ539" t="s">
        <v>74</v>
      </c>
      <c r="BA539" t="s">
        <v>74</v>
      </c>
      <c r="BB539" t="s">
        <v>74</v>
      </c>
      <c r="BC539" t="s">
        <v>74</v>
      </c>
      <c r="BD539">
        <v>924203</v>
      </c>
      <c r="BE539" t="s">
        <v>10255</v>
      </c>
      <c r="BF539" t="str">
        <f>HYPERLINK("http://dx.doi.org/10.1117/12.2067306","http://dx.doi.org/10.1117/12.2067306")</f>
        <v>http://dx.doi.org/10.1117/12.2067306</v>
      </c>
      <c r="BG539" t="s">
        <v>74</v>
      </c>
      <c r="BH539" t="s">
        <v>74</v>
      </c>
      <c r="BI539">
        <v>10</v>
      </c>
      <c r="BJ539" t="s">
        <v>9940</v>
      </c>
      <c r="BK539" t="s">
        <v>8799</v>
      </c>
      <c r="BL539" t="s">
        <v>9940</v>
      </c>
      <c r="BM539" t="s">
        <v>10256</v>
      </c>
      <c r="BN539" t="s">
        <v>74</v>
      </c>
      <c r="BO539" t="s">
        <v>74</v>
      </c>
      <c r="BP539" t="s">
        <v>74</v>
      </c>
      <c r="BQ539" t="s">
        <v>74</v>
      </c>
      <c r="BR539" t="s">
        <v>104</v>
      </c>
      <c r="BS539" t="s">
        <v>10257</v>
      </c>
      <c r="BT539" t="str">
        <f>HYPERLINK("https%3A%2F%2Fwww.webofscience.com%2Fwos%2Fwoscc%2Ffull-record%2FWOS:000348316100003","View Full Record in Web of Science")</f>
        <v>View Full Record in Web of Science</v>
      </c>
    </row>
    <row r="540" spans="1:72" x14ac:dyDescent="0.15">
      <c r="A540" t="s">
        <v>8774</v>
      </c>
      <c r="B540" t="s">
        <v>10258</v>
      </c>
      <c r="C540" t="s">
        <v>74</v>
      </c>
      <c r="D540" t="s">
        <v>10259</v>
      </c>
      <c r="E540" t="s">
        <v>74</v>
      </c>
      <c r="F540" t="s">
        <v>10260</v>
      </c>
      <c r="G540" t="s">
        <v>74</v>
      </c>
      <c r="H540" t="s">
        <v>74</v>
      </c>
      <c r="I540" t="s">
        <v>10261</v>
      </c>
      <c r="J540" t="s">
        <v>10262</v>
      </c>
      <c r="K540" t="s">
        <v>9049</v>
      </c>
      <c r="L540" t="s">
        <v>74</v>
      </c>
      <c r="M540" t="s">
        <v>78</v>
      </c>
      <c r="N540" t="s">
        <v>8781</v>
      </c>
      <c r="O540" t="s">
        <v>10263</v>
      </c>
      <c r="P540" t="s">
        <v>10264</v>
      </c>
      <c r="Q540" t="s">
        <v>9052</v>
      </c>
      <c r="R540" t="s">
        <v>74</v>
      </c>
      <c r="S540" t="s">
        <v>74</v>
      </c>
      <c r="T540" t="s">
        <v>10265</v>
      </c>
      <c r="U540" t="s">
        <v>74</v>
      </c>
      <c r="V540" t="s">
        <v>10266</v>
      </c>
      <c r="W540" t="s">
        <v>10267</v>
      </c>
      <c r="X540" t="s">
        <v>10268</v>
      </c>
      <c r="Y540" t="s">
        <v>10269</v>
      </c>
      <c r="Z540" t="s">
        <v>10270</v>
      </c>
      <c r="AA540" t="s">
        <v>10271</v>
      </c>
      <c r="AB540" t="s">
        <v>10272</v>
      </c>
      <c r="AC540" t="s">
        <v>10273</v>
      </c>
      <c r="AD540" t="s">
        <v>10273</v>
      </c>
      <c r="AE540" t="s">
        <v>10274</v>
      </c>
      <c r="AF540" t="s">
        <v>74</v>
      </c>
      <c r="AG540">
        <v>18</v>
      </c>
      <c r="AH540">
        <v>0</v>
      </c>
      <c r="AI540">
        <v>0</v>
      </c>
      <c r="AJ540">
        <v>0</v>
      </c>
      <c r="AK540">
        <v>6</v>
      </c>
      <c r="AL540" t="s">
        <v>9059</v>
      </c>
      <c r="AM540" t="s">
        <v>8092</v>
      </c>
      <c r="AN540" t="s">
        <v>9060</v>
      </c>
      <c r="AO540" t="s">
        <v>9061</v>
      </c>
      <c r="AP540" t="s">
        <v>9385</v>
      </c>
      <c r="AQ540" t="s">
        <v>10275</v>
      </c>
      <c r="AR540" t="s">
        <v>9063</v>
      </c>
      <c r="AS540" t="s">
        <v>74</v>
      </c>
      <c r="AT540" t="s">
        <v>74</v>
      </c>
      <c r="AU540">
        <v>2014</v>
      </c>
      <c r="AV540">
        <v>9240</v>
      </c>
      <c r="AW540" t="s">
        <v>74</v>
      </c>
      <c r="AX540" t="s">
        <v>74</v>
      </c>
      <c r="AY540" t="s">
        <v>74</v>
      </c>
      <c r="AZ540" t="s">
        <v>74</v>
      </c>
      <c r="BA540" t="s">
        <v>74</v>
      </c>
      <c r="BB540" t="s">
        <v>74</v>
      </c>
      <c r="BC540" t="s">
        <v>74</v>
      </c>
      <c r="BD540">
        <v>924003</v>
      </c>
      <c r="BE540" t="s">
        <v>10276</v>
      </c>
      <c r="BF540" t="str">
        <f>HYPERLINK("http://dx.doi.org/10.1117/12.2066489","http://dx.doi.org/10.1117/12.2066489")</f>
        <v>http://dx.doi.org/10.1117/12.2066489</v>
      </c>
      <c r="BG540" t="s">
        <v>74</v>
      </c>
      <c r="BH540" t="s">
        <v>74</v>
      </c>
      <c r="BI540">
        <v>8</v>
      </c>
      <c r="BJ540" t="s">
        <v>9940</v>
      </c>
      <c r="BK540" t="s">
        <v>8799</v>
      </c>
      <c r="BL540" t="s">
        <v>9940</v>
      </c>
      <c r="BM540" t="s">
        <v>10277</v>
      </c>
      <c r="BN540" t="s">
        <v>74</v>
      </c>
      <c r="BO540" t="s">
        <v>74</v>
      </c>
      <c r="BP540" t="s">
        <v>74</v>
      </c>
      <c r="BQ540" t="s">
        <v>74</v>
      </c>
      <c r="BR540" t="s">
        <v>104</v>
      </c>
      <c r="BS540" t="s">
        <v>10278</v>
      </c>
      <c r="BT540" t="str">
        <f>HYPERLINK("https%3A%2F%2Fwww.webofscience.com%2Fwos%2Fwoscc%2Ffull-record%2FWOS:000348196100001","View Full Record in Web of Science")</f>
        <v>View Full Record in Web of Science</v>
      </c>
    </row>
    <row r="541" spans="1:72" x14ac:dyDescent="0.15">
      <c r="A541" t="s">
        <v>72</v>
      </c>
      <c r="B541" t="s">
        <v>10279</v>
      </c>
      <c r="C541" t="s">
        <v>74</v>
      </c>
      <c r="D541" t="s">
        <v>74</v>
      </c>
      <c r="E541" t="s">
        <v>74</v>
      </c>
      <c r="F541" t="s">
        <v>10280</v>
      </c>
      <c r="G541" t="s">
        <v>74</v>
      </c>
      <c r="H541" t="s">
        <v>74</v>
      </c>
      <c r="I541" t="s">
        <v>10281</v>
      </c>
      <c r="J541" t="s">
        <v>10027</v>
      </c>
      <c r="K541" t="s">
        <v>74</v>
      </c>
      <c r="L541" t="s">
        <v>74</v>
      </c>
      <c r="M541" t="s">
        <v>78</v>
      </c>
      <c r="N541" t="s">
        <v>79</v>
      </c>
      <c r="O541" t="s">
        <v>74</v>
      </c>
      <c r="P541" t="s">
        <v>74</v>
      </c>
      <c r="Q541" t="s">
        <v>74</v>
      </c>
      <c r="R541" t="s">
        <v>74</v>
      </c>
      <c r="S541" t="s">
        <v>74</v>
      </c>
      <c r="T541" t="s">
        <v>74</v>
      </c>
      <c r="U541" t="s">
        <v>10282</v>
      </c>
      <c r="V541" t="s">
        <v>74</v>
      </c>
      <c r="W541" t="s">
        <v>10283</v>
      </c>
      <c r="X541" t="s">
        <v>10284</v>
      </c>
      <c r="Y541" t="s">
        <v>10285</v>
      </c>
      <c r="Z541" t="s">
        <v>10286</v>
      </c>
      <c r="AA541" t="s">
        <v>10287</v>
      </c>
      <c r="AB541" t="s">
        <v>74</v>
      </c>
      <c r="AC541" t="s">
        <v>10288</v>
      </c>
      <c r="AD541" t="s">
        <v>10289</v>
      </c>
      <c r="AE541" t="s">
        <v>10290</v>
      </c>
      <c r="AF541" t="s">
        <v>74</v>
      </c>
      <c r="AG541">
        <v>25</v>
      </c>
      <c r="AH541">
        <v>2</v>
      </c>
      <c r="AI541">
        <v>2</v>
      </c>
      <c r="AJ541">
        <v>2</v>
      </c>
      <c r="AK541">
        <v>4</v>
      </c>
      <c r="AL541" t="s">
        <v>10040</v>
      </c>
      <c r="AM541" t="s">
        <v>10041</v>
      </c>
      <c r="AN541" t="s">
        <v>10042</v>
      </c>
      <c r="AO541" t="s">
        <v>10043</v>
      </c>
      <c r="AP541" t="s">
        <v>74</v>
      </c>
      <c r="AQ541" t="s">
        <v>74</v>
      </c>
      <c r="AR541" t="s">
        <v>10044</v>
      </c>
      <c r="AS541" t="s">
        <v>10045</v>
      </c>
      <c r="AT541" t="s">
        <v>74</v>
      </c>
      <c r="AU541">
        <v>2014</v>
      </c>
      <c r="AV541">
        <v>40</v>
      </c>
      <c r="AW541">
        <v>2</v>
      </c>
      <c r="AX541" t="s">
        <v>74</v>
      </c>
      <c r="AY541" t="s">
        <v>74</v>
      </c>
      <c r="AZ541" t="s">
        <v>74</v>
      </c>
      <c r="BA541" t="s">
        <v>74</v>
      </c>
      <c r="BB541">
        <v>201</v>
      </c>
      <c r="BC541">
        <v>206</v>
      </c>
      <c r="BD541" t="s">
        <v>74</v>
      </c>
      <c r="BE541" t="s">
        <v>10291</v>
      </c>
      <c r="BF541" t="str">
        <f>HYPERLINK("http://dx.doi.org/10.1578/AM.40.2.2014.201","http://dx.doi.org/10.1578/AM.40.2.2014.201")</f>
        <v>http://dx.doi.org/10.1578/AM.40.2.2014.201</v>
      </c>
      <c r="BG541" t="s">
        <v>74</v>
      </c>
      <c r="BH541" t="s">
        <v>74</v>
      </c>
      <c r="BI541">
        <v>6</v>
      </c>
      <c r="BJ541" t="s">
        <v>10047</v>
      </c>
      <c r="BK541" t="s">
        <v>101</v>
      </c>
      <c r="BL541" t="s">
        <v>10047</v>
      </c>
      <c r="BM541" t="s">
        <v>10292</v>
      </c>
      <c r="BN541" t="s">
        <v>74</v>
      </c>
      <c r="BO541" t="s">
        <v>74</v>
      </c>
      <c r="BP541" t="s">
        <v>74</v>
      </c>
      <c r="BQ541" t="s">
        <v>74</v>
      </c>
      <c r="BR541" t="s">
        <v>104</v>
      </c>
      <c r="BS541" t="s">
        <v>10293</v>
      </c>
      <c r="BT541" t="str">
        <f>HYPERLINK("https%3A%2F%2Fwww.webofscience.com%2Fwos%2Fwoscc%2Ffull-record%2FWOS:000348192700010","View Full Record in Web of Science")</f>
        <v>View Full Record in Web of Science</v>
      </c>
    </row>
    <row r="542" spans="1:72" x14ac:dyDescent="0.15">
      <c r="A542" t="s">
        <v>72</v>
      </c>
      <c r="B542" t="s">
        <v>10294</v>
      </c>
      <c r="C542" t="s">
        <v>74</v>
      </c>
      <c r="D542" t="s">
        <v>74</v>
      </c>
      <c r="E542" t="s">
        <v>74</v>
      </c>
      <c r="F542" t="s">
        <v>10295</v>
      </c>
      <c r="G542" t="s">
        <v>74</v>
      </c>
      <c r="H542" t="s">
        <v>74</v>
      </c>
      <c r="I542" t="s">
        <v>10296</v>
      </c>
      <c r="J542" t="s">
        <v>10297</v>
      </c>
      <c r="K542" t="s">
        <v>74</v>
      </c>
      <c r="L542" t="s">
        <v>74</v>
      </c>
      <c r="M542" t="s">
        <v>78</v>
      </c>
      <c r="N542" t="s">
        <v>79</v>
      </c>
      <c r="O542" t="s">
        <v>74</v>
      </c>
      <c r="P542" t="s">
        <v>74</v>
      </c>
      <c r="Q542" t="s">
        <v>74</v>
      </c>
      <c r="R542" t="s">
        <v>74</v>
      </c>
      <c r="S542" t="s">
        <v>74</v>
      </c>
      <c r="T542" t="s">
        <v>10298</v>
      </c>
      <c r="U542" t="s">
        <v>10299</v>
      </c>
      <c r="V542" t="s">
        <v>10300</v>
      </c>
      <c r="W542" t="s">
        <v>10301</v>
      </c>
      <c r="X542" t="s">
        <v>10302</v>
      </c>
      <c r="Y542" t="s">
        <v>10303</v>
      </c>
      <c r="Z542" t="s">
        <v>10304</v>
      </c>
      <c r="AA542" t="s">
        <v>10305</v>
      </c>
      <c r="AB542" t="s">
        <v>10306</v>
      </c>
      <c r="AC542" t="s">
        <v>10307</v>
      </c>
      <c r="AD542" t="s">
        <v>10308</v>
      </c>
      <c r="AE542" t="s">
        <v>10309</v>
      </c>
      <c r="AF542" t="s">
        <v>74</v>
      </c>
      <c r="AG542">
        <v>99</v>
      </c>
      <c r="AH542">
        <v>5</v>
      </c>
      <c r="AI542">
        <v>5</v>
      </c>
      <c r="AJ542">
        <v>1</v>
      </c>
      <c r="AK542">
        <v>28</v>
      </c>
      <c r="AL542" t="s">
        <v>10310</v>
      </c>
      <c r="AM542" t="s">
        <v>10311</v>
      </c>
      <c r="AN542" t="s">
        <v>10312</v>
      </c>
      <c r="AO542" t="s">
        <v>10313</v>
      </c>
      <c r="AP542" t="s">
        <v>10314</v>
      </c>
      <c r="AQ542" t="s">
        <v>74</v>
      </c>
      <c r="AR542" t="s">
        <v>10315</v>
      </c>
      <c r="AS542" t="s">
        <v>10316</v>
      </c>
      <c r="AT542" t="s">
        <v>74</v>
      </c>
      <c r="AU542">
        <v>2014</v>
      </c>
      <c r="AV542">
        <v>73</v>
      </c>
      <c r="AW542">
        <v>3</v>
      </c>
      <c r="AX542" t="s">
        <v>74</v>
      </c>
      <c r="AY542" t="s">
        <v>74</v>
      </c>
      <c r="AZ542" t="s">
        <v>74</v>
      </c>
      <c r="BA542" t="s">
        <v>74</v>
      </c>
      <c r="BB542">
        <v>195</v>
      </c>
      <c r="BC542">
        <v>210</v>
      </c>
      <c r="BD542" t="s">
        <v>74</v>
      </c>
      <c r="BE542" t="s">
        <v>10317</v>
      </c>
      <c r="BF542" t="str">
        <f>HYPERLINK("http://dx.doi.org/10.3354/ame01717","http://dx.doi.org/10.3354/ame01717")</f>
        <v>http://dx.doi.org/10.3354/ame01717</v>
      </c>
      <c r="BG542" t="s">
        <v>74</v>
      </c>
      <c r="BH542" t="s">
        <v>74</v>
      </c>
      <c r="BI542">
        <v>16</v>
      </c>
      <c r="BJ542" t="s">
        <v>10318</v>
      </c>
      <c r="BK542" t="s">
        <v>101</v>
      </c>
      <c r="BL542" t="s">
        <v>10319</v>
      </c>
      <c r="BM542" t="s">
        <v>10320</v>
      </c>
      <c r="BN542" t="s">
        <v>74</v>
      </c>
      <c r="BO542" t="s">
        <v>200</v>
      </c>
      <c r="BP542" t="s">
        <v>74</v>
      </c>
      <c r="BQ542" t="s">
        <v>74</v>
      </c>
      <c r="BR542" t="s">
        <v>104</v>
      </c>
      <c r="BS542" t="s">
        <v>10321</v>
      </c>
      <c r="BT542" t="str">
        <f>HYPERLINK("https%3A%2F%2Fwww.webofscience.com%2Fwos%2Fwoscc%2Ffull-record%2FWOS:000347763200002","View Full Record in Web of Science")</f>
        <v>View Full Record in Web of Science</v>
      </c>
    </row>
    <row r="543" spans="1:72" x14ac:dyDescent="0.15">
      <c r="A543" t="s">
        <v>72</v>
      </c>
      <c r="B543" t="s">
        <v>10322</v>
      </c>
      <c r="C543" t="s">
        <v>74</v>
      </c>
      <c r="D543" t="s">
        <v>74</v>
      </c>
      <c r="E543" t="s">
        <v>74</v>
      </c>
      <c r="F543" t="s">
        <v>10323</v>
      </c>
      <c r="G543" t="s">
        <v>74</v>
      </c>
      <c r="H543" t="s">
        <v>74</v>
      </c>
      <c r="I543" t="s">
        <v>10324</v>
      </c>
      <c r="J543" t="s">
        <v>10325</v>
      </c>
      <c r="K543" t="s">
        <v>74</v>
      </c>
      <c r="L543" t="s">
        <v>74</v>
      </c>
      <c r="M543" t="s">
        <v>78</v>
      </c>
      <c r="N543" t="s">
        <v>79</v>
      </c>
      <c r="O543" t="s">
        <v>74</v>
      </c>
      <c r="P543" t="s">
        <v>74</v>
      </c>
      <c r="Q543" t="s">
        <v>74</v>
      </c>
      <c r="R543" t="s">
        <v>74</v>
      </c>
      <c r="S543" t="s">
        <v>74</v>
      </c>
      <c r="T543" t="s">
        <v>74</v>
      </c>
      <c r="U543" t="s">
        <v>10326</v>
      </c>
      <c r="V543" t="s">
        <v>10327</v>
      </c>
      <c r="W543" t="s">
        <v>10328</v>
      </c>
      <c r="X543" t="s">
        <v>10329</v>
      </c>
      <c r="Y543" t="s">
        <v>10330</v>
      </c>
      <c r="Z543" t="s">
        <v>10331</v>
      </c>
      <c r="AA543" t="s">
        <v>10332</v>
      </c>
      <c r="AB543" t="s">
        <v>10333</v>
      </c>
      <c r="AC543" t="s">
        <v>10334</v>
      </c>
      <c r="AD543" t="s">
        <v>10334</v>
      </c>
      <c r="AE543" t="s">
        <v>10335</v>
      </c>
      <c r="AF543" t="s">
        <v>74</v>
      </c>
      <c r="AG543">
        <v>55</v>
      </c>
      <c r="AH543">
        <v>18</v>
      </c>
      <c r="AI543">
        <v>18</v>
      </c>
      <c r="AJ543">
        <v>1</v>
      </c>
      <c r="AK543">
        <v>32</v>
      </c>
      <c r="AL543" t="s">
        <v>1463</v>
      </c>
      <c r="AM543" t="s">
        <v>1464</v>
      </c>
      <c r="AN543" t="s">
        <v>1465</v>
      </c>
      <c r="AO543" t="s">
        <v>10336</v>
      </c>
      <c r="AP543" t="s">
        <v>10337</v>
      </c>
      <c r="AQ543" t="s">
        <v>74</v>
      </c>
      <c r="AR543" t="s">
        <v>10338</v>
      </c>
      <c r="AS543" t="s">
        <v>10339</v>
      </c>
      <c r="AT543" t="s">
        <v>74</v>
      </c>
      <c r="AU543">
        <v>2014</v>
      </c>
      <c r="AV543">
        <v>10</v>
      </c>
      <c r="AW543">
        <v>6</v>
      </c>
      <c r="AX543" t="s">
        <v>74</v>
      </c>
      <c r="AY543" t="s">
        <v>74</v>
      </c>
      <c r="AZ543" t="s">
        <v>74</v>
      </c>
      <c r="BA543" t="s">
        <v>74</v>
      </c>
      <c r="BB543">
        <v>1957</v>
      </c>
      <c r="BC543">
        <v>1966</v>
      </c>
      <c r="BD543" t="s">
        <v>74</v>
      </c>
      <c r="BE543" t="s">
        <v>10340</v>
      </c>
      <c r="BF543" t="str">
        <f>HYPERLINK("http://dx.doi.org/10.5194/cp-10-1957-2014","http://dx.doi.org/10.5194/cp-10-1957-2014")</f>
        <v>http://dx.doi.org/10.5194/cp-10-1957-2014</v>
      </c>
      <c r="BG543" t="s">
        <v>74</v>
      </c>
      <c r="BH543" t="s">
        <v>74</v>
      </c>
      <c r="BI543">
        <v>10</v>
      </c>
      <c r="BJ543" t="s">
        <v>9225</v>
      </c>
      <c r="BK543" t="s">
        <v>101</v>
      </c>
      <c r="BL543" t="s">
        <v>9226</v>
      </c>
      <c r="BM543" t="s">
        <v>10341</v>
      </c>
      <c r="BN543" t="s">
        <v>74</v>
      </c>
      <c r="BO543" t="s">
        <v>9228</v>
      </c>
      <c r="BP543" t="s">
        <v>74</v>
      </c>
      <c r="BQ543" t="s">
        <v>74</v>
      </c>
      <c r="BR543" t="s">
        <v>104</v>
      </c>
      <c r="BS543" t="s">
        <v>10342</v>
      </c>
      <c r="BT543" t="str">
        <f>HYPERLINK("https%3A%2F%2Fwww.webofscience.com%2Fwos%2Fwoscc%2Ffull-record%2FWOS:000347569500002","View Full Record in Web of Science")</f>
        <v>View Full Record in Web of Science</v>
      </c>
    </row>
    <row r="544" spans="1:72" x14ac:dyDescent="0.15">
      <c r="A544" t="s">
        <v>72</v>
      </c>
      <c r="B544" t="s">
        <v>10343</v>
      </c>
      <c r="C544" t="s">
        <v>74</v>
      </c>
      <c r="D544" t="s">
        <v>74</v>
      </c>
      <c r="E544" t="s">
        <v>74</v>
      </c>
      <c r="F544" t="s">
        <v>10344</v>
      </c>
      <c r="G544" t="s">
        <v>74</v>
      </c>
      <c r="H544" t="s">
        <v>74</v>
      </c>
      <c r="I544" t="s">
        <v>10345</v>
      </c>
      <c r="J544" t="s">
        <v>10325</v>
      </c>
      <c r="K544" t="s">
        <v>74</v>
      </c>
      <c r="L544" t="s">
        <v>74</v>
      </c>
      <c r="M544" t="s">
        <v>78</v>
      </c>
      <c r="N544" t="s">
        <v>79</v>
      </c>
      <c r="O544" t="s">
        <v>74</v>
      </c>
      <c r="P544" t="s">
        <v>74</v>
      </c>
      <c r="Q544" t="s">
        <v>74</v>
      </c>
      <c r="R544" t="s">
        <v>74</v>
      </c>
      <c r="S544" t="s">
        <v>74</v>
      </c>
      <c r="T544" t="s">
        <v>74</v>
      </c>
      <c r="U544" t="s">
        <v>10346</v>
      </c>
      <c r="V544" t="s">
        <v>10347</v>
      </c>
      <c r="W544" t="s">
        <v>10348</v>
      </c>
      <c r="X544" t="s">
        <v>10349</v>
      </c>
      <c r="Y544" t="s">
        <v>10350</v>
      </c>
      <c r="Z544" t="s">
        <v>10351</v>
      </c>
      <c r="AA544" t="s">
        <v>10352</v>
      </c>
      <c r="AB544" t="s">
        <v>10353</v>
      </c>
      <c r="AC544" t="s">
        <v>10354</v>
      </c>
      <c r="AD544" t="s">
        <v>10355</v>
      </c>
      <c r="AE544" t="s">
        <v>10356</v>
      </c>
      <c r="AF544" t="s">
        <v>74</v>
      </c>
      <c r="AG544">
        <v>132</v>
      </c>
      <c r="AH544">
        <v>41</v>
      </c>
      <c r="AI544">
        <v>44</v>
      </c>
      <c r="AJ544">
        <v>1</v>
      </c>
      <c r="AK544">
        <v>26</v>
      </c>
      <c r="AL544" t="s">
        <v>1463</v>
      </c>
      <c r="AM544" t="s">
        <v>1464</v>
      </c>
      <c r="AN544" t="s">
        <v>1465</v>
      </c>
      <c r="AO544" t="s">
        <v>10336</v>
      </c>
      <c r="AP544" t="s">
        <v>10337</v>
      </c>
      <c r="AQ544" t="s">
        <v>74</v>
      </c>
      <c r="AR544" t="s">
        <v>10338</v>
      </c>
      <c r="AS544" t="s">
        <v>10339</v>
      </c>
      <c r="AT544" t="s">
        <v>74</v>
      </c>
      <c r="AU544">
        <v>2014</v>
      </c>
      <c r="AV544">
        <v>10</v>
      </c>
      <c r="AW544">
        <v>6</v>
      </c>
      <c r="AX544" t="s">
        <v>74</v>
      </c>
      <c r="AY544" t="s">
        <v>74</v>
      </c>
      <c r="AZ544" t="s">
        <v>74</v>
      </c>
      <c r="BA544" t="s">
        <v>74</v>
      </c>
      <c r="BB544">
        <v>2115</v>
      </c>
      <c r="BC544">
        <v>2133</v>
      </c>
      <c r="BD544" t="s">
        <v>74</v>
      </c>
      <c r="BE544" t="s">
        <v>10357</v>
      </c>
      <c r="BF544" t="str">
        <f>HYPERLINK("http://dx.doi.org/10.5194/cp-10-2115-2014","http://dx.doi.org/10.5194/cp-10-2115-2014")</f>
        <v>http://dx.doi.org/10.5194/cp-10-2115-2014</v>
      </c>
      <c r="BG544" t="s">
        <v>74</v>
      </c>
      <c r="BH544" t="s">
        <v>74</v>
      </c>
      <c r="BI544">
        <v>19</v>
      </c>
      <c r="BJ544" t="s">
        <v>9225</v>
      </c>
      <c r="BK544" t="s">
        <v>101</v>
      </c>
      <c r="BL544" t="s">
        <v>9226</v>
      </c>
      <c r="BM544" t="s">
        <v>10341</v>
      </c>
      <c r="BN544" t="s">
        <v>74</v>
      </c>
      <c r="BO544" t="s">
        <v>6156</v>
      </c>
      <c r="BP544" t="s">
        <v>74</v>
      </c>
      <c r="BQ544" t="s">
        <v>74</v>
      </c>
      <c r="BR544" t="s">
        <v>104</v>
      </c>
      <c r="BS544" t="s">
        <v>10358</v>
      </c>
      <c r="BT544" t="str">
        <f>HYPERLINK("https%3A%2F%2Fwww.webofscience.com%2Fwos%2Fwoscc%2Ffull-record%2FWOS:000347569500010","View Full Record in Web of Science")</f>
        <v>View Full Record in Web of Science</v>
      </c>
    </row>
    <row r="545" spans="1:72" x14ac:dyDescent="0.15">
      <c r="A545" t="s">
        <v>72</v>
      </c>
      <c r="B545" t="s">
        <v>10359</v>
      </c>
      <c r="C545" t="s">
        <v>74</v>
      </c>
      <c r="D545" t="s">
        <v>74</v>
      </c>
      <c r="E545" t="s">
        <v>74</v>
      </c>
      <c r="F545" t="s">
        <v>10360</v>
      </c>
      <c r="G545" t="s">
        <v>74</v>
      </c>
      <c r="H545" t="s">
        <v>74</v>
      </c>
      <c r="I545" t="s">
        <v>10361</v>
      </c>
      <c r="J545" t="s">
        <v>10362</v>
      </c>
      <c r="K545" t="s">
        <v>74</v>
      </c>
      <c r="L545" t="s">
        <v>74</v>
      </c>
      <c r="M545" t="s">
        <v>78</v>
      </c>
      <c r="N545" t="s">
        <v>79</v>
      </c>
      <c r="O545" t="s">
        <v>74</v>
      </c>
      <c r="P545" t="s">
        <v>74</v>
      </c>
      <c r="Q545" t="s">
        <v>74</v>
      </c>
      <c r="R545" t="s">
        <v>74</v>
      </c>
      <c r="S545" t="s">
        <v>74</v>
      </c>
      <c r="T545" t="s">
        <v>10363</v>
      </c>
      <c r="U545" t="s">
        <v>10364</v>
      </c>
      <c r="V545" t="s">
        <v>10365</v>
      </c>
      <c r="W545" t="s">
        <v>10366</v>
      </c>
      <c r="X545" t="s">
        <v>10367</v>
      </c>
      <c r="Y545" t="s">
        <v>10368</v>
      </c>
      <c r="Z545" t="s">
        <v>10369</v>
      </c>
      <c r="AA545" t="s">
        <v>74</v>
      </c>
      <c r="AB545" t="s">
        <v>10370</v>
      </c>
      <c r="AC545" t="s">
        <v>10371</v>
      </c>
      <c r="AD545" t="s">
        <v>10372</v>
      </c>
      <c r="AE545" t="s">
        <v>10373</v>
      </c>
      <c r="AF545" t="s">
        <v>74</v>
      </c>
      <c r="AG545">
        <v>42</v>
      </c>
      <c r="AH545">
        <v>16</v>
      </c>
      <c r="AI545">
        <v>18</v>
      </c>
      <c r="AJ545">
        <v>0</v>
      </c>
      <c r="AK545">
        <v>20</v>
      </c>
      <c r="AL545" t="s">
        <v>91</v>
      </c>
      <c r="AM545" t="s">
        <v>1948</v>
      </c>
      <c r="AN545" t="s">
        <v>2519</v>
      </c>
      <c r="AO545" t="s">
        <v>10374</v>
      </c>
      <c r="AP545" t="s">
        <v>10375</v>
      </c>
      <c r="AQ545" t="s">
        <v>74</v>
      </c>
      <c r="AR545" t="s">
        <v>10376</v>
      </c>
      <c r="AS545" t="s">
        <v>10377</v>
      </c>
      <c r="AT545" t="s">
        <v>74</v>
      </c>
      <c r="AU545">
        <v>2014</v>
      </c>
      <c r="AV545">
        <v>60</v>
      </c>
      <c r="AW545">
        <v>224</v>
      </c>
      <c r="AX545" t="s">
        <v>74</v>
      </c>
      <c r="AY545" t="s">
        <v>74</v>
      </c>
      <c r="AZ545" t="s">
        <v>74</v>
      </c>
      <c r="BA545" t="s">
        <v>74</v>
      </c>
      <c r="BB545">
        <v>1053</v>
      </c>
      <c r="BC545">
        <v>1064</v>
      </c>
      <c r="BD545" t="s">
        <v>74</v>
      </c>
      <c r="BE545" t="s">
        <v>10378</v>
      </c>
      <c r="BF545" t="str">
        <f>HYPERLINK("http://dx.doi.org/10.3189/2014JoG14J052","http://dx.doi.org/10.3189/2014JoG14J052")</f>
        <v>http://dx.doi.org/10.3189/2014JoG14J052</v>
      </c>
      <c r="BG545" t="s">
        <v>74</v>
      </c>
      <c r="BH545" t="s">
        <v>74</v>
      </c>
      <c r="BI545">
        <v>12</v>
      </c>
      <c r="BJ545" t="s">
        <v>1415</v>
      </c>
      <c r="BK545" t="s">
        <v>101</v>
      </c>
      <c r="BL545" t="s">
        <v>1416</v>
      </c>
      <c r="BM545" t="s">
        <v>10379</v>
      </c>
      <c r="BN545" t="s">
        <v>74</v>
      </c>
      <c r="BO545" t="s">
        <v>810</v>
      </c>
      <c r="BP545" t="s">
        <v>74</v>
      </c>
      <c r="BQ545" t="s">
        <v>74</v>
      </c>
      <c r="BR545" t="s">
        <v>104</v>
      </c>
      <c r="BS545" t="s">
        <v>10380</v>
      </c>
      <c r="BT545" t="str">
        <f>HYPERLINK("https%3A%2F%2Fwww.webofscience.com%2Fwos%2Fwoscc%2Ffull-record%2FWOS:000348275000003","View Full Record in Web of Science")</f>
        <v>View Full Record in Web of Science</v>
      </c>
    </row>
    <row r="546" spans="1:72" x14ac:dyDescent="0.15">
      <c r="A546" t="s">
        <v>72</v>
      </c>
      <c r="B546" t="s">
        <v>10381</v>
      </c>
      <c r="C546" t="s">
        <v>74</v>
      </c>
      <c r="D546" t="s">
        <v>74</v>
      </c>
      <c r="E546" t="s">
        <v>74</v>
      </c>
      <c r="F546" t="s">
        <v>10382</v>
      </c>
      <c r="G546" t="s">
        <v>74</v>
      </c>
      <c r="H546" t="s">
        <v>74</v>
      </c>
      <c r="I546" t="s">
        <v>10383</v>
      </c>
      <c r="J546" t="s">
        <v>10362</v>
      </c>
      <c r="K546" t="s">
        <v>74</v>
      </c>
      <c r="L546" t="s">
        <v>74</v>
      </c>
      <c r="M546" t="s">
        <v>78</v>
      </c>
      <c r="N546" t="s">
        <v>79</v>
      </c>
      <c r="O546" t="s">
        <v>74</v>
      </c>
      <c r="P546" t="s">
        <v>74</v>
      </c>
      <c r="Q546" t="s">
        <v>74</v>
      </c>
      <c r="R546" t="s">
        <v>74</v>
      </c>
      <c r="S546" t="s">
        <v>74</v>
      </c>
      <c r="T546" t="s">
        <v>10384</v>
      </c>
      <c r="U546" t="s">
        <v>10385</v>
      </c>
      <c r="V546" t="s">
        <v>10386</v>
      </c>
      <c r="W546" t="s">
        <v>10387</v>
      </c>
      <c r="X546" t="s">
        <v>10388</v>
      </c>
      <c r="Y546" t="s">
        <v>10389</v>
      </c>
      <c r="Z546" t="s">
        <v>10390</v>
      </c>
      <c r="AA546" t="s">
        <v>10391</v>
      </c>
      <c r="AB546" t="s">
        <v>10392</v>
      </c>
      <c r="AC546" t="s">
        <v>74</v>
      </c>
      <c r="AD546" t="s">
        <v>74</v>
      </c>
      <c r="AE546" t="s">
        <v>74</v>
      </c>
      <c r="AF546" t="s">
        <v>74</v>
      </c>
      <c r="AG546">
        <v>47</v>
      </c>
      <c r="AH546">
        <v>11</v>
      </c>
      <c r="AI546">
        <v>11</v>
      </c>
      <c r="AJ546">
        <v>0</v>
      </c>
      <c r="AK546">
        <v>13</v>
      </c>
      <c r="AL546" t="s">
        <v>91</v>
      </c>
      <c r="AM546" t="s">
        <v>1948</v>
      </c>
      <c r="AN546" t="s">
        <v>2519</v>
      </c>
      <c r="AO546" t="s">
        <v>10374</v>
      </c>
      <c r="AP546" t="s">
        <v>10375</v>
      </c>
      <c r="AQ546" t="s">
        <v>74</v>
      </c>
      <c r="AR546" t="s">
        <v>10376</v>
      </c>
      <c r="AS546" t="s">
        <v>10377</v>
      </c>
      <c r="AT546" t="s">
        <v>74</v>
      </c>
      <c r="AU546">
        <v>2014</v>
      </c>
      <c r="AV546">
        <v>60</v>
      </c>
      <c r="AW546">
        <v>224</v>
      </c>
      <c r="AX546" t="s">
        <v>74</v>
      </c>
      <c r="AY546" t="s">
        <v>74</v>
      </c>
      <c r="AZ546" t="s">
        <v>74</v>
      </c>
      <c r="BA546" t="s">
        <v>74</v>
      </c>
      <c r="BB546">
        <v>1111</v>
      </c>
      <c r="BC546">
        <v>1116</v>
      </c>
      <c r="BD546" t="s">
        <v>74</v>
      </c>
      <c r="BE546" t="s">
        <v>10393</v>
      </c>
      <c r="BF546" t="str">
        <f>HYPERLINK("http://dx.doi.org/10.3189/2014JoG13J232","http://dx.doi.org/10.3189/2014JoG13J232")</f>
        <v>http://dx.doi.org/10.3189/2014JoG13J232</v>
      </c>
      <c r="BG546" t="s">
        <v>74</v>
      </c>
      <c r="BH546" t="s">
        <v>74</v>
      </c>
      <c r="BI546">
        <v>6</v>
      </c>
      <c r="BJ546" t="s">
        <v>1415</v>
      </c>
      <c r="BK546" t="s">
        <v>101</v>
      </c>
      <c r="BL546" t="s">
        <v>1416</v>
      </c>
      <c r="BM546" t="s">
        <v>10379</v>
      </c>
      <c r="BN546" t="s">
        <v>74</v>
      </c>
      <c r="BO546" t="s">
        <v>1607</v>
      </c>
      <c r="BP546" t="s">
        <v>74</v>
      </c>
      <c r="BQ546" t="s">
        <v>74</v>
      </c>
      <c r="BR546" t="s">
        <v>104</v>
      </c>
      <c r="BS546" t="s">
        <v>10394</v>
      </c>
      <c r="BT546" t="str">
        <f>HYPERLINK("https%3A%2F%2Fwww.webofscience.com%2Fwos%2Fwoscc%2Ffull-record%2FWOS:000348275000009","View Full Record in Web of Science")</f>
        <v>View Full Record in Web of Science</v>
      </c>
    </row>
    <row r="547" spans="1:72" x14ac:dyDescent="0.15">
      <c r="A547" t="s">
        <v>72</v>
      </c>
      <c r="B547" t="s">
        <v>10395</v>
      </c>
      <c r="C547" t="s">
        <v>74</v>
      </c>
      <c r="D547" t="s">
        <v>74</v>
      </c>
      <c r="E547" t="s">
        <v>74</v>
      </c>
      <c r="F547" t="s">
        <v>10396</v>
      </c>
      <c r="G547" t="s">
        <v>74</v>
      </c>
      <c r="H547" t="s">
        <v>74</v>
      </c>
      <c r="I547" t="s">
        <v>10397</v>
      </c>
      <c r="J547" t="s">
        <v>10362</v>
      </c>
      <c r="K547" t="s">
        <v>74</v>
      </c>
      <c r="L547" t="s">
        <v>74</v>
      </c>
      <c r="M547" t="s">
        <v>78</v>
      </c>
      <c r="N547" t="s">
        <v>79</v>
      </c>
      <c r="O547" t="s">
        <v>74</v>
      </c>
      <c r="P547" t="s">
        <v>74</v>
      </c>
      <c r="Q547" t="s">
        <v>74</v>
      </c>
      <c r="R547" t="s">
        <v>74</v>
      </c>
      <c r="S547" t="s">
        <v>74</v>
      </c>
      <c r="T547" t="s">
        <v>10398</v>
      </c>
      <c r="U547" t="s">
        <v>10399</v>
      </c>
      <c r="V547" t="s">
        <v>10400</v>
      </c>
      <c r="W547" t="s">
        <v>10401</v>
      </c>
      <c r="X547" t="s">
        <v>10402</v>
      </c>
      <c r="Y547" t="s">
        <v>10403</v>
      </c>
      <c r="Z547" t="s">
        <v>10404</v>
      </c>
      <c r="AA547" t="s">
        <v>74</v>
      </c>
      <c r="AB547" t="s">
        <v>74</v>
      </c>
      <c r="AC547" t="s">
        <v>10405</v>
      </c>
      <c r="AD547" t="s">
        <v>10406</v>
      </c>
      <c r="AE547" t="s">
        <v>10407</v>
      </c>
      <c r="AF547" t="s">
        <v>74</v>
      </c>
      <c r="AG547">
        <v>12</v>
      </c>
      <c r="AH547">
        <v>0</v>
      </c>
      <c r="AI547">
        <v>3</v>
      </c>
      <c r="AJ547">
        <v>1</v>
      </c>
      <c r="AK547">
        <v>3</v>
      </c>
      <c r="AL547" t="s">
        <v>9533</v>
      </c>
      <c r="AM547" t="s">
        <v>1948</v>
      </c>
      <c r="AN547" t="s">
        <v>9534</v>
      </c>
      <c r="AO547" t="s">
        <v>10374</v>
      </c>
      <c r="AP547" t="s">
        <v>10375</v>
      </c>
      <c r="AQ547" t="s">
        <v>74</v>
      </c>
      <c r="AR547" t="s">
        <v>10376</v>
      </c>
      <c r="AS547" t="s">
        <v>10377</v>
      </c>
      <c r="AT547" t="s">
        <v>74</v>
      </c>
      <c r="AU547">
        <v>2014</v>
      </c>
      <c r="AV547">
        <v>60</v>
      </c>
      <c r="AW547">
        <v>224</v>
      </c>
      <c r="AX547" t="s">
        <v>74</v>
      </c>
      <c r="AY547" t="s">
        <v>74</v>
      </c>
      <c r="AZ547" t="s">
        <v>74</v>
      </c>
      <c r="BA547" t="s">
        <v>74</v>
      </c>
      <c r="BB547">
        <v>1135</v>
      </c>
      <c r="BC547">
        <v>1139</v>
      </c>
      <c r="BD547" t="s">
        <v>74</v>
      </c>
      <c r="BE547" t="s">
        <v>10408</v>
      </c>
      <c r="BF547" t="str">
        <f>HYPERLINK("http://dx.doi.org/10.3189/2014JoG14J071","http://dx.doi.org/10.3189/2014JoG14J071")</f>
        <v>http://dx.doi.org/10.3189/2014JoG14J071</v>
      </c>
      <c r="BG547" t="s">
        <v>74</v>
      </c>
      <c r="BH547" t="s">
        <v>74</v>
      </c>
      <c r="BI547">
        <v>5</v>
      </c>
      <c r="BJ547" t="s">
        <v>1415</v>
      </c>
      <c r="BK547" t="s">
        <v>101</v>
      </c>
      <c r="BL547" t="s">
        <v>1416</v>
      </c>
      <c r="BM547" t="s">
        <v>10379</v>
      </c>
      <c r="BN547" t="s">
        <v>74</v>
      </c>
      <c r="BO547" t="s">
        <v>200</v>
      </c>
      <c r="BP547" t="s">
        <v>74</v>
      </c>
      <c r="BQ547" t="s">
        <v>74</v>
      </c>
      <c r="BR547" t="s">
        <v>104</v>
      </c>
      <c r="BS547" t="s">
        <v>10409</v>
      </c>
      <c r="BT547" t="str">
        <f>HYPERLINK("https%3A%2F%2Fwww.webofscience.com%2Fwos%2Fwoscc%2Ffull-record%2FWOS:000348275000012","View Full Record in Web of Science")</f>
        <v>View Full Record in Web of Science</v>
      </c>
    </row>
    <row r="548" spans="1:72" x14ac:dyDescent="0.15">
      <c r="A548" t="s">
        <v>72</v>
      </c>
      <c r="B548" t="s">
        <v>10410</v>
      </c>
      <c r="C548" t="s">
        <v>74</v>
      </c>
      <c r="D548" t="s">
        <v>74</v>
      </c>
      <c r="E548" t="s">
        <v>74</v>
      </c>
      <c r="F548" t="s">
        <v>10411</v>
      </c>
      <c r="G548" t="s">
        <v>74</v>
      </c>
      <c r="H548" t="s">
        <v>74</v>
      </c>
      <c r="I548" t="s">
        <v>10412</v>
      </c>
      <c r="J548" t="s">
        <v>10413</v>
      </c>
      <c r="K548" t="s">
        <v>74</v>
      </c>
      <c r="L548" t="s">
        <v>74</v>
      </c>
      <c r="M548" t="s">
        <v>78</v>
      </c>
      <c r="N548" t="s">
        <v>79</v>
      </c>
      <c r="O548" t="s">
        <v>74</v>
      </c>
      <c r="P548" t="s">
        <v>74</v>
      </c>
      <c r="Q548" t="s">
        <v>74</v>
      </c>
      <c r="R548" t="s">
        <v>74</v>
      </c>
      <c r="S548" t="s">
        <v>74</v>
      </c>
      <c r="T548" t="s">
        <v>74</v>
      </c>
      <c r="U548" t="s">
        <v>10414</v>
      </c>
      <c r="V548" t="s">
        <v>10415</v>
      </c>
      <c r="W548" t="s">
        <v>10416</v>
      </c>
      <c r="X548" t="s">
        <v>10417</v>
      </c>
      <c r="Y548" t="s">
        <v>10418</v>
      </c>
      <c r="Z548" t="s">
        <v>10419</v>
      </c>
      <c r="AA548" t="s">
        <v>10420</v>
      </c>
      <c r="AB548" t="s">
        <v>10421</v>
      </c>
      <c r="AC548" t="s">
        <v>10422</v>
      </c>
      <c r="AD548" t="s">
        <v>10423</v>
      </c>
      <c r="AE548" t="s">
        <v>10424</v>
      </c>
      <c r="AF548" t="s">
        <v>74</v>
      </c>
      <c r="AG548">
        <v>34</v>
      </c>
      <c r="AH548">
        <v>23</v>
      </c>
      <c r="AI548">
        <v>27</v>
      </c>
      <c r="AJ548">
        <v>0</v>
      </c>
      <c r="AK548">
        <v>15</v>
      </c>
      <c r="AL548" t="s">
        <v>1463</v>
      </c>
      <c r="AM548" t="s">
        <v>1464</v>
      </c>
      <c r="AN548" t="s">
        <v>1465</v>
      </c>
      <c r="AO548" t="s">
        <v>10425</v>
      </c>
      <c r="AP548" t="s">
        <v>10426</v>
      </c>
      <c r="AQ548" t="s">
        <v>74</v>
      </c>
      <c r="AR548" t="s">
        <v>10413</v>
      </c>
      <c r="AS548" t="s">
        <v>10427</v>
      </c>
      <c r="AT548" t="s">
        <v>74</v>
      </c>
      <c r="AU548">
        <v>2014</v>
      </c>
      <c r="AV548">
        <v>5</v>
      </c>
      <c r="AW548">
        <v>2</v>
      </c>
      <c r="AX548" t="s">
        <v>74</v>
      </c>
      <c r="AY548" t="s">
        <v>74</v>
      </c>
      <c r="AZ548" t="s">
        <v>74</v>
      </c>
      <c r="BA548" t="s">
        <v>74</v>
      </c>
      <c r="BB548">
        <v>705</v>
      </c>
      <c r="BC548">
        <v>712</v>
      </c>
      <c r="BD548" t="s">
        <v>74</v>
      </c>
      <c r="BE548" t="s">
        <v>10428</v>
      </c>
      <c r="BF548" t="str">
        <f>HYPERLINK("http://dx.doi.org/10.5194/se-5-705-2014","http://dx.doi.org/10.5194/se-5-705-2014")</f>
        <v>http://dx.doi.org/10.5194/se-5-705-2014</v>
      </c>
      <c r="BG548" t="s">
        <v>74</v>
      </c>
      <c r="BH548" t="s">
        <v>74</v>
      </c>
      <c r="BI548">
        <v>8</v>
      </c>
      <c r="BJ548" t="s">
        <v>574</v>
      </c>
      <c r="BK548" t="s">
        <v>101</v>
      </c>
      <c r="BL548" t="s">
        <v>574</v>
      </c>
      <c r="BM548" t="s">
        <v>10429</v>
      </c>
      <c r="BN548" t="s">
        <v>74</v>
      </c>
      <c r="BO548" t="s">
        <v>9228</v>
      </c>
      <c r="BP548" t="s">
        <v>74</v>
      </c>
      <c r="BQ548" t="s">
        <v>74</v>
      </c>
      <c r="BR548" t="s">
        <v>104</v>
      </c>
      <c r="BS548" t="s">
        <v>10430</v>
      </c>
      <c r="BT548" t="str">
        <f>HYPERLINK("https%3A%2F%2Fwww.webofscience.com%2Fwos%2Fwoscc%2Ffull-record%2FWOS:000347545800010","View Full Record in Web of Science")</f>
        <v>View Full Record in Web of Science</v>
      </c>
    </row>
    <row r="549" spans="1:72" x14ac:dyDescent="0.15">
      <c r="A549" t="s">
        <v>72</v>
      </c>
      <c r="B549" t="s">
        <v>10431</v>
      </c>
      <c r="C549" t="s">
        <v>74</v>
      </c>
      <c r="D549" t="s">
        <v>74</v>
      </c>
      <c r="E549" t="s">
        <v>74</v>
      </c>
      <c r="F549" t="s">
        <v>10432</v>
      </c>
      <c r="G549" t="s">
        <v>74</v>
      </c>
      <c r="H549" t="s">
        <v>74</v>
      </c>
      <c r="I549" t="s">
        <v>10433</v>
      </c>
      <c r="J549" t="s">
        <v>10413</v>
      </c>
      <c r="K549" t="s">
        <v>74</v>
      </c>
      <c r="L549" t="s">
        <v>74</v>
      </c>
      <c r="M549" t="s">
        <v>78</v>
      </c>
      <c r="N549" t="s">
        <v>79</v>
      </c>
      <c r="O549" t="s">
        <v>74</v>
      </c>
      <c r="P549" t="s">
        <v>74</v>
      </c>
      <c r="Q549" t="s">
        <v>74</v>
      </c>
      <c r="R549" t="s">
        <v>74</v>
      </c>
      <c r="S549" t="s">
        <v>74</v>
      </c>
      <c r="T549" t="s">
        <v>74</v>
      </c>
      <c r="U549" t="s">
        <v>10434</v>
      </c>
      <c r="V549" t="s">
        <v>74</v>
      </c>
      <c r="W549" t="s">
        <v>10435</v>
      </c>
      <c r="X549" t="s">
        <v>10436</v>
      </c>
      <c r="Y549" t="s">
        <v>10437</v>
      </c>
      <c r="Z549" t="s">
        <v>10438</v>
      </c>
      <c r="AA549" t="s">
        <v>10439</v>
      </c>
      <c r="AB549" t="s">
        <v>10440</v>
      </c>
      <c r="AC549" t="s">
        <v>10441</v>
      </c>
      <c r="AD549" t="s">
        <v>10442</v>
      </c>
      <c r="AE549" t="s">
        <v>10443</v>
      </c>
      <c r="AF549" t="s">
        <v>74</v>
      </c>
      <c r="AG549">
        <v>37</v>
      </c>
      <c r="AH549">
        <v>6</v>
      </c>
      <c r="AI549">
        <v>6</v>
      </c>
      <c r="AJ549">
        <v>0</v>
      </c>
      <c r="AK549">
        <v>16</v>
      </c>
      <c r="AL549" t="s">
        <v>1463</v>
      </c>
      <c r="AM549" t="s">
        <v>1464</v>
      </c>
      <c r="AN549" t="s">
        <v>1465</v>
      </c>
      <c r="AO549" t="s">
        <v>10425</v>
      </c>
      <c r="AP549" t="s">
        <v>10426</v>
      </c>
      <c r="AQ549" t="s">
        <v>74</v>
      </c>
      <c r="AR549" t="s">
        <v>10413</v>
      </c>
      <c r="AS549" t="s">
        <v>10427</v>
      </c>
      <c r="AT549" t="s">
        <v>74</v>
      </c>
      <c r="AU549">
        <v>2014</v>
      </c>
      <c r="AV549">
        <v>5</v>
      </c>
      <c r="AW549">
        <v>2</v>
      </c>
      <c r="AX549" t="s">
        <v>74</v>
      </c>
      <c r="AY549" t="s">
        <v>74</v>
      </c>
      <c r="AZ549" t="s">
        <v>74</v>
      </c>
      <c r="BA549" t="s">
        <v>74</v>
      </c>
      <c r="BB549">
        <v>1205</v>
      </c>
      <c r="BC549">
        <v>1208</v>
      </c>
      <c r="BD549" t="s">
        <v>74</v>
      </c>
      <c r="BE549" t="s">
        <v>10444</v>
      </c>
      <c r="BF549" t="str">
        <f>HYPERLINK("http://dx.doi.org/10.5194/se-5-1205-2014","http://dx.doi.org/10.5194/se-5-1205-2014")</f>
        <v>http://dx.doi.org/10.5194/se-5-1205-2014</v>
      </c>
      <c r="BG549" t="s">
        <v>74</v>
      </c>
      <c r="BH549" t="s">
        <v>74</v>
      </c>
      <c r="BI549">
        <v>4</v>
      </c>
      <c r="BJ549" t="s">
        <v>574</v>
      </c>
      <c r="BK549" t="s">
        <v>101</v>
      </c>
      <c r="BL549" t="s">
        <v>574</v>
      </c>
      <c r="BM549" t="s">
        <v>10429</v>
      </c>
      <c r="BN549" t="s">
        <v>74</v>
      </c>
      <c r="BO549" t="s">
        <v>6156</v>
      </c>
      <c r="BP549" t="s">
        <v>74</v>
      </c>
      <c r="BQ549" t="s">
        <v>74</v>
      </c>
      <c r="BR549" t="s">
        <v>104</v>
      </c>
      <c r="BS549" t="s">
        <v>10445</v>
      </c>
      <c r="BT549" t="str">
        <f>HYPERLINK("https%3A%2F%2Fwww.webofscience.com%2Fwos%2Fwoscc%2Ffull-record%2FWOS:000347545800043","View Full Record in Web of Science")</f>
        <v>View Full Record in Web of Science</v>
      </c>
    </row>
    <row r="550" spans="1:72" x14ac:dyDescent="0.15">
      <c r="A550" t="s">
        <v>72</v>
      </c>
      <c r="B550" t="s">
        <v>10446</v>
      </c>
      <c r="C550" t="s">
        <v>74</v>
      </c>
      <c r="D550" t="s">
        <v>74</v>
      </c>
      <c r="E550" t="s">
        <v>74</v>
      </c>
      <c r="F550" t="s">
        <v>10447</v>
      </c>
      <c r="G550" t="s">
        <v>74</v>
      </c>
      <c r="H550" t="s">
        <v>74</v>
      </c>
      <c r="I550" t="s">
        <v>10448</v>
      </c>
      <c r="J550" t="s">
        <v>10449</v>
      </c>
      <c r="K550" t="s">
        <v>74</v>
      </c>
      <c r="L550" t="s">
        <v>74</v>
      </c>
      <c r="M550" t="s">
        <v>78</v>
      </c>
      <c r="N550" t="s">
        <v>79</v>
      </c>
      <c r="O550" t="s">
        <v>74</v>
      </c>
      <c r="P550" t="s">
        <v>74</v>
      </c>
      <c r="Q550" t="s">
        <v>74</v>
      </c>
      <c r="R550" t="s">
        <v>74</v>
      </c>
      <c r="S550" t="s">
        <v>74</v>
      </c>
      <c r="T550" t="s">
        <v>74</v>
      </c>
      <c r="U550" t="s">
        <v>10450</v>
      </c>
      <c r="V550" t="s">
        <v>10451</v>
      </c>
      <c r="W550" t="s">
        <v>10452</v>
      </c>
      <c r="X550" t="s">
        <v>10453</v>
      </c>
      <c r="Y550" t="s">
        <v>10454</v>
      </c>
      <c r="Z550" t="s">
        <v>10455</v>
      </c>
      <c r="AA550" t="s">
        <v>10456</v>
      </c>
      <c r="AB550" t="s">
        <v>10457</v>
      </c>
      <c r="AC550" t="s">
        <v>10458</v>
      </c>
      <c r="AD550" t="s">
        <v>10459</v>
      </c>
      <c r="AE550" t="s">
        <v>10460</v>
      </c>
      <c r="AF550" t="s">
        <v>74</v>
      </c>
      <c r="AG550">
        <v>66</v>
      </c>
      <c r="AH550">
        <v>25</v>
      </c>
      <c r="AI550">
        <v>25</v>
      </c>
      <c r="AJ550">
        <v>0</v>
      </c>
      <c r="AK550">
        <v>7</v>
      </c>
      <c r="AL550" t="s">
        <v>1463</v>
      </c>
      <c r="AM550" t="s">
        <v>1464</v>
      </c>
      <c r="AN550" t="s">
        <v>1465</v>
      </c>
      <c r="AO550" t="s">
        <v>10461</v>
      </c>
      <c r="AP550" t="s">
        <v>10462</v>
      </c>
      <c r="AQ550" t="s">
        <v>74</v>
      </c>
      <c r="AR550" t="s">
        <v>10449</v>
      </c>
      <c r="AS550" t="s">
        <v>10463</v>
      </c>
      <c r="AT550" t="s">
        <v>74</v>
      </c>
      <c r="AU550">
        <v>2014</v>
      </c>
      <c r="AV550">
        <v>8</v>
      </c>
      <c r="AW550">
        <v>6</v>
      </c>
      <c r="AX550" t="s">
        <v>74</v>
      </c>
      <c r="AY550" t="s">
        <v>74</v>
      </c>
      <c r="AZ550" t="s">
        <v>74</v>
      </c>
      <c r="BA550" t="s">
        <v>74</v>
      </c>
      <c r="BB550">
        <v>2007</v>
      </c>
      <c r="BC550">
        <v>2029</v>
      </c>
      <c r="BD550" t="s">
        <v>74</v>
      </c>
      <c r="BE550" t="s">
        <v>10464</v>
      </c>
      <c r="BF550" t="str">
        <f>HYPERLINK("http://dx.doi.org/10.5194/tc-8-2007-2014","http://dx.doi.org/10.5194/tc-8-2007-2014")</f>
        <v>http://dx.doi.org/10.5194/tc-8-2007-2014</v>
      </c>
      <c r="BG550" t="s">
        <v>74</v>
      </c>
      <c r="BH550" t="s">
        <v>74</v>
      </c>
      <c r="BI550">
        <v>23</v>
      </c>
      <c r="BJ550" t="s">
        <v>1415</v>
      </c>
      <c r="BK550" t="s">
        <v>101</v>
      </c>
      <c r="BL550" t="s">
        <v>1416</v>
      </c>
      <c r="BM550" t="s">
        <v>10465</v>
      </c>
      <c r="BN550" t="s">
        <v>74</v>
      </c>
      <c r="BO550" t="s">
        <v>10466</v>
      </c>
      <c r="BP550" t="s">
        <v>74</v>
      </c>
      <c r="BQ550" t="s">
        <v>74</v>
      </c>
      <c r="BR550" t="s">
        <v>104</v>
      </c>
      <c r="BS550" t="s">
        <v>10467</v>
      </c>
      <c r="BT550" t="str">
        <f>HYPERLINK("https%3A%2F%2Fwww.webofscience.com%2Fwos%2Fwoscc%2Ffull-record%2FWOS:000347468000001","View Full Record in Web of Science")</f>
        <v>View Full Record in Web of Science</v>
      </c>
    </row>
    <row r="551" spans="1:72" x14ac:dyDescent="0.15">
      <c r="A551" t="s">
        <v>72</v>
      </c>
      <c r="B551" t="s">
        <v>10468</v>
      </c>
      <c r="C551" t="s">
        <v>74</v>
      </c>
      <c r="D551" t="s">
        <v>74</v>
      </c>
      <c r="E551" t="s">
        <v>74</v>
      </c>
      <c r="F551" t="s">
        <v>10469</v>
      </c>
      <c r="G551" t="s">
        <v>74</v>
      </c>
      <c r="H551" t="s">
        <v>74</v>
      </c>
      <c r="I551" t="s">
        <v>10470</v>
      </c>
      <c r="J551" t="s">
        <v>10449</v>
      </c>
      <c r="K551" t="s">
        <v>74</v>
      </c>
      <c r="L551" t="s">
        <v>74</v>
      </c>
      <c r="M551" t="s">
        <v>78</v>
      </c>
      <c r="N551" t="s">
        <v>79</v>
      </c>
      <c r="O551" t="s">
        <v>74</v>
      </c>
      <c r="P551" t="s">
        <v>74</v>
      </c>
      <c r="Q551" t="s">
        <v>74</v>
      </c>
      <c r="R551" t="s">
        <v>74</v>
      </c>
      <c r="S551" t="s">
        <v>74</v>
      </c>
      <c r="T551" t="s">
        <v>74</v>
      </c>
      <c r="U551" t="s">
        <v>10471</v>
      </c>
      <c r="V551" t="s">
        <v>10472</v>
      </c>
      <c r="W551" t="s">
        <v>10473</v>
      </c>
      <c r="X551" t="s">
        <v>10474</v>
      </c>
      <c r="Y551" t="s">
        <v>10475</v>
      </c>
      <c r="Z551" t="s">
        <v>10476</v>
      </c>
      <c r="AA551" t="s">
        <v>10477</v>
      </c>
      <c r="AB551" t="s">
        <v>10478</v>
      </c>
      <c r="AC551" t="s">
        <v>10479</v>
      </c>
      <c r="AD551" t="s">
        <v>10480</v>
      </c>
      <c r="AE551" t="s">
        <v>10481</v>
      </c>
      <c r="AF551" t="s">
        <v>74</v>
      </c>
      <c r="AG551">
        <v>51</v>
      </c>
      <c r="AH551">
        <v>48</v>
      </c>
      <c r="AI551">
        <v>51</v>
      </c>
      <c r="AJ551">
        <v>0</v>
      </c>
      <c r="AK551">
        <v>26</v>
      </c>
      <c r="AL551" t="s">
        <v>1463</v>
      </c>
      <c r="AM551" t="s">
        <v>1464</v>
      </c>
      <c r="AN551" t="s">
        <v>1465</v>
      </c>
      <c r="AO551" t="s">
        <v>10461</v>
      </c>
      <c r="AP551" t="s">
        <v>10462</v>
      </c>
      <c r="AQ551" t="s">
        <v>74</v>
      </c>
      <c r="AR551" t="s">
        <v>10449</v>
      </c>
      <c r="AS551" t="s">
        <v>10463</v>
      </c>
      <c r="AT551" t="s">
        <v>74</v>
      </c>
      <c r="AU551">
        <v>2014</v>
      </c>
      <c r="AV551">
        <v>8</v>
      </c>
      <c r="AW551">
        <v>6</v>
      </c>
      <c r="AX551" t="s">
        <v>74</v>
      </c>
      <c r="AY551" t="s">
        <v>74</v>
      </c>
      <c r="AZ551" t="s">
        <v>74</v>
      </c>
      <c r="BA551" t="s">
        <v>74</v>
      </c>
      <c r="BB551">
        <v>2135</v>
      </c>
      <c r="BC551">
        <v>2145</v>
      </c>
      <c r="BD551" t="s">
        <v>74</v>
      </c>
      <c r="BE551" t="s">
        <v>10482</v>
      </c>
      <c r="BF551" t="str">
        <f>HYPERLINK("http://dx.doi.org/10.5194/tc-8-2135-2014","http://dx.doi.org/10.5194/tc-8-2135-2014")</f>
        <v>http://dx.doi.org/10.5194/tc-8-2135-2014</v>
      </c>
      <c r="BG551" t="s">
        <v>74</v>
      </c>
      <c r="BH551" t="s">
        <v>74</v>
      </c>
      <c r="BI551">
        <v>11</v>
      </c>
      <c r="BJ551" t="s">
        <v>1415</v>
      </c>
      <c r="BK551" t="s">
        <v>101</v>
      </c>
      <c r="BL551" t="s">
        <v>1416</v>
      </c>
      <c r="BM551" t="s">
        <v>10465</v>
      </c>
      <c r="BN551" t="s">
        <v>74</v>
      </c>
      <c r="BO551" t="s">
        <v>10483</v>
      </c>
      <c r="BP551" t="s">
        <v>74</v>
      </c>
      <c r="BQ551" t="s">
        <v>74</v>
      </c>
      <c r="BR551" t="s">
        <v>104</v>
      </c>
      <c r="BS551" t="s">
        <v>10484</v>
      </c>
      <c r="BT551" t="str">
        <f>HYPERLINK("https%3A%2F%2Fwww.webofscience.com%2Fwos%2Fwoscc%2Ffull-record%2FWOS:000347468000009","View Full Record in Web of Science")</f>
        <v>View Full Record in Web of Science</v>
      </c>
    </row>
    <row r="552" spans="1:72" x14ac:dyDescent="0.15">
      <c r="A552" t="s">
        <v>72</v>
      </c>
      <c r="B552" t="s">
        <v>10485</v>
      </c>
      <c r="C552" t="s">
        <v>74</v>
      </c>
      <c r="D552" t="s">
        <v>74</v>
      </c>
      <c r="E552" t="s">
        <v>74</v>
      </c>
      <c r="F552" t="s">
        <v>10486</v>
      </c>
      <c r="G552" t="s">
        <v>74</v>
      </c>
      <c r="H552" t="s">
        <v>74</v>
      </c>
      <c r="I552" t="s">
        <v>10487</v>
      </c>
      <c r="J552" t="s">
        <v>10449</v>
      </c>
      <c r="K552" t="s">
        <v>74</v>
      </c>
      <c r="L552" t="s">
        <v>74</v>
      </c>
      <c r="M552" t="s">
        <v>78</v>
      </c>
      <c r="N552" t="s">
        <v>79</v>
      </c>
      <c r="O552" t="s">
        <v>74</v>
      </c>
      <c r="P552" t="s">
        <v>74</v>
      </c>
      <c r="Q552" t="s">
        <v>74</v>
      </c>
      <c r="R552" t="s">
        <v>74</v>
      </c>
      <c r="S552" t="s">
        <v>74</v>
      </c>
      <c r="T552" t="s">
        <v>74</v>
      </c>
      <c r="U552" t="s">
        <v>10488</v>
      </c>
      <c r="V552" t="s">
        <v>10489</v>
      </c>
      <c r="W552" t="s">
        <v>10490</v>
      </c>
      <c r="X552" t="s">
        <v>10491</v>
      </c>
      <c r="Y552" t="s">
        <v>10492</v>
      </c>
      <c r="Z552" t="s">
        <v>10493</v>
      </c>
      <c r="AA552" t="s">
        <v>10494</v>
      </c>
      <c r="AB552" t="s">
        <v>10495</v>
      </c>
      <c r="AC552" t="s">
        <v>10496</v>
      </c>
      <c r="AD552" t="s">
        <v>10497</v>
      </c>
      <c r="AE552" t="s">
        <v>10498</v>
      </c>
      <c r="AF552" t="s">
        <v>74</v>
      </c>
      <c r="AG552">
        <v>47</v>
      </c>
      <c r="AH552">
        <v>16</v>
      </c>
      <c r="AI552">
        <v>17</v>
      </c>
      <c r="AJ552">
        <v>0</v>
      </c>
      <c r="AK552">
        <v>8</v>
      </c>
      <c r="AL552" t="s">
        <v>1463</v>
      </c>
      <c r="AM552" t="s">
        <v>1464</v>
      </c>
      <c r="AN552" t="s">
        <v>1465</v>
      </c>
      <c r="AO552" t="s">
        <v>10461</v>
      </c>
      <c r="AP552" t="s">
        <v>10462</v>
      </c>
      <c r="AQ552" t="s">
        <v>74</v>
      </c>
      <c r="AR552" t="s">
        <v>10449</v>
      </c>
      <c r="AS552" t="s">
        <v>10463</v>
      </c>
      <c r="AT552" t="s">
        <v>74</v>
      </c>
      <c r="AU552">
        <v>2014</v>
      </c>
      <c r="AV552">
        <v>8</v>
      </c>
      <c r="AW552">
        <v>6</v>
      </c>
      <c r="AX552" t="s">
        <v>74</v>
      </c>
      <c r="AY552" t="s">
        <v>74</v>
      </c>
      <c r="AZ552" t="s">
        <v>74</v>
      </c>
      <c r="BA552" t="s">
        <v>74</v>
      </c>
      <c r="BB552">
        <v>2395</v>
      </c>
      <c r="BC552">
        <v>2407</v>
      </c>
      <c r="BD552" t="s">
        <v>74</v>
      </c>
      <c r="BE552" t="s">
        <v>10499</v>
      </c>
      <c r="BF552" t="str">
        <f>HYPERLINK("http://dx.doi.org/10.5194/tc-8-2395-2014","http://dx.doi.org/10.5194/tc-8-2395-2014")</f>
        <v>http://dx.doi.org/10.5194/tc-8-2395-2014</v>
      </c>
      <c r="BG552" t="s">
        <v>74</v>
      </c>
      <c r="BH552" t="s">
        <v>74</v>
      </c>
      <c r="BI552">
        <v>13</v>
      </c>
      <c r="BJ552" t="s">
        <v>1415</v>
      </c>
      <c r="BK552" t="s">
        <v>101</v>
      </c>
      <c r="BL552" t="s">
        <v>1416</v>
      </c>
      <c r="BM552" t="s">
        <v>10465</v>
      </c>
      <c r="BN552" t="s">
        <v>74</v>
      </c>
      <c r="BO552" t="s">
        <v>2213</v>
      </c>
      <c r="BP552" t="s">
        <v>74</v>
      </c>
      <c r="BQ552" t="s">
        <v>74</v>
      </c>
      <c r="BR552" t="s">
        <v>104</v>
      </c>
      <c r="BS552" t="s">
        <v>10500</v>
      </c>
      <c r="BT552" t="str">
        <f>HYPERLINK("https%3A%2F%2Fwww.webofscience.com%2Fwos%2Fwoscc%2Ffull-record%2FWOS:000347468000025","View Full Record in Web of Science")</f>
        <v>View Full Record in Web of Science</v>
      </c>
    </row>
    <row r="553" spans="1:72" x14ac:dyDescent="0.15">
      <c r="A553" t="s">
        <v>72</v>
      </c>
      <c r="B553" t="s">
        <v>10501</v>
      </c>
      <c r="C553" t="s">
        <v>74</v>
      </c>
      <c r="D553" t="s">
        <v>74</v>
      </c>
      <c r="E553" t="s">
        <v>74</v>
      </c>
      <c r="F553" t="s">
        <v>10502</v>
      </c>
      <c r="G553" t="s">
        <v>74</v>
      </c>
      <c r="H553" t="s">
        <v>74</v>
      </c>
      <c r="I553" t="s">
        <v>10503</v>
      </c>
      <c r="J553" t="s">
        <v>10504</v>
      </c>
      <c r="K553" t="s">
        <v>74</v>
      </c>
      <c r="L553" t="s">
        <v>74</v>
      </c>
      <c r="M553" t="s">
        <v>78</v>
      </c>
      <c r="N553" t="s">
        <v>79</v>
      </c>
      <c r="O553" t="s">
        <v>74</v>
      </c>
      <c r="P553" t="s">
        <v>74</v>
      </c>
      <c r="Q553" t="s">
        <v>74</v>
      </c>
      <c r="R553" t="s">
        <v>74</v>
      </c>
      <c r="S553" t="s">
        <v>74</v>
      </c>
      <c r="T553" t="s">
        <v>74</v>
      </c>
      <c r="U553" t="s">
        <v>10505</v>
      </c>
      <c r="V553" t="s">
        <v>10506</v>
      </c>
      <c r="W553" t="s">
        <v>10507</v>
      </c>
      <c r="X553" t="s">
        <v>4964</v>
      </c>
      <c r="Y553" t="s">
        <v>10508</v>
      </c>
      <c r="Z553" t="s">
        <v>10509</v>
      </c>
      <c r="AA553" t="s">
        <v>10510</v>
      </c>
      <c r="AB553" t="s">
        <v>10511</v>
      </c>
      <c r="AC553" t="s">
        <v>10512</v>
      </c>
      <c r="AD553" t="s">
        <v>10513</v>
      </c>
      <c r="AE553" t="s">
        <v>10514</v>
      </c>
      <c r="AF553" t="s">
        <v>74</v>
      </c>
      <c r="AG553">
        <v>59</v>
      </c>
      <c r="AH553">
        <v>10</v>
      </c>
      <c r="AI553">
        <v>10</v>
      </c>
      <c r="AJ553">
        <v>2</v>
      </c>
      <c r="AK553">
        <v>26</v>
      </c>
      <c r="AL553" t="s">
        <v>1463</v>
      </c>
      <c r="AM553" t="s">
        <v>1464</v>
      </c>
      <c r="AN553" t="s">
        <v>1465</v>
      </c>
      <c r="AO553" t="s">
        <v>10515</v>
      </c>
      <c r="AP553" t="s">
        <v>10516</v>
      </c>
      <c r="AQ553" t="s">
        <v>74</v>
      </c>
      <c r="AR553" t="s">
        <v>10517</v>
      </c>
      <c r="AS553" t="s">
        <v>10518</v>
      </c>
      <c r="AT553" t="s">
        <v>74</v>
      </c>
      <c r="AU553">
        <v>2014</v>
      </c>
      <c r="AV553">
        <v>10</v>
      </c>
      <c r="AW553">
        <v>6</v>
      </c>
      <c r="AX553" t="s">
        <v>74</v>
      </c>
      <c r="AY553" t="s">
        <v>74</v>
      </c>
      <c r="AZ553" t="s">
        <v>74</v>
      </c>
      <c r="BA553" t="s">
        <v>74</v>
      </c>
      <c r="BB553">
        <v>907</v>
      </c>
      <c r="BC553">
        <v>921</v>
      </c>
      <c r="BD553" t="s">
        <v>74</v>
      </c>
      <c r="BE553" t="s">
        <v>10519</v>
      </c>
      <c r="BF553" t="str">
        <f>HYPERLINK("http://dx.doi.org/10.5194/os-10-907-2014","http://dx.doi.org/10.5194/os-10-907-2014")</f>
        <v>http://dx.doi.org/10.5194/os-10-907-2014</v>
      </c>
      <c r="BG553" t="s">
        <v>74</v>
      </c>
      <c r="BH553" t="s">
        <v>74</v>
      </c>
      <c r="BI553">
        <v>15</v>
      </c>
      <c r="BJ553" t="s">
        <v>6540</v>
      </c>
      <c r="BK553" t="s">
        <v>101</v>
      </c>
      <c r="BL553" t="s">
        <v>6540</v>
      </c>
      <c r="BM553" t="s">
        <v>10520</v>
      </c>
      <c r="BN553" t="s">
        <v>74</v>
      </c>
      <c r="BO553" t="s">
        <v>9228</v>
      </c>
      <c r="BP553" t="s">
        <v>74</v>
      </c>
      <c r="BQ553" t="s">
        <v>74</v>
      </c>
      <c r="BR553" t="s">
        <v>104</v>
      </c>
      <c r="BS553" t="s">
        <v>10521</v>
      </c>
      <c r="BT553" t="str">
        <f>HYPERLINK("https%3A%2F%2Fwww.webofscience.com%2Fwos%2Fwoscc%2Ffull-record%2FWOS:000347475600003","View Full Record in Web of Science")</f>
        <v>View Full Record in Web of Science</v>
      </c>
    </row>
    <row r="554" spans="1:72" x14ac:dyDescent="0.15">
      <c r="A554" t="s">
        <v>72</v>
      </c>
      <c r="B554" t="s">
        <v>10522</v>
      </c>
      <c r="C554" t="s">
        <v>74</v>
      </c>
      <c r="D554" t="s">
        <v>74</v>
      </c>
      <c r="E554" t="s">
        <v>74</v>
      </c>
      <c r="F554" t="s">
        <v>10523</v>
      </c>
      <c r="G554" t="s">
        <v>74</v>
      </c>
      <c r="H554" t="s">
        <v>74</v>
      </c>
      <c r="I554" t="s">
        <v>10524</v>
      </c>
      <c r="J554" t="s">
        <v>10525</v>
      </c>
      <c r="K554" t="s">
        <v>74</v>
      </c>
      <c r="L554" t="s">
        <v>74</v>
      </c>
      <c r="M554" t="s">
        <v>78</v>
      </c>
      <c r="N554" t="s">
        <v>79</v>
      </c>
      <c r="O554" t="s">
        <v>74</v>
      </c>
      <c r="P554" t="s">
        <v>74</v>
      </c>
      <c r="Q554" t="s">
        <v>74</v>
      </c>
      <c r="R554" t="s">
        <v>74</v>
      </c>
      <c r="S554" t="s">
        <v>74</v>
      </c>
      <c r="T554" t="s">
        <v>10526</v>
      </c>
      <c r="U554" t="s">
        <v>10527</v>
      </c>
      <c r="V554" t="s">
        <v>10528</v>
      </c>
      <c r="W554" t="s">
        <v>10529</v>
      </c>
      <c r="X554" t="s">
        <v>10530</v>
      </c>
      <c r="Y554" t="s">
        <v>10531</v>
      </c>
      <c r="Z554" t="s">
        <v>10532</v>
      </c>
      <c r="AA554" t="s">
        <v>10533</v>
      </c>
      <c r="AB554" t="s">
        <v>10534</v>
      </c>
      <c r="AC554" t="s">
        <v>10535</v>
      </c>
      <c r="AD554" t="s">
        <v>10536</v>
      </c>
      <c r="AE554" t="s">
        <v>10537</v>
      </c>
      <c r="AF554" t="s">
        <v>74</v>
      </c>
      <c r="AG554">
        <v>41</v>
      </c>
      <c r="AH554">
        <v>5</v>
      </c>
      <c r="AI554">
        <v>5</v>
      </c>
      <c r="AJ554">
        <v>0</v>
      </c>
      <c r="AK554">
        <v>11</v>
      </c>
      <c r="AL554" t="s">
        <v>10538</v>
      </c>
      <c r="AM554" t="s">
        <v>10539</v>
      </c>
      <c r="AN554" t="s">
        <v>10540</v>
      </c>
      <c r="AO554" t="s">
        <v>10541</v>
      </c>
      <c r="AP554" t="s">
        <v>10542</v>
      </c>
      <c r="AQ554" t="s">
        <v>74</v>
      </c>
      <c r="AR554" t="s">
        <v>10543</v>
      </c>
      <c r="AS554" t="s">
        <v>10544</v>
      </c>
      <c r="AT554" t="s">
        <v>74</v>
      </c>
      <c r="AU554">
        <v>2014</v>
      </c>
      <c r="AV554">
        <v>63</v>
      </c>
      <c r="AW554">
        <v>4</v>
      </c>
      <c r="AX554" t="s">
        <v>74</v>
      </c>
      <c r="AY554" t="s">
        <v>74</v>
      </c>
      <c r="AZ554" t="s">
        <v>74</v>
      </c>
      <c r="BA554" t="s">
        <v>74</v>
      </c>
      <c r="BB554">
        <v>443</v>
      </c>
      <c r="BC554">
        <v>450</v>
      </c>
      <c r="BD554" t="s">
        <v>74</v>
      </c>
      <c r="BE554" t="s">
        <v>74</v>
      </c>
      <c r="BF554" t="s">
        <v>74</v>
      </c>
      <c r="BG554" t="s">
        <v>74</v>
      </c>
      <c r="BH554" t="s">
        <v>74</v>
      </c>
      <c r="BI554">
        <v>8</v>
      </c>
      <c r="BJ554" t="s">
        <v>3624</v>
      </c>
      <c r="BK554" t="s">
        <v>101</v>
      </c>
      <c r="BL554" t="s">
        <v>3624</v>
      </c>
      <c r="BM554" t="s">
        <v>10545</v>
      </c>
      <c r="BN554">
        <v>25804064</v>
      </c>
      <c r="BO554" t="s">
        <v>74</v>
      </c>
      <c r="BP554" t="s">
        <v>74</v>
      </c>
      <c r="BQ554" t="s">
        <v>74</v>
      </c>
      <c r="BR554" t="s">
        <v>104</v>
      </c>
      <c r="BS554" t="s">
        <v>10546</v>
      </c>
      <c r="BT554" t="str">
        <f>HYPERLINK("https%3A%2F%2Fwww.webofscience.com%2Fwos%2Fwoscc%2Ffull-record%2FWOS:000347367700009","View Full Record in Web of Science")</f>
        <v>View Full Record in Web of Science</v>
      </c>
    </row>
    <row r="555" spans="1:72" x14ac:dyDescent="0.15">
      <c r="A555" t="s">
        <v>72</v>
      </c>
      <c r="B555" t="s">
        <v>10547</v>
      </c>
      <c r="C555" t="s">
        <v>74</v>
      </c>
      <c r="D555" t="s">
        <v>74</v>
      </c>
      <c r="E555" t="s">
        <v>74</v>
      </c>
      <c r="F555" t="s">
        <v>10548</v>
      </c>
      <c r="G555" t="s">
        <v>74</v>
      </c>
      <c r="H555" t="s">
        <v>74</v>
      </c>
      <c r="I555" t="s">
        <v>10549</v>
      </c>
      <c r="J555" t="s">
        <v>10218</v>
      </c>
      <c r="K555" t="s">
        <v>74</v>
      </c>
      <c r="L555" t="s">
        <v>74</v>
      </c>
      <c r="M555" t="s">
        <v>78</v>
      </c>
      <c r="N555" t="s">
        <v>79</v>
      </c>
      <c r="O555" t="s">
        <v>74</v>
      </c>
      <c r="P555" t="s">
        <v>74</v>
      </c>
      <c r="Q555" t="s">
        <v>74</v>
      </c>
      <c r="R555" t="s">
        <v>74</v>
      </c>
      <c r="S555" t="s">
        <v>74</v>
      </c>
      <c r="T555" t="s">
        <v>74</v>
      </c>
      <c r="U555" t="s">
        <v>10550</v>
      </c>
      <c r="V555" t="s">
        <v>10551</v>
      </c>
      <c r="W555" t="s">
        <v>10552</v>
      </c>
      <c r="X555" t="s">
        <v>10553</v>
      </c>
      <c r="Y555" t="s">
        <v>10554</v>
      </c>
      <c r="Z555" t="s">
        <v>10555</v>
      </c>
      <c r="AA555" t="s">
        <v>10556</v>
      </c>
      <c r="AB555" t="s">
        <v>10557</v>
      </c>
      <c r="AC555" t="s">
        <v>10558</v>
      </c>
      <c r="AD555" t="s">
        <v>10559</v>
      </c>
      <c r="AE555" t="s">
        <v>10560</v>
      </c>
      <c r="AF555" t="s">
        <v>74</v>
      </c>
      <c r="AG555">
        <v>65</v>
      </c>
      <c r="AH555">
        <v>15</v>
      </c>
      <c r="AI555">
        <v>16</v>
      </c>
      <c r="AJ555">
        <v>0</v>
      </c>
      <c r="AK555">
        <v>13</v>
      </c>
      <c r="AL555" t="s">
        <v>10228</v>
      </c>
      <c r="AM555" t="s">
        <v>10229</v>
      </c>
      <c r="AN555" t="s">
        <v>10230</v>
      </c>
      <c r="AO555" t="s">
        <v>10231</v>
      </c>
      <c r="AP555" t="s">
        <v>10232</v>
      </c>
      <c r="AQ555" t="s">
        <v>74</v>
      </c>
      <c r="AR555" t="s">
        <v>10218</v>
      </c>
      <c r="AS555" t="s">
        <v>10233</v>
      </c>
      <c r="AT555" t="s">
        <v>74</v>
      </c>
      <c r="AU555">
        <v>2014</v>
      </c>
      <c r="AV555">
        <v>60</v>
      </c>
      <c r="AW555">
        <v>1</v>
      </c>
      <c r="AX555" t="s">
        <v>74</v>
      </c>
      <c r="AY555" t="s">
        <v>74</v>
      </c>
      <c r="AZ555" t="s">
        <v>74</v>
      </c>
      <c r="BA555" t="s">
        <v>74</v>
      </c>
      <c r="BB555">
        <v>53</v>
      </c>
      <c r="BC555">
        <v>66</v>
      </c>
      <c r="BD555" t="s">
        <v>74</v>
      </c>
      <c r="BE555" t="s">
        <v>74</v>
      </c>
      <c r="BF555" t="s">
        <v>74</v>
      </c>
      <c r="BG555" t="s">
        <v>74</v>
      </c>
      <c r="BH555" t="s">
        <v>74</v>
      </c>
      <c r="BI555">
        <v>14</v>
      </c>
      <c r="BJ555" t="s">
        <v>2715</v>
      </c>
      <c r="BK555" t="s">
        <v>101</v>
      </c>
      <c r="BL555" t="s">
        <v>2715</v>
      </c>
      <c r="BM555" t="s">
        <v>10561</v>
      </c>
      <c r="BN555" t="s">
        <v>74</v>
      </c>
      <c r="BO555" t="s">
        <v>74</v>
      </c>
      <c r="BP555" t="s">
        <v>74</v>
      </c>
      <c r="BQ555" t="s">
        <v>74</v>
      </c>
      <c r="BR555" t="s">
        <v>104</v>
      </c>
      <c r="BS555" t="s">
        <v>10562</v>
      </c>
      <c r="BT555" t="str">
        <f>HYPERLINK("https%3A%2F%2Fwww.webofscience.com%2Fwos%2Fwoscc%2Ffull-record%2FWOS:000347173900006","View Full Record in Web of Science")</f>
        <v>View Full Record in Web of Science</v>
      </c>
    </row>
    <row r="556" spans="1:72" x14ac:dyDescent="0.15">
      <c r="A556" t="s">
        <v>8774</v>
      </c>
      <c r="B556" t="s">
        <v>10563</v>
      </c>
      <c r="C556" t="s">
        <v>74</v>
      </c>
      <c r="D556" t="s">
        <v>74</v>
      </c>
      <c r="E556" t="s">
        <v>8931</v>
      </c>
      <c r="F556" t="s">
        <v>10564</v>
      </c>
      <c r="G556" t="s">
        <v>74</v>
      </c>
      <c r="H556" t="s">
        <v>74</v>
      </c>
      <c r="I556" t="s">
        <v>10565</v>
      </c>
      <c r="J556" t="s">
        <v>10566</v>
      </c>
      <c r="K556" t="s">
        <v>74</v>
      </c>
      <c r="L556" t="s">
        <v>74</v>
      </c>
      <c r="M556" t="s">
        <v>78</v>
      </c>
      <c r="N556" t="s">
        <v>8781</v>
      </c>
      <c r="O556" t="s">
        <v>10567</v>
      </c>
      <c r="P556" t="s">
        <v>10568</v>
      </c>
      <c r="Q556" t="s">
        <v>10569</v>
      </c>
      <c r="R556" t="s">
        <v>74</v>
      </c>
      <c r="S556" t="s">
        <v>74</v>
      </c>
      <c r="T556" t="s">
        <v>74</v>
      </c>
      <c r="U556" t="s">
        <v>74</v>
      </c>
      <c r="V556" t="s">
        <v>10570</v>
      </c>
      <c r="W556" t="s">
        <v>10571</v>
      </c>
      <c r="X556" t="s">
        <v>10572</v>
      </c>
      <c r="Y556" t="s">
        <v>10573</v>
      </c>
      <c r="Z556" t="s">
        <v>74</v>
      </c>
      <c r="AA556" t="s">
        <v>74</v>
      </c>
      <c r="AB556" t="s">
        <v>74</v>
      </c>
      <c r="AC556" t="s">
        <v>74</v>
      </c>
      <c r="AD556" t="s">
        <v>74</v>
      </c>
      <c r="AE556" t="s">
        <v>74</v>
      </c>
      <c r="AF556" t="s">
        <v>74</v>
      </c>
      <c r="AG556">
        <v>4</v>
      </c>
      <c r="AH556">
        <v>0</v>
      </c>
      <c r="AI556">
        <v>0</v>
      </c>
      <c r="AJ556">
        <v>0</v>
      </c>
      <c r="AK556">
        <v>0</v>
      </c>
      <c r="AL556" t="s">
        <v>8931</v>
      </c>
      <c r="AM556" t="s">
        <v>92</v>
      </c>
      <c r="AN556" t="s">
        <v>8945</v>
      </c>
      <c r="AO556" t="s">
        <v>74</v>
      </c>
      <c r="AP556" t="s">
        <v>74</v>
      </c>
      <c r="AQ556" t="s">
        <v>10574</v>
      </c>
      <c r="AR556" t="s">
        <v>74</v>
      </c>
      <c r="AS556" t="s">
        <v>74</v>
      </c>
      <c r="AT556" t="s">
        <v>74</v>
      </c>
      <c r="AU556">
        <v>2014</v>
      </c>
      <c r="AV556" t="s">
        <v>74</v>
      </c>
      <c r="AW556" t="s">
        <v>74</v>
      </c>
      <c r="AX556" t="s">
        <v>74</v>
      </c>
      <c r="AY556" t="s">
        <v>74</v>
      </c>
      <c r="AZ556" t="s">
        <v>74</v>
      </c>
      <c r="BA556" t="s">
        <v>74</v>
      </c>
      <c r="BB556" t="s">
        <v>74</v>
      </c>
      <c r="BC556" t="s">
        <v>74</v>
      </c>
      <c r="BD556" t="s">
        <v>74</v>
      </c>
      <c r="BE556" t="s">
        <v>74</v>
      </c>
      <c r="BF556" t="s">
        <v>74</v>
      </c>
      <c r="BG556" t="s">
        <v>74</v>
      </c>
      <c r="BH556" t="s">
        <v>74</v>
      </c>
      <c r="BI556">
        <v>11</v>
      </c>
      <c r="BJ556" t="s">
        <v>10575</v>
      </c>
      <c r="BK556" t="s">
        <v>8799</v>
      </c>
      <c r="BL556" t="s">
        <v>10576</v>
      </c>
      <c r="BM556" t="s">
        <v>10577</v>
      </c>
      <c r="BN556" t="s">
        <v>74</v>
      </c>
      <c r="BO556" t="s">
        <v>74</v>
      </c>
      <c r="BP556" t="s">
        <v>74</v>
      </c>
      <c r="BQ556" t="s">
        <v>74</v>
      </c>
      <c r="BR556" t="s">
        <v>104</v>
      </c>
      <c r="BS556" t="s">
        <v>10578</v>
      </c>
      <c r="BT556" t="str">
        <f>HYPERLINK("https%3A%2F%2Fwww.webofscience.com%2Fwos%2Fwoscc%2Ffull-record%2FWOS:000346649800026","View Full Record in Web of Science")</f>
        <v>View Full Record in Web of Science</v>
      </c>
    </row>
    <row r="557" spans="1:72" x14ac:dyDescent="0.15">
      <c r="A557" t="s">
        <v>72</v>
      </c>
      <c r="B557" t="s">
        <v>10579</v>
      </c>
      <c r="C557" t="s">
        <v>74</v>
      </c>
      <c r="D557" t="s">
        <v>74</v>
      </c>
      <c r="E557" t="s">
        <v>74</v>
      </c>
      <c r="F557" t="s">
        <v>10580</v>
      </c>
      <c r="G557" t="s">
        <v>74</v>
      </c>
      <c r="H557" t="s">
        <v>74</v>
      </c>
      <c r="I557" t="s">
        <v>10581</v>
      </c>
      <c r="J557" t="s">
        <v>10582</v>
      </c>
      <c r="K557" t="s">
        <v>74</v>
      </c>
      <c r="L557" t="s">
        <v>74</v>
      </c>
      <c r="M557" t="s">
        <v>78</v>
      </c>
      <c r="N557" t="s">
        <v>79</v>
      </c>
      <c r="O557" t="s">
        <v>74</v>
      </c>
      <c r="P557" t="s">
        <v>74</v>
      </c>
      <c r="Q557" t="s">
        <v>74</v>
      </c>
      <c r="R557" t="s">
        <v>74</v>
      </c>
      <c r="S557" t="s">
        <v>74</v>
      </c>
      <c r="T557" t="s">
        <v>10583</v>
      </c>
      <c r="U557" t="s">
        <v>10584</v>
      </c>
      <c r="V557" t="s">
        <v>10585</v>
      </c>
      <c r="W557" t="s">
        <v>10586</v>
      </c>
      <c r="X557" t="s">
        <v>10587</v>
      </c>
      <c r="Y557" t="s">
        <v>10588</v>
      </c>
      <c r="Z557" t="s">
        <v>10589</v>
      </c>
      <c r="AA557" t="s">
        <v>10590</v>
      </c>
      <c r="AB557" t="s">
        <v>10591</v>
      </c>
      <c r="AC557" t="s">
        <v>10592</v>
      </c>
      <c r="AD557" t="s">
        <v>10593</v>
      </c>
      <c r="AE557" t="s">
        <v>10594</v>
      </c>
      <c r="AF557" t="s">
        <v>74</v>
      </c>
      <c r="AG557">
        <v>33</v>
      </c>
      <c r="AH557">
        <v>35</v>
      </c>
      <c r="AI557">
        <v>36</v>
      </c>
      <c r="AJ557">
        <v>1</v>
      </c>
      <c r="AK557">
        <v>16</v>
      </c>
      <c r="AL557" t="s">
        <v>5746</v>
      </c>
      <c r="AM557" t="s">
        <v>5747</v>
      </c>
      <c r="AN557" t="s">
        <v>5748</v>
      </c>
      <c r="AO557" t="s">
        <v>10595</v>
      </c>
      <c r="AP557" t="s">
        <v>10596</v>
      </c>
      <c r="AQ557" t="s">
        <v>74</v>
      </c>
      <c r="AR557" t="s">
        <v>10597</v>
      </c>
      <c r="AS557" t="s">
        <v>10598</v>
      </c>
      <c r="AT557" t="s">
        <v>74</v>
      </c>
      <c r="AU557">
        <v>2014</v>
      </c>
      <c r="AV557">
        <v>33</v>
      </c>
      <c r="AW557" t="s">
        <v>74</v>
      </c>
      <c r="AX557" t="s">
        <v>74</v>
      </c>
      <c r="AY557" t="s">
        <v>74</v>
      </c>
      <c r="AZ557" t="s">
        <v>74</v>
      </c>
      <c r="BA557" t="s">
        <v>74</v>
      </c>
      <c r="BB557" t="s">
        <v>74</v>
      </c>
      <c r="BC557" t="s">
        <v>74</v>
      </c>
      <c r="BD557">
        <v>21004</v>
      </c>
      <c r="BE557" t="s">
        <v>10599</v>
      </c>
      <c r="BF557" t="str">
        <f>HYPERLINK("http://dx.doi.org/10.3402/polar.v33.21004","http://dx.doi.org/10.3402/polar.v33.21004")</f>
        <v>http://dx.doi.org/10.3402/polar.v33.21004</v>
      </c>
      <c r="BG557" t="s">
        <v>74</v>
      </c>
      <c r="BH557" t="s">
        <v>74</v>
      </c>
      <c r="BI557">
        <v>22</v>
      </c>
      <c r="BJ557" t="s">
        <v>10600</v>
      </c>
      <c r="BK557" t="s">
        <v>101</v>
      </c>
      <c r="BL557" t="s">
        <v>10601</v>
      </c>
      <c r="BM557" t="s">
        <v>10602</v>
      </c>
      <c r="BN557" t="s">
        <v>74</v>
      </c>
      <c r="BO557" t="s">
        <v>2318</v>
      </c>
      <c r="BP557" t="s">
        <v>74</v>
      </c>
      <c r="BQ557" t="s">
        <v>74</v>
      </c>
      <c r="BR557" t="s">
        <v>104</v>
      </c>
      <c r="BS557" t="s">
        <v>10603</v>
      </c>
      <c r="BT557" t="str">
        <f>HYPERLINK("https%3A%2F%2Fwww.webofscience.com%2Fwos%2Fwoscc%2Ffull-record%2FWOS:000346839500001","View Full Record in Web of Science")</f>
        <v>View Full Record in Web of Science</v>
      </c>
    </row>
    <row r="558" spans="1:72" x14ac:dyDescent="0.15">
      <c r="A558" t="s">
        <v>8774</v>
      </c>
      <c r="B558" t="s">
        <v>10604</v>
      </c>
      <c r="C558" t="s">
        <v>74</v>
      </c>
      <c r="D558" t="s">
        <v>74</v>
      </c>
      <c r="E558" t="s">
        <v>8931</v>
      </c>
      <c r="F558" t="s">
        <v>10605</v>
      </c>
      <c r="G558" t="s">
        <v>74</v>
      </c>
      <c r="H558" t="s">
        <v>74</v>
      </c>
      <c r="I558" t="s">
        <v>10606</v>
      </c>
      <c r="J558" t="s">
        <v>10607</v>
      </c>
      <c r="K558" t="s">
        <v>10608</v>
      </c>
      <c r="L558" t="s">
        <v>74</v>
      </c>
      <c r="M558" t="s">
        <v>78</v>
      </c>
      <c r="N558" t="s">
        <v>8781</v>
      </c>
      <c r="O558" t="s">
        <v>10609</v>
      </c>
      <c r="P558" t="s">
        <v>10610</v>
      </c>
      <c r="Q558" t="s">
        <v>10611</v>
      </c>
      <c r="R558" t="s">
        <v>74</v>
      </c>
      <c r="S558" t="s">
        <v>74</v>
      </c>
      <c r="T558" t="s">
        <v>74</v>
      </c>
      <c r="U558" t="s">
        <v>74</v>
      </c>
      <c r="V558" t="s">
        <v>10612</v>
      </c>
      <c r="W558" t="s">
        <v>10613</v>
      </c>
      <c r="X558" t="s">
        <v>10614</v>
      </c>
      <c r="Y558" t="s">
        <v>10615</v>
      </c>
      <c r="Z558" t="s">
        <v>10616</v>
      </c>
      <c r="AA558" t="s">
        <v>10617</v>
      </c>
      <c r="AB558" t="s">
        <v>10618</v>
      </c>
      <c r="AC558" t="s">
        <v>10619</v>
      </c>
      <c r="AD558" t="s">
        <v>10620</v>
      </c>
      <c r="AE558" t="s">
        <v>74</v>
      </c>
      <c r="AF558" t="s">
        <v>74</v>
      </c>
      <c r="AG558">
        <v>7</v>
      </c>
      <c r="AH558">
        <v>0</v>
      </c>
      <c r="AI558">
        <v>0</v>
      </c>
      <c r="AJ558">
        <v>0</v>
      </c>
      <c r="AK558">
        <v>2</v>
      </c>
      <c r="AL558" t="s">
        <v>8931</v>
      </c>
      <c r="AM558" t="s">
        <v>92</v>
      </c>
      <c r="AN558" t="s">
        <v>8945</v>
      </c>
      <c r="AO558" t="s">
        <v>10621</v>
      </c>
      <c r="AP558" t="s">
        <v>74</v>
      </c>
      <c r="AQ558" t="s">
        <v>10622</v>
      </c>
      <c r="AR558" t="s">
        <v>10623</v>
      </c>
      <c r="AS558" t="s">
        <v>74</v>
      </c>
      <c r="AT558" t="s">
        <v>74</v>
      </c>
      <c r="AU558">
        <v>2014</v>
      </c>
      <c r="AV558" t="s">
        <v>74</v>
      </c>
      <c r="AW558" t="s">
        <v>74</v>
      </c>
      <c r="AX558" t="s">
        <v>74</v>
      </c>
      <c r="AY558" t="s">
        <v>74</v>
      </c>
      <c r="AZ558" t="s">
        <v>74</v>
      </c>
      <c r="BA558" t="s">
        <v>74</v>
      </c>
      <c r="BB558">
        <v>1430</v>
      </c>
      <c r="BC558">
        <v>1433</v>
      </c>
      <c r="BD558" t="s">
        <v>74</v>
      </c>
      <c r="BE558" t="s">
        <v>74</v>
      </c>
      <c r="BF558" t="s">
        <v>74</v>
      </c>
      <c r="BG558" t="s">
        <v>74</v>
      </c>
      <c r="BH558" t="s">
        <v>74</v>
      </c>
      <c r="BI558">
        <v>4</v>
      </c>
      <c r="BJ558" t="s">
        <v>10624</v>
      </c>
      <c r="BK558" t="s">
        <v>8799</v>
      </c>
      <c r="BL558" t="s">
        <v>10625</v>
      </c>
      <c r="BM558" t="s">
        <v>10626</v>
      </c>
      <c r="BN558" t="s">
        <v>74</v>
      </c>
      <c r="BO558" t="s">
        <v>74</v>
      </c>
      <c r="BP558" t="s">
        <v>74</v>
      </c>
      <c r="BQ558" t="s">
        <v>74</v>
      </c>
      <c r="BR558" t="s">
        <v>104</v>
      </c>
      <c r="BS558" t="s">
        <v>10627</v>
      </c>
      <c r="BT558" t="str">
        <f>HYPERLINK("https%3A%2F%2Fwww.webofscience.com%2Fwos%2Fwoscc%2Ffull-record%2FWOS:000346494600281","View Full Record in Web of Science")</f>
        <v>View Full Record in Web of Science</v>
      </c>
    </row>
    <row r="559" spans="1:72" x14ac:dyDescent="0.15">
      <c r="A559" t="s">
        <v>8774</v>
      </c>
      <c r="B559" t="s">
        <v>10628</v>
      </c>
      <c r="C559" t="s">
        <v>74</v>
      </c>
      <c r="D559" t="s">
        <v>10629</v>
      </c>
      <c r="E559" t="s">
        <v>74</v>
      </c>
      <c r="F559" t="s">
        <v>10630</v>
      </c>
      <c r="G559" t="s">
        <v>74</v>
      </c>
      <c r="H559" t="s">
        <v>10631</v>
      </c>
      <c r="I559" t="s">
        <v>10632</v>
      </c>
      <c r="J559" t="s">
        <v>10633</v>
      </c>
      <c r="K559" t="s">
        <v>10634</v>
      </c>
      <c r="L559" t="s">
        <v>74</v>
      </c>
      <c r="M559" t="s">
        <v>78</v>
      </c>
      <c r="N559" t="s">
        <v>8781</v>
      </c>
      <c r="O559" t="s">
        <v>10635</v>
      </c>
      <c r="P559" t="s">
        <v>10636</v>
      </c>
      <c r="Q559" t="s">
        <v>10637</v>
      </c>
      <c r="R559" t="s">
        <v>74</v>
      </c>
      <c r="S559" t="s">
        <v>74</v>
      </c>
      <c r="T559" t="s">
        <v>10638</v>
      </c>
      <c r="U559" t="s">
        <v>74</v>
      </c>
      <c r="V559" t="s">
        <v>10639</v>
      </c>
      <c r="W559" t="s">
        <v>10640</v>
      </c>
      <c r="X559" t="s">
        <v>10641</v>
      </c>
      <c r="Y559" t="s">
        <v>10642</v>
      </c>
      <c r="Z559" t="s">
        <v>74</v>
      </c>
      <c r="AA559" t="s">
        <v>10643</v>
      </c>
      <c r="AB559" t="s">
        <v>74</v>
      </c>
      <c r="AC559" t="s">
        <v>74</v>
      </c>
      <c r="AD559" t="s">
        <v>74</v>
      </c>
      <c r="AE559" t="s">
        <v>74</v>
      </c>
      <c r="AF559" t="s">
        <v>74</v>
      </c>
      <c r="AG559">
        <v>8</v>
      </c>
      <c r="AH559">
        <v>0</v>
      </c>
      <c r="AI559">
        <v>0</v>
      </c>
      <c r="AJ559">
        <v>0</v>
      </c>
      <c r="AK559">
        <v>0</v>
      </c>
      <c r="AL559" t="s">
        <v>10644</v>
      </c>
      <c r="AM559" t="s">
        <v>2417</v>
      </c>
      <c r="AN559" t="s">
        <v>10645</v>
      </c>
      <c r="AO559" t="s">
        <v>10646</v>
      </c>
      <c r="AP559" t="s">
        <v>74</v>
      </c>
      <c r="AQ559" t="s">
        <v>10647</v>
      </c>
      <c r="AR559" t="s">
        <v>10648</v>
      </c>
      <c r="AS559" t="s">
        <v>74</v>
      </c>
      <c r="AT559" t="s">
        <v>74</v>
      </c>
      <c r="AU559">
        <v>2014</v>
      </c>
      <c r="AV559">
        <v>1630</v>
      </c>
      <c r="AW559" t="s">
        <v>74</v>
      </c>
      <c r="AX559" t="s">
        <v>74</v>
      </c>
      <c r="AY559" t="s">
        <v>74</v>
      </c>
      <c r="AZ559" t="s">
        <v>74</v>
      </c>
      <c r="BA559" t="s">
        <v>74</v>
      </c>
      <c r="BB559">
        <v>70</v>
      </c>
      <c r="BC559">
        <v>73</v>
      </c>
      <c r="BD559" t="s">
        <v>74</v>
      </c>
      <c r="BE559" t="s">
        <v>10649</v>
      </c>
      <c r="BF559" t="str">
        <f>HYPERLINK("http://dx.doi.org/10.1063/1.4902774","http://dx.doi.org/10.1063/1.4902774")</f>
        <v>http://dx.doi.org/10.1063/1.4902774</v>
      </c>
      <c r="BG559" t="s">
        <v>74</v>
      </c>
      <c r="BH559" t="s">
        <v>74</v>
      </c>
      <c r="BI559">
        <v>4</v>
      </c>
      <c r="BJ559" t="s">
        <v>10650</v>
      </c>
      <c r="BK559" t="s">
        <v>8799</v>
      </c>
      <c r="BL559" t="s">
        <v>7010</v>
      </c>
      <c r="BM559" t="s">
        <v>10651</v>
      </c>
      <c r="BN559" t="s">
        <v>74</v>
      </c>
      <c r="BO559" t="s">
        <v>74</v>
      </c>
      <c r="BP559" t="s">
        <v>74</v>
      </c>
      <c r="BQ559" t="s">
        <v>74</v>
      </c>
      <c r="BR559" t="s">
        <v>104</v>
      </c>
      <c r="BS559" t="s">
        <v>10652</v>
      </c>
      <c r="BT559" t="str">
        <f>HYPERLINK("https%3A%2F%2Fwww.webofscience.com%2Fwos%2Fwoscc%2Ffull-record%2FWOS:000346054000013","View Full Record in Web of Science")</f>
        <v>View Full Record in Web of Science</v>
      </c>
    </row>
    <row r="560" spans="1:72" x14ac:dyDescent="0.15">
      <c r="A560" t="s">
        <v>8774</v>
      </c>
      <c r="B560" t="s">
        <v>10653</v>
      </c>
      <c r="C560" t="s">
        <v>74</v>
      </c>
      <c r="D560" t="s">
        <v>10629</v>
      </c>
      <c r="E560" t="s">
        <v>74</v>
      </c>
      <c r="F560" t="s">
        <v>10654</v>
      </c>
      <c r="G560" t="s">
        <v>74</v>
      </c>
      <c r="H560" t="s">
        <v>74</v>
      </c>
      <c r="I560" t="s">
        <v>10655</v>
      </c>
      <c r="J560" t="s">
        <v>10633</v>
      </c>
      <c r="K560" t="s">
        <v>10634</v>
      </c>
      <c r="L560" t="s">
        <v>74</v>
      </c>
      <c r="M560" t="s">
        <v>78</v>
      </c>
      <c r="N560" t="s">
        <v>8781</v>
      </c>
      <c r="O560" t="s">
        <v>10635</v>
      </c>
      <c r="P560" t="s">
        <v>10636</v>
      </c>
      <c r="Q560" t="s">
        <v>10637</v>
      </c>
      <c r="R560" t="s">
        <v>74</v>
      </c>
      <c r="S560" t="s">
        <v>74</v>
      </c>
      <c r="T560" t="s">
        <v>10656</v>
      </c>
      <c r="U560" t="s">
        <v>74</v>
      </c>
      <c r="V560" t="s">
        <v>10657</v>
      </c>
      <c r="W560" t="s">
        <v>10658</v>
      </c>
      <c r="X560" t="s">
        <v>10659</v>
      </c>
      <c r="Y560" t="s">
        <v>10660</v>
      </c>
      <c r="Z560" t="s">
        <v>74</v>
      </c>
      <c r="AA560" t="s">
        <v>10643</v>
      </c>
      <c r="AB560" t="s">
        <v>74</v>
      </c>
      <c r="AC560" t="s">
        <v>74</v>
      </c>
      <c r="AD560" t="s">
        <v>74</v>
      </c>
      <c r="AE560" t="s">
        <v>74</v>
      </c>
      <c r="AF560" t="s">
        <v>74</v>
      </c>
      <c r="AG560">
        <v>16</v>
      </c>
      <c r="AH560">
        <v>0</v>
      </c>
      <c r="AI560">
        <v>0</v>
      </c>
      <c r="AJ560">
        <v>0</v>
      </c>
      <c r="AK560">
        <v>2</v>
      </c>
      <c r="AL560" t="s">
        <v>10644</v>
      </c>
      <c r="AM560" t="s">
        <v>2417</v>
      </c>
      <c r="AN560" t="s">
        <v>10645</v>
      </c>
      <c r="AO560" t="s">
        <v>10646</v>
      </c>
      <c r="AP560" t="s">
        <v>74</v>
      </c>
      <c r="AQ560" t="s">
        <v>10647</v>
      </c>
      <c r="AR560" t="s">
        <v>10648</v>
      </c>
      <c r="AS560" t="s">
        <v>74</v>
      </c>
      <c r="AT560" t="s">
        <v>74</v>
      </c>
      <c r="AU560">
        <v>2014</v>
      </c>
      <c r="AV560">
        <v>1630</v>
      </c>
      <c r="AW560" t="s">
        <v>74</v>
      </c>
      <c r="AX560" t="s">
        <v>74</v>
      </c>
      <c r="AY560" t="s">
        <v>74</v>
      </c>
      <c r="AZ560" t="s">
        <v>74</v>
      </c>
      <c r="BA560" t="s">
        <v>74</v>
      </c>
      <c r="BB560">
        <v>150</v>
      </c>
      <c r="BC560">
        <v>153</v>
      </c>
      <c r="BD560" t="s">
        <v>74</v>
      </c>
      <c r="BE560" t="s">
        <v>10661</v>
      </c>
      <c r="BF560" t="str">
        <f>HYPERLINK("http://dx.doi.org/10.1063/1.4902794","http://dx.doi.org/10.1063/1.4902794")</f>
        <v>http://dx.doi.org/10.1063/1.4902794</v>
      </c>
      <c r="BG560" t="s">
        <v>74</v>
      </c>
      <c r="BH560" t="s">
        <v>74</v>
      </c>
      <c r="BI560">
        <v>4</v>
      </c>
      <c r="BJ560" t="s">
        <v>10650</v>
      </c>
      <c r="BK560" t="s">
        <v>8799</v>
      </c>
      <c r="BL560" t="s">
        <v>7010</v>
      </c>
      <c r="BM560" t="s">
        <v>10651</v>
      </c>
      <c r="BN560" t="s">
        <v>74</v>
      </c>
      <c r="BO560" t="s">
        <v>200</v>
      </c>
      <c r="BP560" t="s">
        <v>74</v>
      </c>
      <c r="BQ560" t="s">
        <v>74</v>
      </c>
      <c r="BR560" t="s">
        <v>104</v>
      </c>
      <c r="BS560" t="s">
        <v>10662</v>
      </c>
      <c r="BT560" t="str">
        <f>HYPERLINK("https%3A%2F%2Fwww.webofscience.com%2Fwos%2Fwoscc%2Ffull-record%2FWOS:000346054000033","View Full Record in Web of Science")</f>
        <v>View Full Record in Web of Science</v>
      </c>
    </row>
    <row r="561" spans="1:72" x14ac:dyDescent="0.15">
      <c r="A561" t="s">
        <v>72</v>
      </c>
      <c r="B561" t="s">
        <v>10663</v>
      </c>
      <c r="C561" t="s">
        <v>74</v>
      </c>
      <c r="D561" t="s">
        <v>74</v>
      </c>
      <c r="E561" t="s">
        <v>74</v>
      </c>
      <c r="F561" t="s">
        <v>10664</v>
      </c>
      <c r="G561" t="s">
        <v>74</v>
      </c>
      <c r="H561" t="s">
        <v>74</v>
      </c>
      <c r="I561" t="s">
        <v>10665</v>
      </c>
      <c r="J561" t="s">
        <v>10666</v>
      </c>
      <c r="K561" t="s">
        <v>74</v>
      </c>
      <c r="L561" t="s">
        <v>74</v>
      </c>
      <c r="M561" t="s">
        <v>78</v>
      </c>
      <c r="N561" t="s">
        <v>79</v>
      </c>
      <c r="O561" t="s">
        <v>74</v>
      </c>
      <c r="P561" t="s">
        <v>74</v>
      </c>
      <c r="Q561" t="s">
        <v>74</v>
      </c>
      <c r="R561" t="s">
        <v>74</v>
      </c>
      <c r="S561" t="s">
        <v>74</v>
      </c>
      <c r="T561" t="s">
        <v>10667</v>
      </c>
      <c r="U561" t="s">
        <v>10668</v>
      </c>
      <c r="V561" t="s">
        <v>10669</v>
      </c>
      <c r="W561" t="s">
        <v>10670</v>
      </c>
      <c r="X561" t="s">
        <v>10671</v>
      </c>
      <c r="Y561" t="s">
        <v>10672</v>
      </c>
      <c r="Z561" t="s">
        <v>10673</v>
      </c>
      <c r="AA561" t="s">
        <v>74</v>
      </c>
      <c r="AB561" t="s">
        <v>10674</v>
      </c>
      <c r="AC561" t="s">
        <v>10675</v>
      </c>
      <c r="AD561" t="s">
        <v>10676</v>
      </c>
      <c r="AE561" t="s">
        <v>10677</v>
      </c>
      <c r="AF561" t="s">
        <v>74</v>
      </c>
      <c r="AG561">
        <v>53</v>
      </c>
      <c r="AH561">
        <v>9</v>
      </c>
      <c r="AI561">
        <v>9</v>
      </c>
      <c r="AJ561">
        <v>1</v>
      </c>
      <c r="AK561">
        <v>6</v>
      </c>
      <c r="AL561" t="s">
        <v>10678</v>
      </c>
      <c r="AM561" t="s">
        <v>10679</v>
      </c>
      <c r="AN561" t="s">
        <v>10680</v>
      </c>
      <c r="AO561" t="s">
        <v>10681</v>
      </c>
      <c r="AP561" t="s">
        <v>10682</v>
      </c>
      <c r="AQ561" t="s">
        <v>74</v>
      </c>
      <c r="AR561" t="s">
        <v>10666</v>
      </c>
      <c r="AS561" t="s">
        <v>10683</v>
      </c>
      <c r="AT561" t="s">
        <v>74</v>
      </c>
      <c r="AU561">
        <v>2014</v>
      </c>
      <c r="AV561">
        <v>51</v>
      </c>
      <c r="AW561">
        <v>6</v>
      </c>
      <c r="AX561" t="s">
        <v>74</v>
      </c>
      <c r="AY561" t="s">
        <v>74</v>
      </c>
      <c r="AZ561" t="s">
        <v>74</v>
      </c>
      <c r="BA561" t="s">
        <v>74</v>
      </c>
      <c r="BB561">
        <v>500</v>
      </c>
      <c r="BC561">
        <v>509</v>
      </c>
      <c r="BD561" t="s">
        <v>74</v>
      </c>
      <c r="BE561" t="s">
        <v>10684</v>
      </c>
      <c r="BF561" t="str">
        <f>HYPERLINK("http://dx.doi.org/10.5710/AMGH.06.08.2014.2727","http://dx.doi.org/10.5710/AMGH.06.08.2014.2727")</f>
        <v>http://dx.doi.org/10.5710/AMGH.06.08.2014.2727</v>
      </c>
      <c r="BG561" t="s">
        <v>74</v>
      </c>
      <c r="BH561" t="s">
        <v>74</v>
      </c>
      <c r="BI561">
        <v>10</v>
      </c>
      <c r="BJ561" t="s">
        <v>2715</v>
      </c>
      <c r="BK561" t="s">
        <v>101</v>
      </c>
      <c r="BL561" t="s">
        <v>2715</v>
      </c>
      <c r="BM561" t="s">
        <v>10685</v>
      </c>
      <c r="BN561" t="s">
        <v>74</v>
      </c>
      <c r="BO561" t="s">
        <v>234</v>
      </c>
      <c r="BP561" t="s">
        <v>74</v>
      </c>
      <c r="BQ561" t="s">
        <v>74</v>
      </c>
      <c r="BR561" t="s">
        <v>104</v>
      </c>
      <c r="BS561" t="s">
        <v>10686</v>
      </c>
      <c r="BT561" t="str">
        <f>HYPERLINK("https%3A%2F%2Fwww.webofscience.com%2Fwos%2Fwoscc%2Ffull-record%2FWOS:000346179800003","View Full Record in Web of Science")</f>
        <v>View Full Record in Web of Science</v>
      </c>
    </row>
    <row r="562" spans="1:72" x14ac:dyDescent="0.15">
      <c r="A562" t="s">
        <v>72</v>
      </c>
      <c r="B562" t="s">
        <v>10687</v>
      </c>
      <c r="C562" t="s">
        <v>74</v>
      </c>
      <c r="D562" t="s">
        <v>74</v>
      </c>
      <c r="E562" t="s">
        <v>74</v>
      </c>
      <c r="F562" t="s">
        <v>10688</v>
      </c>
      <c r="G562" t="s">
        <v>74</v>
      </c>
      <c r="H562" t="s">
        <v>74</v>
      </c>
      <c r="I562" t="s">
        <v>10689</v>
      </c>
      <c r="J562" t="s">
        <v>10690</v>
      </c>
      <c r="K562" t="s">
        <v>74</v>
      </c>
      <c r="L562" t="s">
        <v>74</v>
      </c>
      <c r="M562" t="s">
        <v>1424</v>
      </c>
      <c r="N562" t="s">
        <v>79</v>
      </c>
      <c r="O562" t="s">
        <v>74</v>
      </c>
      <c r="P562" t="s">
        <v>74</v>
      </c>
      <c r="Q562" t="s">
        <v>74</v>
      </c>
      <c r="R562" t="s">
        <v>74</v>
      </c>
      <c r="S562" t="s">
        <v>74</v>
      </c>
      <c r="T562" t="s">
        <v>10691</v>
      </c>
      <c r="U562" t="s">
        <v>10692</v>
      </c>
      <c r="V562" t="s">
        <v>10693</v>
      </c>
      <c r="W562" t="s">
        <v>10694</v>
      </c>
      <c r="X562" t="s">
        <v>10695</v>
      </c>
      <c r="Y562" t="s">
        <v>10696</v>
      </c>
      <c r="Z562" t="s">
        <v>10697</v>
      </c>
      <c r="AA562" t="s">
        <v>10698</v>
      </c>
      <c r="AB562" t="s">
        <v>10699</v>
      </c>
      <c r="AC562" t="s">
        <v>74</v>
      </c>
      <c r="AD562" t="s">
        <v>74</v>
      </c>
      <c r="AE562" t="s">
        <v>74</v>
      </c>
      <c r="AF562" t="s">
        <v>74</v>
      </c>
      <c r="AG562">
        <v>32</v>
      </c>
      <c r="AH562">
        <v>10</v>
      </c>
      <c r="AI562">
        <v>15</v>
      </c>
      <c r="AJ562">
        <v>1</v>
      </c>
      <c r="AK562">
        <v>45</v>
      </c>
      <c r="AL562" t="s">
        <v>10700</v>
      </c>
      <c r="AM562" t="s">
        <v>10701</v>
      </c>
      <c r="AN562" t="s">
        <v>10702</v>
      </c>
      <c r="AO562" t="s">
        <v>10703</v>
      </c>
      <c r="AP562" t="s">
        <v>74</v>
      </c>
      <c r="AQ562" t="s">
        <v>74</v>
      </c>
      <c r="AR562" t="s">
        <v>10690</v>
      </c>
      <c r="AS562" t="s">
        <v>10704</v>
      </c>
      <c r="AT562" t="s">
        <v>74</v>
      </c>
      <c r="AU562">
        <v>2014</v>
      </c>
      <c r="AV562">
        <v>35</v>
      </c>
      <c r="AW562">
        <v>3</v>
      </c>
      <c r="AX562" t="s">
        <v>74</v>
      </c>
      <c r="AY562" t="s">
        <v>74</v>
      </c>
      <c r="AZ562" t="s">
        <v>74</v>
      </c>
      <c r="BA562" t="s">
        <v>74</v>
      </c>
      <c r="BB562">
        <v>429</v>
      </c>
      <c r="BC562">
        <v>437</v>
      </c>
      <c r="BD562" t="s">
        <v>74</v>
      </c>
      <c r="BE562" t="s">
        <v>10705</v>
      </c>
      <c r="BF562" t="str">
        <f>HYPERLINK("http://dx.doi.org/10.4067/S0717-92002014000300018","http://dx.doi.org/10.4067/S0717-92002014000300018")</f>
        <v>http://dx.doi.org/10.4067/S0717-92002014000300018</v>
      </c>
      <c r="BG562" t="s">
        <v>74</v>
      </c>
      <c r="BH562" t="s">
        <v>74</v>
      </c>
      <c r="BI562">
        <v>9</v>
      </c>
      <c r="BJ562" t="s">
        <v>10706</v>
      </c>
      <c r="BK562" t="s">
        <v>101</v>
      </c>
      <c r="BL562" t="s">
        <v>10707</v>
      </c>
      <c r="BM562" t="s">
        <v>10708</v>
      </c>
      <c r="BN562" t="s">
        <v>74</v>
      </c>
      <c r="BO562" t="s">
        <v>6156</v>
      </c>
      <c r="BP562" t="s">
        <v>74</v>
      </c>
      <c r="BQ562" t="s">
        <v>74</v>
      </c>
      <c r="BR562" t="s">
        <v>104</v>
      </c>
      <c r="BS562" t="s">
        <v>10709</v>
      </c>
      <c r="BT562" t="str">
        <f>HYPERLINK("https%3A%2F%2Fwww.webofscience.com%2Fwos%2Fwoscc%2Ffull-record%2FWOS:000346237800018","View Full Record in Web of Science")</f>
        <v>View Full Record in Web of Science</v>
      </c>
    </row>
    <row r="563" spans="1:72" x14ac:dyDescent="0.15">
      <c r="A563" t="s">
        <v>72</v>
      </c>
      <c r="B563" t="s">
        <v>10710</v>
      </c>
      <c r="C563" t="s">
        <v>74</v>
      </c>
      <c r="D563" t="s">
        <v>74</v>
      </c>
      <c r="E563" t="s">
        <v>74</v>
      </c>
      <c r="F563" t="s">
        <v>10711</v>
      </c>
      <c r="G563" t="s">
        <v>74</v>
      </c>
      <c r="H563" t="s">
        <v>74</v>
      </c>
      <c r="I563" t="s">
        <v>10712</v>
      </c>
      <c r="J563" t="s">
        <v>10713</v>
      </c>
      <c r="K563" t="s">
        <v>74</v>
      </c>
      <c r="L563" t="s">
        <v>74</v>
      </c>
      <c r="M563" t="s">
        <v>78</v>
      </c>
      <c r="N563" t="s">
        <v>79</v>
      </c>
      <c r="O563" t="s">
        <v>74</v>
      </c>
      <c r="P563" t="s">
        <v>74</v>
      </c>
      <c r="Q563" t="s">
        <v>74</v>
      </c>
      <c r="R563" t="s">
        <v>74</v>
      </c>
      <c r="S563" t="s">
        <v>74</v>
      </c>
      <c r="T563" t="s">
        <v>10714</v>
      </c>
      <c r="U563" t="s">
        <v>10715</v>
      </c>
      <c r="V563" t="s">
        <v>10716</v>
      </c>
      <c r="W563" t="s">
        <v>10717</v>
      </c>
      <c r="X563" t="s">
        <v>10718</v>
      </c>
      <c r="Y563" t="s">
        <v>10719</v>
      </c>
      <c r="Z563" t="s">
        <v>139</v>
      </c>
      <c r="AA563" t="s">
        <v>74</v>
      </c>
      <c r="AB563" t="s">
        <v>74</v>
      </c>
      <c r="AC563" t="s">
        <v>10720</v>
      </c>
      <c r="AD563" t="s">
        <v>10721</v>
      </c>
      <c r="AE563" t="s">
        <v>10722</v>
      </c>
      <c r="AF563" t="s">
        <v>74</v>
      </c>
      <c r="AG563">
        <v>65</v>
      </c>
      <c r="AH563">
        <v>15</v>
      </c>
      <c r="AI563">
        <v>17</v>
      </c>
      <c r="AJ563">
        <v>2</v>
      </c>
      <c r="AK563">
        <v>46</v>
      </c>
      <c r="AL563" t="s">
        <v>10723</v>
      </c>
      <c r="AM563" t="s">
        <v>10724</v>
      </c>
      <c r="AN563" t="s">
        <v>10725</v>
      </c>
      <c r="AO563" t="s">
        <v>10726</v>
      </c>
      <c r="AP563" t="s">
        <v>10727</v>
      </c>
      <c r="AQ563" t="s">
        <v>74</v>
      </c>
      <c r="AR563" t="s">
        <v>10728</v>
      </c>
      <c r="AS563" t="s">
        <v>10729</v>
      </c>
      <c r="AT563" t="s">
        <v>74</v>
      </c>
      <c r="AU563">
        <v>2014</v>
      </c>
      <c r="AV563">
        <v>35</v>
      </c>
      <c r="AW563">
        <v>4</v>
      </c>
      <c r="AX563" t="s">
        <v>74</v>
      </c>
      <c r="AY563" t="s">
        <v>74</v>
      </c>
      <c r="AZ563" t="s">
        <v>74</v>
      </c>
      <c r="BA563" t="s">
        <v>74</v>
      </c>
      <c r="BB563">
        <v>593</v>
      </c>
      <c r="BC563">
        <v>607</v>
      </c>
      <c r="BD563" t="s">
        <v>74</v>
      </c>
      <c r="BE563" t="s">
        <v>10730</v>
      </c>
      <c r="BF563" t="str">
        <f>HYPERLINK("http://dx.doi.org/10.2478/popore-2014-0028","http://dx.doi.org/10.2478/popore-2014-0028")</f>
        <v>http://dx.doi.org/10.2478/popore-2014-0028</v>
      </c>
      <c r="BG563" t="s">
        <v>74</v>
      </c>
      <c r="BH563" t="s">
        <v>74</v>
      </c>
      <c r="BI563">
        <v>15</v>
      </c>
      <c r="BJ563" t="s">
        <v>2923</v>
      </c>
      <c r="BK563" t="s">
        <v>101</v>
      </c>
      <c r="BL563" t="s">
        <v>357</v>
      </c>
      <c r="BM563" t="s">
        <v>10731</v>
      </c>
      <c r="BN563" t="s">
        <v>74</v>
      </c>
      <c r="BO563" t="s">
        <v>74</v>
      </c>
      <c r="BP563" t="s">
        <v>74</v>
      </c>
      <c r="BQ563" t="s">
        <v>74</v>
      </c>
      <c r="BR563" t="s">
        <v>104</v>
      </c>
      <c r="BS563" t="s">
        <v>10732</v>
      </c>
      <c r="BT563" t="str">
        <f>HYPERLINK("https%3A%2F%2Fwww.webofscience.com%2Fwos%2Fwoscc%2Ffull-record%2FWOS:000346361100003","View Full Record in Web of Science")</f>
        <v>View Full Record in Web of Science</v>
      </c>
    </row>
    <row r="564" spans="1:72" x14ac:dyDescent="0.15">
      <c r="A564" t="s">
        <v>72</v>
      </c>
      <c r="B564" t="s">
        <v>10733</v>
      </c>
      <c r="C564" t="s">
        <v>74</v>
      </c>
      <c r="D564" t="s">
        <v>74</v>
      </c>
      <c r="E564" t="s">
        <v>74</v>
      </c>
      <c r="F564" t="s">
        <v>10734</v>
      </c>
      <c r="G564" t="s">
        <v>74</v>
      </c>
      <c r="H564" t="s">
        <v>74</v>
      </c>
      <c r="I564" t="s">
        <v>10735</v>
      </c>
      <c r="J564" t="s">
        <v>10713</v>
      </c>
      <c r="K564" t="s">
        <v>74</v>
      </c>
      <c r="L564" t="s">
        <v>74</v>
      </c>
      <c r="M564" t="s">
        <v>78</v>
      </c>
      <c r="N564" t="s">
        <v>79</v>
      </c>
      <c r="O564" t="s">
        <v>74</v>
      </c>
      <c r="P564" t="s">
        <v>74</v>
      </c>
      <c r="Q564" t="s">
        <v>74</v>
      </c>
      <c r="R564" t="s">
        <v>74</v>
      </c>
      <c r="S564" t="s">
        <v>74</v>
      </c>
      <c r="T564" t="s">
        <v>10736</v>
      </c>
      <c r="U564" t="s">
        <v>10737</v>
      </c>
      <c r="V564" t="s">
        <v>10738</v>
      </c>
      <c r="W564" t="s">
        <v>10739</v>
      </c>
      <c r="X564" t="s">
        <v>10740</v>
      </c>
      <c r="Y564" t="s">
        <v>10741</v>
      </c>
      <c r="Z564" t="s">
        <v>10742</v>
      </c>
      <c r="AA564" t="s">
        <v>10743</v>
      </c>
      <c r="AB564" t="s">
        <v>10744</v>
      </c>
      <c r="AC564" t="s">
        <v>74</v>
      </c>
      <c r="AD564" t="s">
        <v>74</v>
      </c>
      <c r="AE564" t="s">
        <v>74</v>
      </c>
      <c r="AF564" t="s">
        <v>74</v>
      </c>
      <c r="AG564">
        <v>45</v>
      </c>
      <c r="AH564">
        <v>8</v>
      </c>
      <c r="AI564">
        <v>9</v>
      </c>
      <c r="AJ564">
        <v>0</v>
      </c>
      <c r="AK564">
        <v>11</v>
      </c>
      <c r="AL564" t="s">
        <v>10723</v>
      </c>
      <c r="AM564" t="s">
        <v>10724</v>
      </c>
      <c r="AN564" t="s">
        <v>10725</v>
      </c>
      <c r="AO564" t="s">
        <v>10726</v>
      </c>
      <c r="AP564" t="s">
        <v>10727</v>
      </c>
      <c r="AQ564" t="s">
        <v>74</v>
      </c>
      <c r="AR564" t="s">
        <v>10728</v>
      </c>
      <c r="AS564" t="s">
        <v>10729</v>
      </c>
      <c r="AT564" t="s">
        <v>74</v>
      </c>
      <c r="AU564">
        <v>2014</v>
      </c>
      <c r="AV564">
        <v>35</v>
      </c>
      <c r="AW564">
        <v>4</v>
      </c>
      <c r="AX564" t="s">
        <v>74</v>
      </c>
      <c r="AY564" t="s">
        <v>74</v>
      </c>
      <c r="AZ564" t="s">
        <v>74</v>
      </c>
      <c r="BA564" t="s">
        <v>74</v>
      </c>
      <c r="BB564">
        <v>609</v>
      </c>
      <c r="BC564">
        <v>625</v>
      </c>
      <c r="BD564" t="s">
        <v>74</v>
      </c>
      <c r="BE564" t="s">
        <v>10745</v>
      </c>
      <c r="BF564" t="str">
        <f>HYPERLINK("http://dx.doi.org/10.2478/popore-2014-0026","http://dx.doi.org/10.2478/popore-2014-0026")</f>
        <v>http://dx.doi.org/10.2478/popore-2014-0026</v>
      </c>
      <c r="BG564" t="s">
        <v>74</v>
      </c>
      <c r="BH564" t="s">
        <v>74</v>
      </c>
      <c r="BI564">
        <v>17</v>
      </c>
      <c r="BJ564" t="s">
        <v>2923</v>
      </c>
      <c r="BK564" t="s">
        <v>101</v>
      </c>
      <c r="BL564" t="s">
        <v>357</v>
      </c>
      <c r="BM564" t="s">
        <v>10731</v>
      </c>
      <c r="BN564" t="s">
        <v>74</v>
      </c>
      <c r="BO564" t="s">
        <v>74</v>
      </c>
      <c r="BP564" t="s">
        <v>74</v>
      </c>
      <c r="BQ564" t="s">
        <v>74</v>
      </c>
      <c r="BR564" t="s">
        <v>104</v>
      </c>
      <c r="BS564" t="s">
        <v>10746</v>
      </c>
      <c r="BT564" t="str">
        <f>HYPERLINK("https%3A%2F%2Fwww.webofscience.com%2Fwos%2Fwoscc%2Ffull-record%2FWOS:000346361100004","View Full Record in Web of Science")</f>
        <v>View Full Record in Web of Science</v>
      </c>
    </row>
    <row r="565" spans="1:72" x14ac:dyDescent="0.15">
      <c r="A565" t="s">
        <v>72</v>
      </c>
      <c r="B565" t="s">
        <v>10747</v>
      </c>
      <c r="C565" t="s">
        <v>74</v>
      </c>
      <c r="D565" t="s">
        <v>74</v>
      </c>
      <c r="E565" t="s">
        <v>74</v>
      </c>
      <c r="F565" t="s">
        <v>10748</v>
      </c>
      <c r="G565" t="s">
        <v>74</v>
      </c>
      <c r="H565" t="s">
        <v>74</v>
      </c>
      <c r="I565" t="s">
        <v>10749</v>
      </c>
      <c r="J565" t="s">
        <v>10713</v>
      </c>
      <c r="K565" t="s">
        <v>74</v>
      </c>
      <c r="L565" t="s">
        <v>74</v>
      </c>
      <c r="M565" t="s">
        <v>78</v>
      </c>
      <c r="N565" t="s">
        <v>79</v>
      </c>
      <c r="O565" t="s">
        <v>74</v>
      </c>
      <c r="P565" t="s">
        <v>74</v>
      </c>
      <c r="Q565" t="s">
        <v>74</v>
      </c>
      <c r="R565" t="s">
        <v>74</v>
      </c>
      <c r="S565" t="s">
        <v>74</v>
      </c>
      <c r="T565" t="s">
        <v>10750</v>
      </c>
      <c r="U565" t="s">
        <v>10751</v>
      </c>
      <c r="V565" t="s">
        <v>10752</v>
      </c>
      <c r="W565" t="s">
        <v>10753</v>
      </c>
      <c r="X565" t="s">
        <v>10754</v>
      </c>
      <c r="Y565" t="s">
        <v>10755</v>
      </c>
      <c r="Z565" t="s">
        <v>10756</v>
      </c>
      <c r="AA565" t="s">
        <v>10757</v>
      </c>
      <c r="AB565" t="s">
        <v>10758</v>
      </c>
      <c r="AC565" t="s">
        <v>74</v>
      </c>
      <c r="AD565" t="s">
        <v>74</v>
      </c>
      <c r="AE565" t="s">
        <v>74</v>
      </c>
      <c r="AF565" t="s">
        <v>74</v>
      </c>
      <c r="AG565">
        <v>60</v>
      </c>
      <c r="AH565">
        <v>9</v>
      </c>
      <c r="AI565">
        <v>10</v>
      </c>
      <c r="AJ565">
        <v>1</v>
      </c>
      <c r="AK565">
        <v>18</v>
      </c>
      <c r="AL565" t="s">
        <v>10723</v>
      </c>
      <c r="AM565" t="s">
        <v>10724</v>
      </c>
      <c r="AN565" t="s">
        <v>10725</v>
      </c>
      <c r="AO565" t="s">
        <v>10726</v>
      </c>
      <c r="AP565" t="s">
        <v>10727</v>
      </c>
      <c r="AQ565" t="s">
        <v>74</v>
      </c>
      <c r="AR565" t="s">
        <v>10728</v>
      </c>
      <c r="AS565" t="s">
        <v>10729</v>
      </c>
      <c r="AT565" t="s">
        <v>74</v>
      </c>
      <c r="AU565">
        <v>2014</v>
      </c>
      <c r="AV565">
        <v>35</v>
      </c>
      <c r="AW565">
        <v>4</v>
      </c>
      <c r="AX565" t="s">
        <v>74</v>
      </c>
      <c r="AY565" t="s">
        <v>74</v>
      </c>
      <c r="AZ565" t="s">
        <v>74</v>
      </c>
      <c r="BA565" t="s">
        <v>74</v>
      </c>
      <c r="BB565">
        <v>627</v>
      </c>
      <c r="BC565">
        <v>646</v>
      </c>
      <c r="BD565" t="s">
        <v>74</v>
      </c>
      <c r="BE565" t="s">
        <v>10759</v>
      </c>
      <c r="BF565" t="str">
        <f>HYPERLINK("http://dx.doi.org/10.2478/popore-2014-0029","http://dx.doi.org/10.2478/popore-2014-0029")</f>
        <v>http://dx.doi.org/10.2478/popore-2014-0029</v>
      </c>
      <c r="BG565" t="s">
        <v>74</v>
      </c>
      <c r="BH565" t="s">
        <v>74</v>
      </c>
      <c r="BI565">
        <v>20</v>
      </c>
      <c r="BJ565" t="s">
        <v>2923</v>
      </c>
      <c r="BK565" t="s">
        <v>101</v>
      </c>
      <c r="BL565" t="s">
        <v>357</v>
      </c>
      <c r="BM565" t="s">
        <v>10731</v>
      </c>
      <c r="BN565" t="s">
        <v>74</v>
      </c>
      <c r="BO565" t="s">
        <v>270</v>
      </c>
      <c r="BP565" t="s">
        <v>74</v>
      </c>
      <c r="BQ565" t="s">
        <v>74</v>
      </c>
      <c r="BR565" t="s">
        <v>104</v>
      </c>
      <c r="BS565" t="s">
        <v>10760</v>
      </c>
      <c r="BT565" t="str">
        <f>HYPERLINK("https%3A%2F%2Fwww.webofscience.com%2Fwos%2Fwoscc%2Ffull-record%2FWOS:000346361100005","View Full Record in Web of Science")</f>
        <v>View Full Record in Web of Science</v>
      </c>
    </row>
    <row r="566" spans="1:72" x14ac:dyDescent="0.15">
      <c r="A566" t="s">
        <v>72</v>
      </c>
      <c r="B566" t="s">
        <v>10761</v>
      </c>
      <c r="C566" t="s">
        <v>74</v>
      </c>
      <c r="D566" t="s">
        <v>74</v>
      </c>
      <c r="E566" t="s">
        <v>74</v>
      </c>
      <c r="F566" t="s">
        <v>10762</v>
      </c>
      <c r="G566" t="s">
        <v>74</v>
      </c>
      <c r="H566" t="s">
        <v>74</v>
      </c>
      <c r="I566" t="s">
        <v>10763</v>
      </c>
      <c r="J566" t="s">
        <v>10764</v>
      </c>
      <c r="K566" t="s">
        <v>74</v>
      </c>
      <c r="L566" t="s">
        <v>74</v>
      </c>
      <c r="M566" t="s">
        <v>78</v>
      </c>
      <c r="N566" t="s">
        <v>79</v>
      </c>
      <c r="O566" t="s">
        <v>74</v>
      </c>
      <c r="P566" t="s">
        <v>74</v>
      </c>
      <c r="Q566" t="s">
        <v>74</v>
      </c>
      <c r="R566" t="s">
        <v>74</v>
      </c>
      <c r="S566" t="s">
        <v>74</v>
      </c>
      <c r="T566" t="s">
        <v>10765</v>
      </c>
      <c r="U566" t="s">
        <v>10766</v>
      </c>
      <c r="V566" t="s">
        <v>10767</v>
      </c>
      <c r="W566" t="s">
        <v>10768</v>
      </c>
      <c r="X566" t="s">
        <v>10769</v>
      </c>
      <c r="Y566" t="s">
        <v>10770</v>
      </c>
      <c r="Z566" t="s">
        <v>10771</v>
      </c>
      <c r="AA566" t="s">
        <v>10772</v>
      </c>
      <c r="AB566" t="s">
        <v>10773</v>
      </c>
      <c r="AC566" t="s">
        <v>74</v>
      </c>
      <c r="AD566" t="s">
        <v>74</v>
      </c>
      <c r="AE566" t="s">
        <v>74</v>
      </c>
      <c r="AF566" t="s">
        <v>74</v>
      </c>
      <c r="AG566">
        <v>91</v>
      </c>
      <c r="AH566">
        <v>13</v>
      </c>
      <c r="AI566">
        <v>17</v>
      </c>
      <c r="AJ566">
        <v>0</v>
      </c>
      <c r="AK566">
        <v>42</v>
      </c>
      <c r="AL566" t="s">
        <v>10774</v>
      </c>
      <c r="AM566" t="s">
        <v>10775</v>
      </c>
      <c r="AN566" t="s">
        <v>10776</v>
      </c>
      <c r="AO566" t="s">
        <v>10777</v>
      </c>
      <c r="AP566" t="s">
        <v>10778</v>
      </c>
      <c r="AQ566" t="s">
        <v>74</v>
      </c>
      <c r="AR566" t="s">
        <v>10779</v>
      </c>
      <c r="AS566" t="s">
        <v>10780</v>
      </c>
      <c r="AT566" t="s">
        <v>74</v>
      </c>
      <c r="AU566">
        <v>2014</v>
      </c>
      <c r="AV566">
        <v>6</v>
      </c>
      <c r="AW566">
        <v>4</v>
      </c>
      <c r="AX566" t="s">
        <v>74</v>
      </c>
      <c r="AY566" t="s">
        <v>74</v>
      </c>
      <c r="AZ566" t="s">
        <v>74</v>
      </c>
      <c r="BA566" t="s">
        <v>74</v>
      </c>
      <c r="BB566">
        <v>421</v>
      </c>
      <c r="BC566">
        <v>441</v>
      </c>
      <c r="BD566" t="s">
        <v>74</v>
      </c>
      <c r="BE566" t="s">
        <v>10781</v>
      </c>
      <c r="BF566" t="str">
        <f>HYPERLINK("http://dx.doi.org/10.1108/IJCCSM-01-2013-0002","http://dx.doi.org/10.1108/IJCCSM-01-2013-0002")</f>
        <v>http://dx.doi.org/10.1108/IJCCSM-01-2013-0002</v>
      </c>
      <c r="BG566" t="s">
        <v>74</v>
      </c>
      <c r="BH566" t="s">
        <v>74</v>
      </c>
      <c r="BI566">
        <v>21</v>
      </c>
      <c r="BJ566" t="s">
        <v>10782</v>
      </c>
      <c r="BK566" t="s">
        <v>8725</v>
      </c>
      <c r="BL566" t="s">
        <v>102</v>
      </c>
      <c r="BM566" t="s">
        <v>10783</v>
      </c>
      <c r="BN566" t="s">
        <v>74</v>
      </c>
      <c r="BO566" t="s">
        <v>74</v>
      </c>
      <c r="BP566" t="s">
        <v>74</v>
      </c>
      <c r="BQ566" t="s">
        <v>74</v>
      </c>
      <c r="BR566" t="s">
        <v>104</v>
      </c>
      <c r="BS566" t="s">
        <v>10784</v>
      </c>
      <c r="BT566" t="str">
        <f>HYPERLINK("https%3A%2F%2Fwww.webofscience.com%2Fwos%2Fwoscc%2Ffull-record%2FWOS:000346110900006","View Full Record in Web of Science")</f>
        <v>View Full Record in Web of Science</v>
      </c>
    </row>
    <row r="567" spans="1:72" x14ac:dyDescent="0.15">
      <c r="A567" t="s">
        <v>72</v>
      </c>
      <c r="B567" t="s">
        <v>10785</v>
      </c>
      <c r="C567" t="s">
        <v>74</v>
      </c>
      <c r="D567" t="s">
        <v>74</v>
      </c>
      <c r="E567" t="s">
        <v>74</v>
      </c>
      <c r="F567" t="s">
        <v>10786</v>
      </c>
      <c r="G567" t="s">
        <v>74</v>
      </c>
      <c r="H567" t="s">
        <v>74</v>
      </c>
      <c r="I567" t="s">
        <v>10787</v>
      </c>
      <c r="J567" t="s">
        <v>10582</v>
      </c>
      <c r="K567" t="s">
        <v>74</v>
      </c>
      <c r="L567" t="s">
        <v>74</v>
      </c>
      <c r="M567" t="s">
        <v>78</v>
      </c>
      <c r="N567" t="s">
        <v>79</v>
      </c>
      <c r="O567" t="s">
        <v>74</v>
      </c>
      <c r="P567" t="s">
        <v>74</v>
      </c>
      <c r="Q567" t="s">
        <v>74</v>
      </c>
      <c r="R567" t="s">
        <v>74</v>
      </c>
      <c r="S567" t="s">
        <v>74</v>
      </c>
      <c r="T567" t="s">
        <v>10788</v>
      </c>
      <c r="U567" t="s">
        <v>74</v>
      </c>
      <c r="V567" t="s">
        <v>10789</v>
      </c>
      <c r="W567" t="s">
        <v>10790</v>
      </c>
      <c r="X567" t="s">
        <v>4071</v>
      </c>
      <c r="Y567" t="s">
        <v>10791</v>
      </c>
      <c r="Z567" t="s">
        <v>10792</v>
      </c>
      <c r="AA567" t="s">
        <v>10793</v>
      </c>
      <c r="AB567" t="s">
        <v>10794</v>
      </c>
      <c r="AC567" t="s">
        <v>74</v>
      </c>
      <c r="AD567" t="s">
        <v>74</v>
      </c>
      <c r="AE567" t="s">
        <v>74</v>
      </c>
      <c r="AF567" t="s">
        <v>74</v>
      </c>
      <c r="AG567">
        <v>15</v>
      </c>
      <c r="AH567">
        <v>1</v>
      </c>
      <c r="AI567">
        <v>2</v>
      </c>
      <c r="AJ567">
        <v>0</v>
      </c>
      <c r="AK567">
        <v>6</v>
      </c>
      <c r="AL567" t="s">
        <v>10795</v>
      </c>
      <c r="AM567" t="s">
        <v>10796</v>
      </c>
      <c r="AN567" t="s">
        <v>10797</v>
      </c>
      <c r="AO567" t="s">
        <v>10595</v>
      </c>
      <c r="AP567" t="s">
        <v>10596</v>
      </c>
      <c r="AQ567" t="s">
        <v>74</v>
      </c>
      <c r="AR567" t="s">
        <v>10597</v>
      </c>
      <c r="AS567" t="s">
        <v>10598</v>
      </c>
      <c r="AT567" t="s">
        <v>74</v>
      </c>
      <c r="AU567">
        <v>2014</v>
      </c>
      <c r="AV567">
        <v>33</v>
      </c>
      <c r="AW567" t="s">
        <v>74</v>
      </c>
      <c r="AX567" t="s">
        <v>74</v>
      </c>
      <c r="AY567" t="s">
        <v>74</v>
      </c>
      <c r="AZ567" t="s">
        <v>74</v>
      </c>
      <c r="BA567" t="s">
        <v>74</v>
      </c>
      <c r="BB567" t="s">
        <v>74</v>
      </c>
      <c r="BC567" t="s">
        <v>74</v>
      </c>
      <c r="BD567">
        <v>24135</v>
      </c>
      <c r="BE567" t="s">
        <v>10798</v>
      </c>
      <c r="BF567" t="str">
        <f>HYPERLINK("http://dx.doi.org/10.3402/polar.v33.24135","http://dx.doi.org/10.3402/polar.v33.24135")</f>
        <v>http://dx.doi.org/10.3402/polar.v33.24135</v>
      </c>
      <c r="BG567" t="s">
        <v>74</v>
      </c>
      <c r="BH567" t="s">
        <v>74</v>
      </c>
      <c r="BI567">
        <v>10</v>
      </c>
      <c r="BJ567" t="s">
        <v>10600</v>
      </c>
      <c r="BK567" t="s">
        <v>101</v>
      </c>
      <c r="BL567" t="s">
        <v>10601</v>
      </c>
      <c r="BM567" t="s">
        <v>10799</v>
      </c>
      <c r="BN567" t="s">
        <v>74</v>
      </c>
      <c r="BO567" t="s">
        <v>2318</v>
      </c>
      <c r="BP567" t="s">
        <v>74</v>
      </c>
      <c r="BQ567" t="s">
        <v>74</v>
      </c>
      <c r="BR567" t="s">
        <v>104</v>
      </c>
      <c r="BS567" t="s">
        <v>10800</v>
      </c>
      <c r="BT567" t="str">
        <f>HYPERLINK("https%3A%2F%2Fwww.webofscience.com%2Fwos%2Fwoscc%2Ffull-record%2FWOS:000346190500001","View Full Record in Web of Science")</f>
        <v>View Full Record in Web of Science</v>
      </c>
    </row>
    <row r="568" spans="1:72" x14ac:dyDescent="0.15">
      <c r="A568" t="s">
        <v>72</v>
      </c>
      <c r="B568" t="s">
        <v>10801</v>
      </c>
      <c r="C568" t="s">
        <v>74</v>
      </c>
      <c r="D568" t="s">
        <v>74</v>
      </c>
      <c r="E568" t="s">
        <v>74</v>
      </c>
      <c r="F568" t="s">
        <v>10802</v>
      </c>
      <c r="G568" t="s">
        <v>74</v>
      </c>
      <c r="H568" t="s">
        <v>74</v>
      </c>
      <c r="I568" t="s">
        <v>10803</v>
      </c>
      <c r="J568" t="s">
        <v>10804</v>
      </c>
      <c r="K568" t="s">
        <v>74</v>
      </c>
      <c r="L568" t="s">
        <v>74</v>
      </c>
      <c r="M568" t="s">
        <v>78</v>
      </c>
      <c r="N568" t="s">
        <v>79</v>
      </c>
      <c r="O568" t="s">
        <v>74</v>
      </c>
      <c r="P568" t="s">
        <v>74</v>
      </c>
      <c r="Q568" t="s">
        <v>74</v>
      </c>
      <c r="R568" t="s">
        <v>74</v>
      </c>
      <c r="S568" t="s">
        <v>74</v>
      </c>
      <c r="T568" t="s">
        <v>10805</v>
      </c>
      <c r="U568" t="s">
        <v>10806</v>
      </c>
      <c r="V568" t="s">
        <v>10807</v>
      </c>
      <c r="W568" t="s">
        <v>10808</v>
      </c>
      <c r="X568" t="s">
        <v>10809</v>
      </c>
      <c r="Y568" t="s">
        <v>10810</v>
      </c>
      <c r="Z568" t="s">
        <v>10811</v>
      </c>
      <c r="AA568" t="s">
        <v>10812</v>
      </c>
      <c r="AB568" t="s">
        <v>10813</v>
      </c>
      <c r="AC568" t="s">
        <v>10814</v>
      </c>
      <c r="AD568" t="s">
        <v>10815</v>
      </c>
      <c r="AE568" t="s">
        <v>10816</v>
      </c>
      <c r="AF568" t="s">
        <v>74</v>
      </c>
      <c r="AG568">
        <v>62</v>
      </c>
      <c r="AH568">
        <v>19</v>
      </c>
      <c r="AI568">
        <v>21</v>
      </c>
      <c r="AJ568">
        <v>1</v>
      </c>
      <c r="AK568">
        <v>33</v>
      </c>
      <c r="AL568" t="s">
        <v>5746</v>
      </c>
      <c r="AM568" t="s">
        <v>5747</v>
      </c>
      <c r="AN568" t="s">
        <v>5748</v>
      </c>
      <c r="AO568" t="s">
        <v>10817</v>
      </c>
      <c r="AP568" t="s">
        <v>74</v>
      </c>
      <c r="AQ568" t="s">
        <v>74</v>
      </c>
      <c r="AR568" t="s">
        <v>10818</v>
      </c>
      <c r="AS568" t="s">
        <v>10819</v>
      </c>
      <c r="AT568" t="s">
        <v>74</v>
      </c>
      <c r="AU568">
        <v>2014</v>
      </c>
      <c r="AV568">
        <v>66</v>
      </c>
      <c r="AW568" t="s">
        <v>74</v>
      </c>
      <c r="AX568" t="s">
        <v>74</v>
      </c>
      <c r="AY568" t="s">
        <v>74</v>
      </c>
      <c r="AZ568" t="s">
        <v>74</v>
      </c>
      <c r="BA568" t="s">
        <v>74</v>
      </c>
      <c r="BB568" t="s">
        <v>74</v>
      </c>
      <c r="BC568" t="s">
        <v>74</v>
      </c>
      <c r="BD568">
        <v>25152</v>
      </c>
      <c r="BE568" t="s">
        <v>10820</v>
      </c>
      <c r="BF568" t="str">
        <f>HYPERLINK("http://dx.doi.org/10.3402/tellusb.v66.25152","http://dx.doi.org/10.3402/tellusb.v66.25152")</f>
        <v>http://dx.doi.org/10.3402/tellusb.v66.25152</v>
      </c>
      <c r="BG568" t="s">
        <v>74</v>
      </c>
      <c r="BH568" t="s">
        <v>74</v>
      </c>
      <c r="BI568">
        <v>13</v>
      </c>
      <c r="BJ568" t="s">
        <v>1391</v>
      </c>
      <c r="BK568" t="s">
        <v>101</v>
      </c>
      <c r="BL568" t="s">
        <v>1391</v>
      </c>
      <c r="BM568" t="s">
        <v>10821</v>
      </c>
      <c r="BN568" t="s">
        <v>74</v>
      </c>
      <c r="BO568" t="s">
        <v>4013</v>
      </c>
      <c r="BP568" t="s">
        <v>74</v>
      </c>
      <c r="BQ568" t="s">
        <v>74</v>
      </c>
      <c r="BR568" t="s">
        <v>104</v>
      </c>
      <c r="BS568" t="s">
        <v>10822</v>
      </c>
      <c r="BT568" t="str">
        <f>HYPERLINK("https%3A%2F%2Fwww.webofscience.com%2Fwos%2Fwoscc%2Ffull-record%2FWOS:000345968800001","View Full Record in Web of Science")</f>
        <v>View Full Record in Web of Science</v>
      </c>
    </row>
    <row r="569" spans="1:72" x14ac:dyDescent="0.15">
      <c r="A569" t="s">
        <v>72</v>
      </c>
      <c r="B569" t="s">
        <v>10823</v>
      </c>
      <c r="C569" t="s">
        <v>74</v>
      </c>
      <c r="D569" t="s">
        <v>74</v>
      </c>
      <c r="E569" t="s">
        <v>74</v>
      </c>
      <c r="F569" t="s">
        <v>10824</v>
      </c>
      <c r="G569" t="s">
        <v>74</v>
      </c>
      <c r="H569" t="s">
        <v>74</v>
      </c>
      <c r="I569" t="s">
        <v>10825</v>
      </c>
      <c r="J569" t="s">
        <v>10826</v>
      </c>
      <c r="K569" t="s">
        <v>74</v>
      </c>
      <c r="L569" t="s">
        <v>74</v>
      </c>
      <c r="M569" t="s">
        <v>78</v>
      </c>
      <c r="N569" t="s">
        <v>79</v>
      </c>
      <c r="O569" t="s">
        <v>74</v>
      </c>
      <c r="P569" t="s">
        <v>74</v>
      </c>
      <c r="Q569" t="s">
        <v>74</v>
      </c>
      <c r="R569" t="s">
        <v>74</v>
      </c>
      <c r="S569" t="s">
        <v>74</v>
      </c>
      <c r="T569" t="s">
        <v>10827</v>
      </c>
      <c r="U569" t="s">
        <v>10828</v>
      </c>
      <c r="V569" t="s">
        <v>10829</v>
      </c>
      <c r="W569" t="s">
        <v>10830</v>
      </c>
      <c r="X569" t="s">
        <v>10831</v>
      </c>
      <c r="Y569" t="s">
        <v>10832</v>
      </c>
      <c r="Z569" t="s">
        <v>10833</v>
      </c>
      <c r="AA569" t="s">
        <v>10834</v>
      </c>
      <c r="AB569" t="s">
        <v>74</v>
      </c>
      <c r="AC569" t="s">
        <v>10835</v>
      </c>
      <c r="AD569" t="s">
        <v>10836</v>
      </c>
      <c r="AE569" t="s">
        <v>10837</v>
      </c>
      <c r="AF569" t="s">
        <v>74</v>
      </c>
      <c r="AG569">
        <v>125</v>
      </c>
      <c r="AH569">
        <v>43</v>
      </c>
      <c r="AI569">
        <v>51</v>
      </c>
      <c r="AJ569">
        <v>1</v>
      </c>
      <c r="AK569">
        <v>42</v>
      </c>
      <c r="AL569" t="s">
        <v>10310</v>
      </c>
      <c r="AM569" t="s">
        <v>10311</v>
      </c>
      <c r="AN569" t="s">
        <v>10312</v>
      </c>
      <c r="AO569" t="s">
        <v>10838</v>
      </c>
      <c r="AP569" t="s">
        <v>10839</v>
      </c>
      <c r="AQ569" t="s">
        <v>74</v>
      </c>
      <c r="AR569" t="s">
        <v>10840</v>
      </c>
      <c r="AS569" t="s">
        <v>10841</v>
      </c>
      <c r="AT569" t="s">
        <v>74</v>
      </c>
      <c r="AU569">
        <v>2014</v>
      </c>
      <c r="AV569">
        <v>515</v>
      </c>
      <c r="AW569" t="s">
        <v>74</v>
      </c>
      <c r="AX569" t="s">
        <v>74</v>
      </c>
      <c r="AY569" t="s">
        <v>74</v>
      </c>
      <c r="AZ569" t="s">
        <v>74</v>
      </c>
      <c r="BA569" t="s">
        <v>74</v>
      </c>
      <c r="BB569">
        <v>11</v>
      </c>
      <c r="BC569">
        <v>32</v>
      </c>
      <c r="BD569" t="s">
        <v>74</v>
      </c>
      <c r="BE569" t="s">
        <v>10842</v>
      </c>
      <c r="BF569" t="str">
        <f>HYPERLINK("http://dx.doi.org/10.3354/meps10965","http://dx.doi.org/10.3354/meps10965")</f>
        <v>http://dx.doi.org/10.3354/meps10965</v>
      </c>
      <c r="BG569" t="s">
        <v>74</v>
      </c>
      <c r="BH569" t="s">
        <v>74</v>
      </c>
      <c r="BI569">
        <v>22</v>
      </c>
      <c r="BJ569" t="s">
        <v>10843</v>
      </c>
      <c r="BK569" t="s">
        <v>101</v>
      </c>
      <c r="BL569" t="s">
        <v>10844</v>
      </c>
      <c r="BM569" t="s">
        <v>10845</v>
      </c>
      <c r="BN569" t="s">
        <v>74</v>
      </c>
      <c r="BO569" t="s">
        <v>200</v>
      </c>
      <c r="BP569" t="s">
        <v>74</v>
      </c>
      <c r="BQ569" t="s">
        <v>74</v>
      </c>
      <c r="BR569" t="s">
        <v>104</v>
      </c>
      <c r="BS569" t="s">
        <v>10846</v>
      </c>
      <c r="BT569" t="str">
        <f>HYPERLINK("https%3A%2F%2Fwww.webofscience.com%2Fwos%2Fwoscc%2Ffull-record%2FWOS:000345703500002","View Full Record in Web of Science")</f>
        <v>View Full Record in Web of Science</v>
      </c>
    </row>
    <row r="570" spans="1:72" x14ac:dyDescent="0.15">
      <c r="A570" t="s">
        <v>72</v>
      </c>
      <c r="B570" t="s">
        <v>10847</v>
      </c>
      <c r="C570" t="s">
        <v>74</v>
      </c>
      <c r="D570" t="s">
        <v>74</v>
      </c>
      <c r="E570" t="s">
        <v>74</v>
      </c>
      <c r="F570" t="s">
        <v>10848</v>
      </c>
      <c r="G570" t="s">
        <v>74</v>
      </c>
      <c r="H570" t="s">
        <v>74</v>
      </c>
      <c r="I570" t="s">
        <v>10849</v>
      </c>
      <c r="J570" t="s">
        <v>10826</v>
      </c>
      <c r="K570" t="s">
        <v>74</v>
      </c>
      <c r="L570" t="s">
        <v>74</v>
      </c>
      <c r="M570" t="s">
        <v>78</v>
      </c>
      <c r="N570" t="s">
        <v>79</v>
      </c>
      <c r="O570" t="s">
        <v>74</v>
      </c>
      <c r="P570" t="s">
        <v>74</v>
      </c>
      <c r="Q570" t="s">
        <v>74</v>
      </c>
      <c r="R570" t="s">
        <v>74</v>
      </c>
      <c r="S570" t="s">
        <v>74</v>
      </c>
      <c r="T570" t="s">
        <v>10850</v>
      </c>
      <c r="U570" t="s">
        <v>10851</v>
      </c>
      <c r="V570" t="s">
        <v>10852</v>
      </c>
      <c r="W570" t="s">
        <v>10853</v>
      </c>
      <c r="X570" t="s">
        <v>2827</v>
      </c>
      <c r="Y570" t="s">
        <v>10854</v>
      </c>
      <c r="Z570" t="s">
        <v>10855</v>
      </c>
      <c r="AA570" t="s">
        <v>10856</v>
      </c>
      <c r="AB570" t="s">
        <v>10857</v>
      </c>
      <c r="AC570" t="s">
        <v>10858</v>
      </c>
      <c r="AD570" t="s">
        <v>10859</v>
      </c>
      <c r="AE570" t="s">
        <v>10860</v>
      </c>
      <c r="AF570" t="s">
        <v>74</v>
      </c>
      <c r="AG570">
        <v>65</v>
      </c>
      <c r="AH570">
        <v>18</v>
      </c>
      <c r="AI570">
        <v>18</v>
      </c>
      <c r="AJ570">
        <v>1</v>
      </c>
      <c r="AK570">
        <v>26</v>
      </c>
      <c r="AL570" t="s">
        <v>10310</v>
      </c>
      <c r="AM570" t="s">
        <v>10311</v>
      </c>
      <c r="AN570" t="s">
        <v>10312</v>
      </c>
      <c r="AO570" t="s">
        <v>10838</v>
      </c>
      <c r="AP570" t="s">
        <v>10839</v>
      </c>
      <c r="AQ570" t="s">
        <v>74</v>
      </c>
      <c r="AR570" t="s">
        <v>10840</v>
      </c>
      <c r="AS570" t="s">
        <v>10841</v>
      </c>
      <c r="AT570" t="s">
        <v>74</v>
      </c>
      <c r="AU570">
        <v>2014</v>
      </c>
      <c r="AV570">
        <v>515</v>
      </c>
      <c r="AW570" t="s">
        <v>74</v>
      </c>
      <c r="AX570" t="s">
        <v>74</v>
      </c>
      <c r="AY570" t="s">
        <v>74</v>
      </c>
      <c r="AZ570" t="s">
        <v>74</v>
      </c>
      <c r="BA570" t="s">
        <v>74</v>
      </c>
      <c r="BB570">
        <v>173</v>
      </c>
      <c r="BC570">
        <v>186</v>
      </c>
      <c r="BD570" t="s">
        <v>74</v>
      </c>
      <c r="BE570" t="s">
        <v>10861</v>
      </c>
      <c r="BF570" t="str">
        <f>HYPERLINK("http://dx.doi.org/10.3354/meps10979","http://dx.doi.org/10.3354/meps10979")</f>
        <v>http://dx.doi.org/10.3354/meps10979</v>
      </c>
      <c r="BG570" t="s">
        <v>74</v>
      </c>
      <c r="BH570" t="s">
        <v>74</v>
      </c>
      <c r="BI570">
        <v>14</v>
      </c>
      <c r="BJ570" t="s">
        <v>10843</v>
      </c>
      <c r="BK570" t="s">
        <v>101</v>
      </c>
      <c r="BL570" t="s">
        <v>10844</v>
      </c>
      <c r="BM570" t="s">
        <v>10845</v>
      </c>
      <c r="BN570" t="s">
        <v>74</v>
      </c>
      <c r="BO570" t="s">
        <v>200</v>
      </c>
      <c r="BP570" t="s">
        <v>74</v>
      </c>
      <c r="BQ570" t="s">
        <v>74</v>
      </c>
      <c r="BR570" t="s">
        <v>104</v>
      </c>
      <c r="BS570" t="s">
        <v>10862</v>
      </c>
      <c r="BT570" t="str">
        <f>HYPERLINK("https%3A%2F%2Fwww.webofscience.com%2Fwos%2Fwoscc%2Ffull-record%2FWOS:000345703500014","View Full Record in Web of Science")</f>
        <v>View Full Record in Web of Science</v>
      </c>
    </row>
    <row r="571" spans="1:72" x14ac:dyDescent="0.15">
      <c r="A571" t="s">
        <v>72</v>
      </c>
      <c r="B571" t="s">
        <v>10863</v>
      </c>
      <c r="C571" t="s">
        <v>74</v>
      </c>
      <c r="D571" t="s">
        <v>74</v>
      </c>
      <c r="E571" t="s">
        <v>74</v>
      </c>
      <c r="F571" t="s">
        <v>10864</v>
      </c>
      <c r="G571" t="s">
        <v>74</v>
      </c>
      <c r="H571" t="s">
        <v>74</v>
      </c>
      <c r="I571" t="s">
        <v>10865</v>
      </c>
      <c r="J571" t="s">
        <v>10866</v>
      </c>
      <c r="K571" t="s">
        <v>74</v>
      </c>
      <c r="L571" t="s">
        <v>74</v>
      </c>
      <c r="M571" t="s">
        <v>78</v>
      </c>
      <c r="N571" t="s">
        <v>79</v>
      </c>
      <c r="O571" t="s">
        <v>74</v>
      </c>
      <c r="P571" t="s">
        <v>74</v>
      </c>
      <c r="Q571" t="s">
        <v>74</v>
      </c>
      <c r="R571" t="s">
        <v>74</v>
      </c>
      <c r="S571" t="s">
        <v>74</v>
      </c>
      <c r="T571" t="s">
        <v>10867</v>
      </c>
      <c r="U571" t="s">
        <v>10868</v>
      </c>
      <c r="V571" t="s">
        <v>10869</v>
      </c>
      <c r="W571" t="s">
        <v>10870</v>
      </c>
      <c r="X571" t="s">
        <v>2827</v>
      </c>
      <c r="Y571" t="s">
        <v>10871</v>
      </c>
      <c r="Z571" t="s">
        <v>10872</v>
      </c>
      <c r="AA571" t="s">
        <v>10873</v>
      </c>
      <c r="AB571" t="s">
        <v>10874</v>
      </c>
      <c r="AC571" t="s">
        <v>74</v>
      </c>
      <c r="AD571" t="s">
        <v>74</v>
      </c>
      <c r="AE571" t="s">
        <v>74</v>
      </c>
      <c r="AF571" t="s">
        <v>74</v>
      </c>
      <c r="AG571">
        <v>35</v>
      </c>
      <c r="AH571">
        <v>6</v>
      </c>
      <c r="AI571">
        <v>6</v>
      </c>
      <c r="AJ571">
        <v>0</v>
      </c>
      <c r="AK571">
        <v>20</v>
      </c>
      <c r="AL571" t="s">
        <v>10875</v>
      </c>
      <c r="AM571" t="s">
        <v>8793</v>
      </c>
      <c r="AN571" t="s">
        <v>10876</v>
      </c>
      <c r="AO571" t="s">
        <v>10877</v>
      </c>
      <c r="AP571" t="s">
        <v>10878</v>
      </c>
      <c r="AQ571" t="s">
        <v>74</v>
      </c>
      <c r="AR571" t="s">
        <v>10866</v>
      </c>
      <c r="AS571" t="s">
        <v>10879</v>
      </c>
      <c r="AT571" t="s">
        <v>74</v>
      </c>
      <c r="AU571">
        <v>2014</v>
      </c>
      <c r="AV571" t="s">
        <v>74</v>
      </c>
      <c r="AW571">
        <v>457</v>
      </c>
      <c r="AX571" t="s">
        <v>74</v>
      </c>
      <c r="AY571" t="s">
        <v>74</v>
      </c>
      <c r="AZ571" t="s">
        <v>660</v>
      </c>
      <c r="BA571" t="s">
        <v>74</v>
      </c>
      <c r="BB571">
        <v>323</v>
      </c>
      <c r="BC571">
        <v>337</v>
      </c>
      <c r="BD571" t="s">
        <v>74</v>
      </c>
      <c r="BE571" t="s">
        <v>10880</v>
      </c>
      <c r="BF571" t="str">
        <f>HYPERLINK("http://dx.doi.org/10.3897/zookeys.457.6760","http://dx.doi.org/10.3897/zookeys.457.6760")</f>
        <v>http://dx.doi.org/10.3897/zookeys.457.6760</v>
      </c>
      <c r="BG571" t="s">
        <v>74</v>
      </c>
      <c r="BH571" t="s">
        <v>74</v>
      </c>
      <c r="BI571">
        <v>15</v>
      </c>
      <c r="BJ571" t="s">
        <v>384</v>
      </c>
      <c r="BK571" t="s">
        <v>101</v>
      </c>
      <c r="BL571" t="s">
        <v>384</v>
      </c>
      <c r="BM571" t="s">
        <v>10881</v>
      </c>
      <c r="BN571">
        <v>25561845</v>
      </c>
      <c r="BO571" t="s">
        <v>10882</v>
      </c>
      <c r="BP571" t="s">
        <v>74</v>
      </c>
      <c r="BQ571" t="s">
        <v>74</v>
      </c>
      <c r="BR571" t="s">
        <v>104</v>
      </c>
      <c r="BS571" t="s">
        <v>10883</v>
      </c>
      <c r="BT571" t="str">
        <f>HYPERLINK("https%3A%2F%2Fwww.webofscience.com%2Fwos%2Fwoscc%2Ffull-record%2FWOS:000345621200019","View Full Record in Web of Science")</f>
        <v>View Full Record in Web of Science</v>
      </c>
    </row>
    <row r="572" spans="1:72" x14ac:dyDescent="0.15">
      <c r="A572" t="s">
        <v>72</v>
      </c>
      <c r="B572" t="s">
        <v>10884</v>
      </c>
      <c r="C572" t="s">
        <v>74</v>
      </c>
      <c r="D572" t="s">
        <v>74</v>
      </c>
      <c r="E572" t="s">
        <v>74</v>
      </c>
      <c r="F572" t="s">
        <v>10885</v>
      </c>
      <c r="G572" t="s">
        <v>74</v>
      </c>
      <c r="H572" t="s">
        <v>74</v>
      </c>
      <c r="I572" t="s">
        <v>10886</v>
      </c>
      <c r="J572" t="s">
        <v>10362</v>
      </c>
      <c r="K572" t="s">
        <v>74</v>
      </c>
      <c r="L572" t="s">
        <v>74</v>
      </c>
      <c r="M572" t="s">
        <v>78</v>
      </c>
      <c r="N572" t="s">
        <v>79</v>
      </c>
      <c r="O572" t="s">
        <v>74</v>
      </c>
      <c r="P572" t="s">
        <v>74</v>
      </c>
      <c r="Q572" t="s">
        <v>74</v>
      </c>
      <c r="R572" t="s">
        <v>74</v>
      </c>
      <c r="S572" t="s">
        <v>74</v>
      </c>
      <c r="T572" t="s">
        <v>10887</v>
      </c>
      <c r="U572" t="s">
        <v>10888</v>
      </c>
      <c r="V572" t="s">
        <v>10889</v>
      </c>
      <c r="W572" t="s">
        <v>10890</v>
      </c>
      <c r="X572" t="s">
        <v>10891</v>
      </c>
      <c r="Y572" t="s">
        <v>10892</v>
      </c>
      <c r="Z572" t="s">
        <v>10893</v>
      </c>
      <c r="AA572" t="s">
        <v>10894</v>
      </c>
      <c r="AB572" t="s">
        <v>10895</v>
      </c>
      <c r="AC572" t="s">
        <v>74</v>
      </c>
      <c r="AD572" t="s">
        <v>74</v>
      </c>
      <c r="AE572" t="s">
        <v>74</v>
      </c>
      <c r="AF572" t="s">
        <v>74</v>
      </c>
      <c r="AG572">
        <v>36</v>
      </c>
      <c r="AH572">
        <v>5</v>
      </c>
      <c r="AI572">
        <v>6</v>
      </c>
      <c r="AJ572">
        <v>0</v>
      </c>
      <c r="AK572">
        <v>12</v>
      </c>
      <c r="AL572" t="s">
        <v>91</v>
      </c>
      <c r="AM572" t="s">
        <v>1948</v>
      </c>
      <c r="AN572" t="s">
        <v>2519</v>
      </c>
      <c r="AO572" t="s">
        <v>10374</v>
      </c>
      <c r="AP572" t="s">
        <v>10375</v>
      </c>
      <c r="AQ572" t="s">
        <v>74</v>
      </c>
      <c r="AR572" t="s">
        <v>10376</v>
      </c>
      <c r="AS572" t="s">
        <v>10377</v>
      </c>
      <c r="AT572" t="s">
        <v>74</v>
      </c>
      <c r="AU572">
        <v>2014</v>
      </c>
      <c r="AV572">
        <v>60</v>
      </c>
      <c r="AW572">
        <v>223</v>
      </c>
      <c r="AX572" t="s">
        <v>74</v>
      </c>
      <c r="AY572" t="s">
        <v>74</v>
      </c>
      <c r="AZ572" t="s">
        <v>74</v>
      </c>
      <c r="BA572" t="s">
        <v>74</v>
      </c>
      <c r="BB572">
        <v>849</v>
      </c>
      <c r="BC572">
        <v>854</v>
      </c>
      <c r="BD572" t="s">
        <v>74</v>
      </c>
      <c r="BE572" t="s">
        <v>10896</v>
      </c>
      <c r="BF572" t="str">
        <f>HYPERLINK("http://dx.doi.org/10.3189/2014JoG13J208","http://dx.doi.org/10.3189/2014JoG13J208")</f>
        <v>http://dx.doi.org/10.3189/2014JoG13J208</v>
      </c>
      <c r="BG572" t="s">
        <v>74</v>
      </c>
      <c r="BH572" t="s">
        <v>74</v>
      </c>
      <c r="BI572">
        <v>6</v>
      </c>
      <c r="BJ572" t="s">
        <v>1415</v>
      </c>
      <c r="BK572" t="s">
        <v>101</v>
      </c>
      <c r="BL572" t="s">
        <v>1416</v>
      </c>
      <c r="BM572" t="s">
        <v>10897</v>
      </c>
      <c r="BN572" t="s">
        <v>74</v>
      </c>
      <c r="BO572" t="s">
        <v>6867</v>
      </c>
      <c r="BP572" t="s">
        <v>74</v>
      </c>
      <c r="BQ572" t="s">
        <v>74</v>
      </c>
      <c r="BR572" t="s">
        <v>104</v>
      </c>
      <c r="BS572" t="s">
        <v>10898</v>
      </c>
      <c r="BT572" t="str">
        <f>HYPERLINK("https%3A%2F%2Fwww.webofscience.com%2Fwos%2Fwoscc%2Ffull-record%2FWOS:000345540400003","View Full Record in Web of Science")</f>
        <v>View Full Record in Web of Science</v>
      </c>
    </row>
    <row r="573" spans="1:72" x14ac:dyDescent="0.15">
      <c r="A573" t="s">
        <v>72</v>
      </c>
      <c r="B573" t="s">
        <v>10899</v>
      </c>
      <c r="C573" t="s">
        <v>74</v>
      </c>
      <c r="D573" t="s">
        <v>74</v>
      </c>
      <c r="E573" t="s">
        <v>74</v>
      </c>
      <c r="F573" t="s">
        <v>10900</v>
      </c>
      <c r="G573" t="s">
        <v>74</v>
      </c>
      <c r="H573" t="s">
        <v>74</v>
      </c>
      <c r="I573" t="s">
        <v>10901</v>
      </c>
      <c r="J573" t="s">
        <v>10362</v>
      </c>
      <c r="K573" t="s">
        <v>74</v>
      </c>
      <c r="L573" t="s">
        <v>74</v>
      </c>
      <c r="M573" t="s">
        <v>78</v>
      </c>
      <c r="N573" t="s">
        <v>79</v>
      </c>
      <c r="O573" t="s">
        <v>74</v>
      </c>
      <c r="P573" t="s">
        <v>74</v>
      </c>
      <c r="Q573" t="s">
        <v>74</v>
      </c>
      <c r="R573" t="s">
        <v>74</v>
      </c>
      <c r="S573" t="s">
        <v>74</v>
      </c>
      <c r="T573" t="s">
        <v>10902</v>
      </c>
      <c r="U573" t="s">
        <v>10903</v>
      </c>
      <c r="V573" t="s">
        <v>10904</v>
      </c>
      <c r="W573" t="s">
        <v>10905</v>
      </c>
      <c r="X573" t="s">
        <v>10906</v>
      </c>
      <c r="Y573" t="s">
        <v>10907</v>
      </c>
      <c r="Z573" t="s">
        <v>10908</v>
      </c>
      <c r="AA573" t="s">
        <v>10909</v>
      </c>
      <c r="AB573" t="s">
        <v>10910</v>
      </c>
      <c r="AC573" t="s">
        <v>10911</v>
      </c>
      <c r="AD573" t="s">
        <v>10912</v>
      </c>
      <c r="AE573" t="s">
        <v>10913</v>
      </c>
      <c r="AF573" t="s">
        <v>74</v>
      </c>
      <c r="AG573">
        <v>49</v>
      </c>
      <c r="AH573">
        <v>7</v>
      </c>
      <c r="AI573">
        <v>8</v>
      </c>
      <c r="AJ573">
        <v>0</v>
      </c>
      <c r="AK573">
        <v>10</v>
      </c>
      <c r="AL573" t="s">
        <v>9533</v>
      </c>
      <c r="AM573" t="s">
        <v>1948</v>
      </c>
      <c r="AN573" t="s">
        <v>9534</v>
      </c>
      <c r="AO573" t="s">
        <v>10374</v>
      </c>
      <c r="AP573" t="s">
        <v>10375</v>
      </c>
      <c r="AQ573" t="s">
        <v>74</v>
      </c>
      <c r="AR573" t="s">
        <v>10376</v>
      </c>
      <c r="AS573" t="s">
        <v>10377</v>
      </c>
      <c r="AT573" t="s">
        <v>74</v>
      </c>
      <c r="AU573">
        <v>2014</v>
      </c>
      <c r="AV573">
        <v>60</v>
      </c>
      <c r="AW573">
        <v>223</v>
      </c>
      <c r="AX573" t="s">
        <v>74</v>
      </c>
      <c r="AY573" t="s">
        <v>74</v>
      </c>
      <c r="AZ573" t="s">
        <v>74</v>
      </c>
      <c r="BA573" t="s">
        <v>74</v>
      </c>
      <c r="BB573">
        <v>855</v>
      </c>
      <c r="BC573">
        <v>866</v>
      </c>
      <c r="BD573" t="s">
        <v>74</v>
      </c>
      <c r="BE573" t="s">
        <v>10914</v>
      </c>
      <c r="BF573" t="str">
        <f>HYPERLINK("http://dx.doi.org/10.3189/2014JoG13J131","http://dx.doi.org/10.3189/2014JoG13J131")</f>
        <v>http://dx.doi.org/10.3189/2014JoG13J131</v>
      </c>
      <c r="BG573" t="s">
        <v>74</v>
      </c>
      <c r="BH573" t="s">
        <v>74</v>
      </c>
      <c r="BI573">
        <v>12</v>
      </c>
      <c r="BJ573" t="s">
        <v>1415</v>
      </c>
      <c r="BK573" t="s">
        <v>101</v>
      </c>
      <c r="BL573" t="s">
        <v>1416</v>
      </c>
      <c r="BM573" t="s">
        <v>10897</v>
      </c>
      <c r="BN573" t="s">
        <v>74</v>
      </c>
      <c r="BO573" t="s">
        <v>10915</v>
      </c>
      <c r="BP573" t="s">
        <v>74</v>
      </c>
      <c r="BQ573" t="s">
        <v>74</v>
      </c>
      <c r="BR573" t="s">
        <v>104</v>
      </c>
      <c r="BS573" t="s">
        <v>10916</v>
      </c>
      <c r="BT573" t="str">
        <f>HYPERLINK("https%3A%2F%2Fwww.webofscience.com%2Fwos%2Fwoscc%2Ffull-record%2FWOS:000345540400004","View Full Record in Web of Science")</f>
        <v>View Full Record in Web of Science</v>
      </c>
    </row>
    <row r="574" spans="1:72" x14ac:dyDescent="0.15">
      <c r="A574" t="s">
        <v>72</v>
      </c>
      <c r="B574" t="s">
        <v>10917</v>
      </c>
      <c r="C574" t="s">
        <v>74</v>
      </c>
      <c r="D574" t="s">
        <v>74</v>
      </c>
      <c r="E574" t="s">
        <v>74</v>
      </c>
      <c r="F574" t="s">
        <v>10918</v>
      </c>
      <c r="G574" t="s">
        <v>74</v>
      </c>
      <c r="H574" t="s">
        <v>74</v>
      </c>
      <c r="I574" t="s">
        <v>10919</v>
      </c>
      <c r="J574" t="s">
        <v>10362</v>
      </c>
      <c r="K574" t="s">
        <v>74</v>
      </c>
      <c r="L574" t="s">
        <v>74</v>
      </c>
      <c r="M574" t="s">
        <v>78</v>
      </c>
      <c r="N574" t="s">
        <v>79</v>
      </c>
      <c r="O574" t="s">
        <v>74</v>
      </c>
      <c r="P574" t="s">
        <v>74</v>
      </c>
      <c r="Q574" t="s">
        <v>74</v>
      </c>
      <c r="R574" t="s">
        <v>74</v>
      </c>
      <c r="S574" t="s">
        <v>74</v>
      </c>
      <c r="T574" t="s">
        <v>10920</v>
      </c>
      <c r="U574" t="s">
        <v>10921</v>
      </c>
      <c r="V574" t="s">
        <v>10922</v>
      </c>
      <c r="W574" t="s">
        <v>10923</v>
      </c>
      <c r="X574" t="s">
        <v>10924</v>
      </c>
      <c r="Y574" t="s">
        <v>10925</v>
      </c>
      <c r="Z574" t="s">
        <v>10926</v>
      </c>
      <c r="AA574" t="s">
        <v>74</v>
      </c>
      <c r="AB574" t="s">
        <v>10927</v>
      </c>
      <c r="AC574" t="s">
        <v>10928</v>
      </c>
      <c r="AD574" t="s">
        <v>10929</v>
      </c>
      <c r="AE574" t="s">
        <v>10930</v>
      </c>
      <c r="AF574" t="s">
        <v>74</v>
      </c>
      <c r="AG574">
        <v>68</v>
      </c>
      <c r="AH574">
        <v>15</v>
      </c>
      <c r="AI574">
        <v>20</v>
      </c>
      <c r="AJ574">
        <v>0</v>
      </c>
      <c r="AK574">
        <v>19</v>
      </c>
      <c r="AL574" t="s">
        <v>91</v>
      </c>
      <c r="AM574" t="s">
        <v>1948</v>
      </c>
      <c r="AN574" t="s">
        <v>2519</v>
      </c>
      <c r="AO574" t="s">
        <v>10374</v>
      </c>
      <c r="AP574" t="s">
        <v>10375</v>
      </c>
      <c r="AQ574" t="s">
        <v>74</v>
      </c>
      <c r="AR574" t="s">
        <v>10376</v>
      </c>
      <c r="AS574" t="s">
        <v>10377</v>
      </c>
      <c r="AT574" t="s">
        <v>74</v>
      </c>
      <c r="AU574">
        <v>2014</v>
      </c>
      <c r="AV574">
        <v>60</v>
      </c>
      <c r="AW574">
        <v>223</v>
      </c>
      <c r="AX574" t="s">
        <v>74</v>
      </c>
      <c r="AY574" t="s">
        <v>74</v>
      </c>
      <c r="AZ574" t="s">
        <v>74</v>
      </c>
      <c r="BA574" t="s">
        <v>74</v>
      </c>
      <c r="BB574">
        <v>989</v>
      </c>
      <c r="BC574">
        <v>1006</v>
      </c>
      <c r="BD574" t="s">
        <v>74</v>
      </c>
      <c r="BE574" t="s">
        <v>10931</v>
      </c>
      <c r="BF574" t="str">
        <f>HYPERLINK("http://dx.doi.org/10.3189/2014JoG13J161","http://dx.doi.org/10.3189/2014JoG13J161")</f>
        <v>http://dx.doi.org/10.3189/2014JoG13J161</v>
      </c>
      <c r="BG574" t="s">
        <v>74</v>
      </c>
      <c r="BH574" t="s">
        <v>74</v>
      </c>
      <c r="BI574">
        <v>18</v>
      </c>
      <c r="BJ574" t="s">
        <v>1415</v>
      </c>
      <c r="BK574" t="s">
        <v>101</v>
      </c>
      <c r="BL574" t="s">
        <v>1416</v>
      </c>
      <c r="BM574" t="s">
        <v>10897</v>
      </c>
      <c r="BN574" t="s">
        <v>74</v>
      </c>
      <c r="BO574" t="s">
        <v>200</v>
      </c>
      <c r="BP574" t="s">
        <v>74</v>
      </c>
      <c r="BQ574" t="s">
        <v>74</v>
      </c>
      <c r="BR574" t="s">
        <v>104</v>
      </c>
      <c r="BS574" t="s">
        <v>10932</v>
      </c>
      <c r="BT574" t="str">
        <f>HYPERLINK("https%3A%2F%2Fwww.webofscience.com%2Fwos%2Fwoscc%2Ffull-record%2FWOS:000345540400014","View Full Record in Web of Science")</f>
        <v>View Full Record in Web of Science</v>
      </c>
    </row>
    <row r="575" spans="1:72" x14ac:dyDescent="0.15">
      <c r="A575" t="s">
        <v>72</v>
      </c>
      <c r="B575" t="s">
        <v>10933</v>
      </c>
      <c r="C575" t="s">
        <v>74</v>
      </c>
      <c r="D575" t="s">
        <v>74</v>
      </c>
      <c r="E575" t="s">
        <v>74</v>
      </c>
      <c r="F575" t="s">
        <v>10934</v>
      </c>
      <c r="G575" t="s">
        <v>74</v>
      </c>
      <c r="H575" t="s">
        <v>74</v>
      </c>
      <c r="I575" t="s">
        <v>10935</v>
      </c>
      <c r="J575" t="s">
        <v>10936</v>
      </c>
      <c r="K575" t="s">
        <v>74</v>
      </c>
      <c r="L575" t="s">
        <v>74</v>
      </c>
      <c r="M575" t="s">
        <v>78</v>
      </c>
      <c r="N575" t="s">
        <v>79</v>
      </c>
      <c r="O575" t="s">
        <v>74</v>
      </c>
      <c r="P575" t="s">
        <v>74</v>
      </c>
      <c r="Q575" t="s">
        <v>74</v>
      </c>
      <c r="R575" t="s">
        <v>74</v>
      </c>
      <c r="S575" t="s">
        <v>74</v>
      </c>
      <c r="T575" t="s">
        <v>10937</v>
      </c>
      <c r="U575" t="s">
        <v>10938</v>
      </c>
      <c r="V575" t="s">
        <v>10939</v>
      </c>
      <c r="W575" t="s">
        <v>10940</v>
      </c>
      <c r="X575" t="s">
        <v>10941</v>
      </c>
      <c r="Y575" t="s">
        <v>10942</v>
      </c>
      <c r="Z575" t="s">
        <v>10943</v>
      </c>
      <c r="AA575" t="s">
        <v>10944</v>
      </c>
      <c r="AB575" t="s">
        <v>10945</v>
      </c>
      <c r="AC575" t="s">
        <v>74</v>
      </c>
      <c r="AD575" t="s">
        <v>74</v>
      </c>
      <c r="AE575" t="s">
        <v>74</v>
      </c>
      <c r="AF575" t="s">
        <v>74</v>
      </c>
      <c r="AG575">
        <v>11</v>
      </c>
      <c r="AH575">
        <v>1</v>
      </c>
      <c r="AI575">
        <v>1</v>
      </c>
      <c r="AJ575">
        <v>1</v>
      </c>
      <c r="AK575">
        <v>5</v>
      </c>
      <c r="AL575" t="s">
        <v>10946</v>
      </c>
      <c r="AM575" t="s">
        <v>3835</v>
      </c>
      <c r="AN575" t="s">
        <v>10947</v>
      </c>
      <c r="AO575" t="s">
        <v>10948</v>
      </c>
      <c r="AP575" t="s">
        <v>74</v>
      </c>
      <c r="AQ575" t="s">
        <v>74</v>
      </c>
      <c r="AR575" t="s">
        <v>10949</v>
      </c>
      <c r="AS575" t="s">
        <v>10950</v>
      </c>
      <c r="AT575" t="s">
        <v>74</v>
      </c>
      <c r="AU575">
        <v>2014</v>
      </c>
      <c r="AV575">
        <v>9</v>
      </c>
      <c r="AW575">
        <v>2</v>
      </c>
      <c r="AX575" t="s">
        <v>74</v>
      </c>
      <c r="AY575" t="s">
        <v>74</v>
      </c>
      <c r="AZ575" t="s">
        <v>74</v>
      </c>
      <c r="BA575" t="s">
        <v>74</v>
      </c>
      <c r="BB575" t="s">
        <v>74</v>
      </c>
      <c r="BC575" t="s">
        <v>74</v>
      </c>
      <c r="BD575" t="s">
        <v>10951</v>
      </c>
      <c r="BE575" t="s">
        <v>10952</v>
      </c>
      <c r="BF575" t="str">
        <f>HYPERLINK("http://dx.doi.org/10.1299/jtst.2014jtst0013","http://dx.doi.org/10.1299/jtst.2014jtst0013")</f>
        <v>http://dx.doi.org/10.1299/jtst.2014jtst0013</v>
      </c>
      <c r="BG575" t="s">
        <v>74</v>
      </c>
      <c r="BH575" t="s">
        <v>74</v>
      </c>
      <c r="BI575">
        <v>16</v>
      </c>
      <c r="BJ575" t="s">
        <v>10953</v>
      </c>
      <c r="BK575" t="s">
        <v>101</v>
      </c>
      <c r="BL575" t="s">
        <v>10953</v>
      </c>
      <c r="BM575" t="s">
        <v>10954</v>
      </c>
      <c r="BN575" t="s">
        <v>74</v>
      </c>
      <c r="BO575" t="s">
        <v>200</v>
      </c>
      <c r="BP575" t="s">
        <v>74</v>
      </c>
      <c r="BQ575" t="s">
        <v>74</v>
      </c>
      <c r="BR575" t="s">
        <v>104</v>
      </c>
      <c r="BS575" t="s">
        <v>10955</v>
      </c>
      <c r="BT575" t="str">
        <f>HYPERLINK("https%3A%2F%2Fwww.webofscience.com%2Fwos%2Fwoscc%2Ffull-record%2FWOS:000345683900006","View Full Record in Web of Science")</f>
        <v>View Full Record in Web of Science</v>
      </c>
    </row>
    <row r="576" spans="1:72" x14ac:dyDescent="0.15">
      <c r="A576" t="s">
        <v>8774</v>
      </c>
      <c r="B576" t="s">
        <v>10956</v>
      </c>
      <c r="C576" t="s">
        <v>74</v>
      </c>
      <c r="D576" t="s">
        <v>10957</v>
      </c>
      <c r="E576" t="s">
        <v>74</v>
      </c>
      <c r="F576" t="s">
        <v>10958</v>
      </c>
      <c r="G576" t="s">
        <v>74</v>
      </c>
      <c r="H576" t="s">
        <v>74</v>
      </c>
      <c r="I576" t="s">
        <v>10959</v>
      </c>
      <c r="J576" t="s">
        <v>10960</v>
      </c>
      <c r="K576" t="s">
        <v>10961</v>
      </c>
      <c r="L576" t="s">
        <v>74</v>
      </c>
      <c r="M576" t="s">
        <v>78</v>
      </c>
      <c r="N576" t="s">
        <v>8781</v>
      </c>
      <c r="O576" t="s">
        <v>10962</v>
      </c>
      <c r="P576" t="s">
        <v>10963</v>
      </c>
      <c r="Q576" t="s">
        <v>10964</v>
      </c>
      <c r="R576" t="s">
        <v>74</v>
      </c>
      <c r="S576" t="s">
        <v>10965</v>
      </c>
      <c r="T576" t="s">
        <v>10966</v>
      </c>
      <c r="U576" t="s">
        <v>74</v>
      </c>
      <c r="V576" t="s">
        <v>10967</v>
      </c>
      <c r="W576" t="s">
        <v>10968</v>
      </c>
      <c r="X576" t="s">
        <v>124</v>
      </c>
      <c r="Y576" t="s">
        <v>10969</v>
      </c>
      <c r="Z576" t="s">
        <v>10970</v>
      </c>
      <c r="AA576" t="s">
        <v>74</v>
      </c>
      <c r="AB576" t="s">
        <v>10971</v>
      </c>
      <c r="AC576" t="s">
        <v>74</v>
      </c>
      <c r="AD576" t="s">
        <v>74</v>
      </c>
      <c r="AE576" t="s">
        <v>74</v>
      </c>
      <c r="AF576" t="s">
        <v>74</v>
      </c>
      <c r="AG576">
        <v>5</v>
      </c>
      <c r="AH576">
        <v>1</v>
      </c>
      <c r="AI576">
        <v>2</v>
      </c>
      <c r="AJ576">
        <v>0</v>
      </c>
      <c r="AK576">
        <v>3</v>
      </c>
      <c r="AL576" t="s">
        <v>902</v>
      </c>
      <c r="AM576" t="s">
        <v>653</v>
      </c>
      <c r="AN576" t="s">
        <v>9015</v>
      </c>
      <c r="AO576" t="s">
        <v>10972</v>
      </c>
      <c r="AP576" t="s">
        <v>74</v>
      </c>
      <c r="AQ576" t="s">
        <v>74</v>
      </c>
      <c r="AR576" t="s">
        <v>10973</v>
      </c>
      <c r="AS576" t="s">
        <v>74</v>
      </c>
      <c r="AT576" t="s">
        <v>74</v>
      </c>
      <c r="AU576">
        <v>2014</v>
      </c>
      <c r="AV576">
        <v>10</v>
      </c>
      <c r="AW576" t="s">
        <v>74</v>
      </c>
      <c r="AX576" t="s">
        <v>74</v>
      </c>
      <c r="AY576" t="s">
        <v>74</v>
      </c>
      <c r="AZ576" t="s">
        <v>74</v>
      </c>
      <c r="BA576" t="s">
        <v>74</v>
      </c>
      <c r="BB576">
        <v>263</v>
      </c>
      <c r="BC576">
        <v>272</v>
      </c>
      <c r="BD576" t="s">
        <v>74</v>
      </c>
      <c r="BE576" t="s">
        <v>10974</v>
      </c>
      <c r="BF576" t="str">
        <f>HYPERLINK("http://dx.doi.org/10.1016/j.piutam.2014.01.022","http://dx.doi.org/10.1016/j.piutam.2014.01.022")</f>
        <v>http://dx.doi.org/10.1016/j.piutam.2014.01.022</v>
      </c>
      <c r="BG576" t="s">
        <v>74</v>
      </c>
      <c r="BH576" t="s">
        <v>74</v>
      </c>
      <c r="BI576">
        <v>10</v>
      </c>
      <c r="BJ576" t="s">
        <v>10975</v>
      </c>
      <c r="BK576" t="s">
        <v>8799</v>
      </c>
      <c r="BL576" t="s">
        <v>10976</v>
      </c>
      <c r="BM576" t="s">
        <v>10977</v>
      </c>
      <c r="BN576" t="s">
        <v>74</v>
      </c>
      <c r="BO576" t="s">
        <v>1244</v>
      </c>
      <c r="BP576" t="s">
        <v>74</v>
      </c>
      <c r="BQ576" t="s">
        <v>74</v>
      </c>
      <c r="BR576" t="s">
        <v>104</v>
      </c>
      <c r="BS576" t="s">
        <v>10978</v>
      </c>
      <c r="BT576" t="str">
        <f>HYPERLINK("https%3A%2F%2Fwww.webofscience.com%2Fwos%2Fwoscc%2Ffull-record%2FWOS:000345443700011","View Full Record in Web of Science")</f>
        <v>View Full Record in Web of Science</v>
      </c>
    </row>
    <row r="577" spans="1:72" x14ac:dyDescent="0.15">
      <c r="A577" t="s">
        <v>72</v>
      </c>
      <c r="B577" t="s">
        <v>10979</v>
      </c>
      <c r="C577" t="s">
        <v>74</v>
      </c>
      <c r="D577" t="s">
        <v>74</v>
      </c>
      <c r="E577" t="s">
        <v>74</v>
      </c>
      <c r="F577" t="s">
        <v>10980</v>
      </c>
      <c r="G577" t="s">
        <v>74</v>
      </c>
      <c r="H577" t="s">
        <v>74</v>
      </c>
      <c r="I577" t="s">
        <v>10981</v>
      </c>
      <c r="J577" t="s">
        <v>10982</v>
      </c>
      <c r="K577" t="s">
        <v>74</v>
      </c>
      <c r="L577" t="s">
        <v>74</v>
      </c>
      <c r="M577" t="s">
        <v>78</v>
      </c>
      <c r="N577" t="s">
        <v>79</v>
      </c>
      <c r="O577" t="s">
        <v>74</v>
      </c>
      <c r="P577" t="s">
        <v>74</v>
      </c>
      <c r="Q577" t="s">
        <v>74</v>
      </c>
      <c r="R577" t="s">
        <v>74</v>
      </c>
      <c r="S577" t="s">
        <v>74</v>
      </c>
      <c r="T577" t="s">
        <v>10983</v>
      </c>
      <c r="U577" t="s">
        <v>10984</v>
      </c>
      <c r="V577" t="s">
        <v>10985</v>
      </c>
      <c r="W577" t="s">
        <v>10986</v>
      </c>
      <c r="X577" t="s">
        <v>10987</v>
      </c>
      <c r="Y577" t="s">
        <v>10988</v>
      </c>
      <c r="Z577" t="s">
        <v>74</v>
      </c>
      <c r="AA577" t="s">
        <v>74</v>
      </c>
      <c r="AB577" t="s">
        <v>10989</v>
      </c>
      <c r="AC577" t="s">
        <v>10990</v>
      </c>
      <c r="AD577" t="s">
        <v>10991</v>
      </c>
      <c r="AE577" t="s">
        <v>10992</v>
      </c>
      <c r="AF577" t="s">
        <v>74</v>
      </c>
      <c r="AG577">
        <v>46</v>
      </c>
      <c r="AH577">
        <v>22</v>
      </c>
      <c r="AI577">
        <v>23</v>
      </c>
      <c r="AJ577">
        <v>0</v>
      </c>
      <c r="AK577">
        <v>3</v>
      </c>
      <c r="AL577" t="s">
        <v>10993</v>
      </c>
      <c r="AM577" t="s">
        <v>10994</v>
      </c>
      <c r="AN577" t="s">
        <v>10995</v>
      </c>
      <c r="AO577" t="s">
        <v>10996</v>
      </c>
      <c r="AP577" t="s">
        <v>10997</v>
      </c>
      <c r="AQ577" t="s">
        <v>74</v>
      </c>
      <c r="AR577" t="s">
        <v>10998</v>
      </c>
      <c r="AS577" t="s">
        <v>10999</v>
      </c>
      <c r="AT577" t="s">
        <v>74</v>
      </c>
      <c r="AU577">
        <v>2014</v>
      </c>
      <c r="AV577">
        <v>17</v>
      </c>
      <c r="AW577">
        <v>3</v>
      </c>
      <c r="AX577" t="s">
        <v>74</v>
      </c>
      <c r="AY577" t="s">
        <v>74</v>
      </c>
      <c r="AZ577" t="s">
        <v>74</v>
      </c>
      <c r="BA577" t="s">
        <v>74</v>
      </c>
      <c r="BB577" t="s">
        <v>74</v>
      </c>
      <c r="BC577" t="s">
        <v>74</v>
      </c>
      <c r="BD577" t="s">
        <v>11000</v>
      </c>
      <c r="BE577" t="s">
        <v>74</v>
      </c>
      <c r="BF577" t="s">
        <v>74</v>
      </c>
      <c r="BG577" t="s">
        <v>74</v>
      </c>
      <c r="BH577" t="s">
        <v>74</v>
      </c>
      <c r="BI577">
        <v>9</v>
      </c>
      <c r="BJ577" t="s">
        <v>2715</v>
      </c>
      <c r="BK577" t="s">
        <v>101</v>
      </c>
      <c r="BL577" t="s">
        <v>2715</v>
      </c>
      <c r="BM577" t="s">
        <v>11001</v>
      </c>
      <c r="BN577" t="s">
        <v>74</v>
      </c>
      <c r="BO577" t="s">
        <v>74</v>
      </c>
      <c r="BP577" t="s">
        <v>74</v>
      </c>
      <c r="BQ577" t="s">
        <v>74</v>
      </c>
      <c r="BR577" t="s">
        <v>104</v>
      </c>
      <c r="BS577" t="s">
        <v>11002</v>
      </c>
      <c r="BT577" t="str">
        <f>HYPERLINK("https%3A%2F%2Fwww.webofscience.com%2Fwos%2Fwoscc%2Ffull-record%2FWOS:000345393600007","View Full Record in Web of Science")</f>
        <v>View Full Record in Web of Science</v>
      </c>
    </row>
    <row r="578" spans="1:72" x14ac:dyDescent="0.15">
      <c r="A578" t="s">
        <v>72</v>
      </c>
      <c r="B578" t="s">
        <v>11003</v>
      </c>
      <c r="C578" t="s">
        <v>74</v>
      </c>
      <c r="D578" t="s">
        <v>74</v>
      </c>
      <c r="E578" t="s">
        <v>74</v>
      </c>
      <c r="F578" t="s">
        <v>11004</v>
      </c>
      <c r="G578" t="s">
        <v>74</v>
      </c>
      <c r="H578" t="s">
        <v>74</v>
      </c>
      <c r="I578" t="s">
        <v>11005</v>
      </c>
      <c r="J578" t="s">
        <v>10582</v>
      </c>
      <c r="K578" t="s">
        <v>74</v>
      </c>
      <c r="L578" t="s">
        <v>74</v>
      </c>
      <c r="M578" t="s">
        <v>78</v>
      </c>
      <c r="N578" t="s">
        <v>79</v>
      </c>
      <c r="O578" t="s">
        <v>74</v>
      </c>
      <c r="P578" t="s">
        <v>74</v>
      </c>
      <c r="Q578" t="s">
        <v>74</v>
      </c>
      <c r="R578" t="s">
        <v>74</v>
      </c>
      <c r="S578" t="s">
        <v>74</v>
      </c>
      <c r="T578" t="s">
        <v>11006</v>
      </c>
      <c r="U578" t="s">
        <v>11007</v>
      </c>
      <c r="V578" t="s">
        <v>11008</v>
      </c>
      <c r="W578" t="s">
        <v>11009</v>
      </c>
      <c r="X578" t="s">
        <v>11010</v>
      </c>
      <c r="Y578" t="s">
        <v>11011</v>
      </c>
      <c r="Z578" t="s">
        <v>11012</v>
      </c>
      <c r="AA578" t="s">
        <v>11013</v>
      </c>
      <c r="AB578" t="s">
        <v>11014</v>
      </c>
      <c r="AC578" t="s">
        <v>74</v>
      </c>
      <c r="AD578" t="s">
        <v>74</v>
      </c>
      <c r="AE578" t="s">
        <v>74</v>
      </c>
      <c r="AF578" t="s">
        <v>74</v>
      </c>
      <c r="AG578">
        <v>35</v>
      </c>
      <c r="AH578">
        <v>3</v>
      </c>
      <c r="AI578">
        <v>4</v>
      </c>
      <c r="AJ578">
        <v>0</v>
      </c>
      <c r="AK578">
        <v>8</v>
      </c>
      <c r="AL578" t="s">
        <v>11015</v>
      </c>
      <c r="AM578" t="s">
        <v>11016</v>
      </c>
      <c r="AN578" t="s">
        <v>11017</v>
      </c>
      <c r="AO578" t="s">
        <v>10595</v>
      </c>
      <c r="AP578" t="s">
        <v>10596</v>
      </c>
      <c r="AQ578" t="s">
        <v>74</v>
      </c>
      <c r="AR578" t="s">
        <v>10597</v>
      </c>
      <c r="AS578" t="s">
        <v>10598</v>
      </c>
      <c r="AT578" t="s">
        <v>74</v>
      </c>
      <c r="AU578">
        <v>2014</v>
      </c>
      <c r="AV578">
        <v>33</v>
      </c>
      <c r="AW578" t="s">
        <v>74</v>
      </c>
      <c r="AX578" t="s">
        <v>74</v>
      </c>
      <c r="AY578" t="s">
        <v>74</v>
      </c>
      <c r="AZ578" t="s">
        <v>74</v>
      </c>
      <c r="BA578" t="s">
        <v>74</v>
      </c>
      <c r="BB578" t="s">
        <v>74</v>
      </c>
      <c r="BC578" t="s">
        <v>74</v>
      </c>
      <c r="BD578">
        <v>23861</v>
      </c>
      <c r="BE578" t="s">
        <v>11018</v>
      </c>
      <c r="BF578" t="str">
        <f>HYPERLINK("http://dx.doi.org/10.3402/polar.v33.23861","http://dx.doi.org/10.3402/polar.v33.23861")</f>
        <v>http://dx.doi.org/10.3402/polar.v33.23861</v>
      </c>
      <c r="BG578" t="s">
        <v>74</v>
      </c>
      <c r="BH578" t="s">
        <v>74</v>
      </c>
      <c r="BI578">
        <v>9</v>
      </c>
      <c r="BJ578" t="s">
        <v>10600</v>
      </c>
      <c r="BK578" t="s">
        <v>101</v>
      </c>
      <c r="BL578" t="s">
        <v>10601</v>
      </c>
      <c r="BM578" t="s">
        <v>11019</v>
      </c>
      <c r="BN578" t="s">
        <v>74</v>
      </c>
      <c r="BO578" t="s">
        <v>4013</v>
      </c>
      <c r="BP578" t="s">
        <v>74</v>
      </c>
      <c r="BQ578" t="s">
        <v>74</v>
      </c>
      <c r="BR578" t="s">
        <v>104</v>
      </c>
      <c r="BS578" t="s">
        <v>11020</v>
      </c>
      <c r="BT578" t="str">
        <f>HYPERLINK("https%3A%2F%2Fwww.webofscience.com%2Fwos%2Fwoscc%2Ffull-record%2FWOS:000345563100001","View Full Record in Web of Science")</f>
        <v>View Full Record in Web of Science</v>
      </c>
    </row>
    <row r="579" spans="1:72" x14ac:dyDescent="0.15">
      <c r="A579" t="s">
        <v>72</v>
      </c>
      <c r="B579" t="s">
        <v>11021</v>
      </c>
      <c r="C579" t="s">
        <v>74</v>
      </c>
      <c r="D579" t="s">
        <v>74</v>
      </c>
      <c r="E579" t="s">
        <v>74</v>
      </c>
      <c r="F579" t="s">
        <v>11022</v>
      </c>
      <c r="G579" t="s">
        <v>74</v>
      </c>
      <c r="H579" t="s">
        <v>74</v>
      </c>
      <c r="I579" t="s">
        <v>11023</v>
      </c>
      <c r="J579" t="s">
        <v>11024</v>
      </c>
      <c r="K579" t="s">
        <v>74</v>
      </c>
      <c r="L579" t="s">
        <v>74</v>
      </c>
      <c r="M579" t="s">
        <v>78</v>
      </c>
      <c r="N579" t="s">
        <v>79</v>
      </c>
      <c r="O579" t="s">
        <v>74</v>
      </c>
      <c r="P579" t="s">
        <v>74</v>
      </c>
      <c r="Q579" t="s">
        <v>74</v>
      </c>
      <c r="R579" t="s">
        <v>74</v>
      </c>
      <c r="S579" t="s">
        <v>74</v>
      </c>
      <c r="T579" t="s">
        <v>11025</v>
      </c>
      <c r="U579" t="s">
        <v>11026</v>
      </c>
      <c r="V579" t="s">
        <v>11027</v>
      </c>
      <c r="W579" t="s">
        <v>11028</v>
      </c>
      <c r="X579" t="s">
        <v>74</v>
      </c>
      <c r="Y579" t="s">
        <v>11029</v>
      </c>
      <c r="Z579" t="s">
        <v>11030</v>
      </c>
      <c r="AA579" t="s">
        <v>11031</v>
      </c>
      <c r="AB579" t="s">
        <v>74</v>
      </c>
      <c r="AC579" t="s">
        <v>74</v>
      </c>
      <c r="AD579" t="s">
        <v>74</v>
      </c>
      <c r="AE579" t="s">
        <v>74</v>
      </c>
      <c r="AF579" t="s">
        <v>74</v>
      </c>
      <c r="AG579">
        <v>45</v>
      </c>
      <c r="AH579">
        <v>6</v>
      </c>
      <c r="AI579">
        <v>7</v>
      </c>
      <c r="AJ579">
        <v>0</v>
      </c>
      <c r="AK579">
        <v>12</v>
      </c>
      <c r="AL579" t="s">
        <v>9895</v>
      </c>
      <c r="AM579" t="s">
        <v>9896</v>
      </c>
      <c r="AN579" t="s">
        <v>9897</v>
      </c>
      <c r="AO579" t="s">
        <v>11032</v>
      </c>
      <c r="AP579" t="s">
        <v>11033</v>
      </c>
      <c r="AQ579" t="s">
        <v>74</v>
      </c>
      <c r="AR579" t="s">
        <v>11034</v>
      </c>
      <c r="AS579" t="s">
        <v>11035</v>
      </c>
      <c r="AT579" t="s">
        <v>74</v>
      </c>
      <c r="AU579">
        <v>2014</v>
      </c>
      <c r="AV579">
        <v>36</v>
      </c>
      <c r="AW579">
        <v>2</v>
      </c>
      <c r="AX579" t="s">
        <v>74</v>
      </c>
      <c r="AY579" t="s">
        <v>74</v>
      </c>
      <c r="AZ579" t="s">
        <v>74</v>
      </c>
      <c r="BA579" t="s">
        <v>74</v>
      </c>
      <c r="BB579">
        <v>154</v>
      </c>
      <c r="BC579">
        <v>168</v>
      </c>
      <c r="BD579" t="s">
        <v>74</v>
      </c>
      <c r="BE579" t="s">
        <v>11036</v>
      </c>
      <c r="BF579" t="str">
        <f>HYPERLINK("http://dx.doi.org/10.1071/AM13038","http://dx.doi.org/10.1071/AM13038")</f>
        <v>http://dx.doi.org/10.1071/AM13038</v>
      </c>
      <c r="BG579" t="s">
        <v>74</v>
      </c>
      <c r="BH579" t="s">
        <v>74</v>
      </c>
      <c r="BI579">
        <v>15</v>
      </c>
      <c r="BJ579" t="s">
        <v>384</v>
      </c>
      <c r="BK579" t="s">
        <v>101</v>
      </c>
      <c r="BL579" t="s">
        <v>384</v>
      </c>
      <c r="BM579" t="s">
        <v>11037</v>
      </c>
      <c r="BN579" t="s">
        <v>74</v>
      </c>
      <c r="BO579" t="s">
        <v>74</v>
      </c>
      <c r="BP579" t="s">
        <v>74</v>
      </c>
      <c r="BQ579" t="s">
        <v>74</v>
      </c>
      <c r="BR579" t="s">
        <v>104</v>
      </c>
      <c r="BS579" t="s">
        <v>11038</v>
      </c>
      <c r="BT579" t="str">
        <f>HYPERLINK("https%3A%2F%2Fwww.webofscience.com%2Fwos%2Fwoscc%2Ffull-record%2FWOS:000344813200004","View Full Record in Web of Science")</f>
        <v>View Full Record in Web of Science</v>
      </c>
    </row>
    <row r="580" spans="1:72" x14ac:dyDescent="0.15">
      <c r="A580" t="s">
        <v>72</v>
      </c>
      <c r="B580" t="s">
        <v>11039</v>
      </c>
      <c r="C580" t="s">
        <v>74</v>
      </c>
      <c r="D580" t="s">
        <v>74</v>
      </c>
      <c r="E580" t="s">
        <v>74</v>
      </c>
      <c r="F580" t="s">
        <v>11040</v>
      </c>
      <c r="G580" t="s">
        <v>74</v>
      </c>
      <c r="H580" t="s">
        <v>74</v>
      </c>
      <c r="I580" t="s">
        <v>11041</v>
      </c>
      <c r="J580" t="s">
        <v>11042</v>
      </c>
      <c r="K580" t="s">
        <v>74</v>
      </c>
      <c r="L580" t="s">
        <v>74</v>
      </c>
      <c r="M580" t="s">
        <v>78</v>
      </c>
      <c r="N580" t="s">
        <v>79</v>
      </c>
      <c r="O580" t="s">
        <v>74</v>
      </c>
      <c r="P580" t="s">
        <v>74</v>
      </c>
      <c r="Q580" t="s">
        <v>74</v>
      </c>
      <c r="R580" t="s">
        <v>74</v>
      </c>
      <c r="S580" t="s">
        <v>74</v>
      </c>
      <c r="T580" t="s">
        <v>11043</v>
      </c>
      <c r="U580" t="s">
        <v>11044</v>
      </c>
      <c r="V580" t="s">
        <v>11045</v>
      </c>
      <c r="W580" t="s">
        <v>11046</v>
      </c>
      <c r="X580" t="s">
        <v>11047</v>
      </c>
      <c r="Y580" t="s">
        <v>11048</v>
      </c>
      <c r="Z580" t="s">
        <v>11049</v>
      </c>
      <c r="AA580" t="s">
        <v>11050</v>
      </c>
      <c r="AB580" t="s">
        <v>11051</v>
      </c>
      <c r="AC580" t="s">
        <v>11052</v>
      </c>
      <c r="AD580" t="s">
        <v>11053</v>
      </c>
      <c r="AE580" t="s">
        <v>11054</v>
      </c>
      <c r="AF580" t="s">
        <v>74</v>
      </c>
      <c r="AG580">
        <v>61</v>
      </c>
      <c r="AH580">
        <v>19</v>
      </c>
      <c r="AI580">
        <v>20</v>
      </c>
      <c r="AJ580">
        <v>0</v>
      </c>
      <c r="AK580">
        <v>26</v>
      </c>
      <c r="AL580" t="s">
        <v>9895</v>
      </c>
      <c r="AM580" t="s">
        <v>9896</v>
      </c>
      <c r="AN580" t="s">
        <v>9897</v>
      </c>
      <c r="AO580" t="s">
        <v>11055</v>
      </c>
      <c r="AP580" t="s">
        <v>11056</v>
      </c>
      <c r="AQ580" t="s">
        <v>74</v>
      </c>
      <c r="AR580" t="s">
        <v>11042</v>
      </c>
      <c r="AS580" t="s">
        <v>11057</v>
      </c>
      <c r="AT580" t="s">
        <v>74</v>
      </c>
      <c r="AU580">
        <v>2014</v>
      </c>
      <c r="AV580">
        <v>114</v>
      </c>
      <c r="AW580">
        <v>4</v>
      </c>
      <c r="AX580" t="s">
        <v>74</v>
      </c>
      <c r="AY580" t="s">
        <v>74</v>
      </c>
      <c r="AZ580" t="s">
        <v>74</v>
      </c>
      <c r="BA580" t="s">
        <v>74</v>
      </c>
      <c r="BB580">
        <v>360</v>
      </c>
      <c r="BC580">
        <v>370</v>
      </c>
      <c r="BD580" t="s">
        <v>74</v>
      </c>
      <c r="BE580" t="s">
        <v>11058</v>
      </c>
      <c r="BF580" t="str">
        <f>HYPERLINK("http://dx.doi.org/10.1071/MU14021","http://dx.doi.org/10.1071/MU14021")</f>
        <v>http://dx.doi.org/10.1071/MU14021</v>
      </c>
      <c r="BG580" t="s">
        <v>74</v>
      </c>
      <c r="BH580" t="s">
        <v>74</v>
      </c>
      <c r="BI580">
        <v>11</v>
      </c>
      <c r="BJ580" t="s">
        <v>11059</v>
      </c>
      <c r="BK580" t="s">
        <v>101</v>
      </c>
      <c r="BL580" t="s">
        <v>384</v>
      </c>
      <c r="BM580" t="s">
        <v>11060</v>
      </c>
      <c r="BN580" t="s">
        <v>74</v>
      </c>
      <c r="BO580" t="s">
        <v>252</v>
      </c>
      <c r="BP580" t="s">
        <v>74</v>
      </c>
      <c r="BQ580" t="s">
        <v>74</v>
      </c>
      <c r="BR580" t="s">
        <v>104</v>
      </c>
      <c r="BS580" t="s">
        <v>11061</v>
      </c>
      <c r="BT580" t="str">
        <f>HYPERLINK("https%3A%2F%2Fwww.webofscience.com%2Fwos%2Fwoscc%2Ffull-record%2FWOS:000345164000009","View Full Record in Web of Science")</f>
        <v>View Full Record in Web of Science</v>
      </c>
    </row>
    <row r="581" spans="1:72" x14ac:dyDescent="0.15">
      <c r="A581" t="s">
        <v>72</v>
      </c>
      <c r="B581" t="s">
        <v>11062</v>
      </c>
      <c r="C581" t="s">
        <v>74</v>
      </c>
      <c r="D581" t="s">
        <v>74</v>
      </c>
      <c r="E581" t="s">
        <v>74</v>
      </c>
      <c r="F581" t="s">
        <v>11063</v>
      </c>
      <c r="G581" t="s">
        <v>74</v>
      </c>
      <c r="H581" t="s">
        <v>74</v>
      </c>
      <c r="I581" t="s">
        <v>11064</v>
      </c>
      <c r="J581" t="s">
        <v>11065</v>
      </c>
      <c r="K581" t="s">
        <v>74</v>
      </c>
      <c r="L581" t="s">
        <v>74</v>
      </c>
      <c r="M581" t="s">
        <v>78</v>
      </c>
      <c r="N581" t="s">
        <v>79</v>
      </c>
      <c r="O581" t="s">
        <v>74</v>
      </c>
      <c r="P581" t="s">
        <v>74</v>
      </c>
      <c r="Q581" t="s">
        <v>74</v>
      </c>
      <c r="R581" t="s">
        <v>74</v>
      </c>
      <c r="S581" t="s">
        <v>74</v>
      </c>
      <c r="T581" t="s">
        <v>11066</v>
      </c>
      <c r="U581" t="s">
        <v>11067</v>
      </c>
      <c r="V581" t="s">
        <v>11068</v>
      </c>
      <c r="W581" t="s">
        <v>11069</v>
      </c>
      <c r="X581" t="s">
        <v>11070</v>
      </c>
      <c r="Y581" t="s">
        <v>11071</v>
      </c>
      <c r="Z581" t="s">
        <v>11072</v>
      </c>
      <c r="AA581" t="s">
        <v>11073</v>
      </c>
      <c r="AB581" t="s">
        <v>8763</v>
      </c>
      <c r="AC581" t="s">
        <v>11074</v>
      </c>
      <c r="AD581" t="s">
        <v>11075</v>
      </c>
      <c r="AE581" t="s">
        <v>11076</v>
      </c>
      <c r="AF581" t="s">
        <v>74</v>
      </c>
      <c r="AG581">
        <v>42</v>
      </c>
      <c r="AH581">
        <v>14</v>
      </c>
      <c r="AI581">
        <v>16</v>
      </c>
      <c r="AJ581">
        <v>0</v>
      </c>
      <c r="AK581">
        <v>11</v>
      </c>
      <c r="AL581" t="s">
        <v>11077</v>
      </c>
      <c r="AM581" t="s">
        <v>11078</v>
      </c>
      <c r="AN581" t="s">
        <v>11079</v>
      </c>
      <c r="AO581" t="s">
        <v>11080</v>
      </c>
      <c r="AP581" t="s">
        <v>74</v>
      </c>
      <c r="AQ581" t="s">
        <v>74</v>
      </c>
      <c r="AR581" t="s">
        <v>11065</v>
      </c>
      <c r="AS581" t="s">
        <v>11081</v>
      </c>
      <c r="AT581" t="s">
        <v>74</v>
      </c>
      <c r="AU581">
        <v>2014</v>
      </c>
      <c r="AV581">
        <v>14</v>
      </c>
      <c r="AW581">
        <v>2</v>
      </c>
      <c r="AX581" t="s">
        <v>74</v>
      </c>
      <c r="AY581" t="s">
        <v>74</v>
      </c>
      <c r="AZ581" t="s">
        <v>74</v>
      </c>
      <c r="BA581" t="s">
        <v>74</v>
      </c>
      <c r="BB581">
        <v>191</v>
      </c>
      <c r="BC581">
        <v>207</v>
      </c>
      <c r="BD581" t="s">
        <v>74</v>
      </c>
      <c r="BE581" t="s">
        <v>11082</v>
      </c>
      <c r="BF581" t="str">
        <f>HYPERLINK("http://dx.doi.org/10.5507/fot.2014.015","http://dx.doi.org/10.5507/fot.2014.015")</f>
        <v>http://dx.doi.org/10.5507/fot.2014.015</v>
      </c>
      <c r="BG581" t="s">
        <v>74</v>
      </c>
      <c r="BH581" t="s">
        <v>74</v>
      </c>
      <c r="BI581">
        <v>17</v>
      </c>
      <c r="BJ581" t="s">
        <v>181</v>
      </c>
      <c r="BK581" t="s">
        <v>101</v>
      </c>
      <c r="BL581" t="s">
        <v>181</v>
      </c>
      <c r="BM581" t="s">
        <v>11083</v>
      </c>
      <c r="BN581" t="s">
        <v>74</v>
      </c>
      <c r="BO581" t="s">
        <v>6156</v>
      </c>
      <c r="BP581" t="s">
        <v>74</v>
      </c>
      <c r="BQ581" t="s">
        <v>74</v>
      </c>
      <c r="BR581" t="s">
        <v>104</v>
      </c>
      <c r="BS581" t="s">
        <v>11084</v>
      </c>
      <c r="BT581" t="str">
        <f>HYPERLINK("https%3A%2F%2Fwww.webofscience.com%2Fwos%2Fwoscc%2Ffull-record%2FWOS:000345295900007","View Full Record in Web of Science")</f>
        <v>View Full Record in Web of Science</v>
      </c>
    </row>
    <row r="582" spans="1:72" x14ac:dyDescent="0.15">
      <c r="A582" t="s">
        <v>72</v>
      </c>
      <c r="B582" t="s">
        <v>11085</v>
      </c>
      <c r="C582" t="s">
        <v>74</v>
      </c>
      <c r="D582" t="s">
        <v>74</v>
      </c>
      <c r="E582" t="s">
        <v>74</v>
      </c>
      <c r="F582" t="s">
        <v>11086</v>
      </c>
      <c r="G582" t="s">
        <v>74</v>
      </c>
      <c r="H582" t="s">
        <v>74</v>
      </c>
      <c r="I582" t="s">
        <v>11087</v>
      </c>
      <c r="J582" t="s">
        <v>10582</v>
      </c>
      <c r="K582" t="s">
        <v>74</v>
      </c>
      <c r="L582" t="s">
        <v>74</v>
      </c>
      <c r="M582" t="s">
        <v>78</v>
      </c>
      <c r="N582" t="s">
        <v>79</v>
      </c>
      <c r="O582" t="s">
        <v>74</v>
      </c>
      <c r="P582" t="s">
        <v>74</v>
      </c>
      <c r="Q582" t="s">
        <v>74</v>
      </c>
      <c r="R582" t="s">
        <v>74</v>
      </c>
      <c r="S582" t="s">
        <v>74</v>
      </c>
      <c r="T582" t="s">
        <v>11088</v>
      </c>
      <c r="U582" t="s">
        <v>11089</v>
      </c>
      <c r="V582" t="s">
        <v>11090</v>
      </c>
      <c r="W582" t="s">
        <v>11091</v>
      </c>
      <c r="X582" t="s">
        <v>11092</v>
      </c>
      <c r="Y582" t="s">
        <v>11093</v>
      </c>
      <c r="Z582" t="s">
        <v>11094</v>
      </c>
      <c r="AA582" t="s">
        <v>74</v>
      </c>
      <c r="AB582" t="s">
        <v>74</v>
      </c>
      <c r="AC582" t="s">
        <v>11095</v>
      </c>
      <c r="AD582" t="s">
        <v>11096</v>
      </c>
      <c r="AE582" t="s">
        <v>11097</v>
      </c>
      <c r="AF582" t="s">
        <v>74</v>
      </c>
      <c r="AG582">
        <v>92</v>
      </c>
      <c r="AH582">
        <v>33</v>
      </c>
      <c r="AI582">
        <v>37</v>
      </c>
      <c r="AJ582">
        <v>1</v>
      </c>
      <c r="AK582">
        <v>33</v>
      </c>
      <c r="AL582" t="s">
        <v>5746</v>
      </c>
      <c r="AM582" t="s">
        <v>5747</v>
      </c>
      <c r="AN582" t="s">
        <v>5748</v>
      </c>
      <c r="AO582" t="s">
        <v>10595</v>
      </c>
      <c r="AP582" t="s">
        <v>10596</v>
      </c>
      <c r="AQ582" t="s">
        <v>74</v>
      </c>
      <c r="AR582" t="s">
        <v>10597</v>
      </c>
      <c r="AS582" t="s">
        <v>10598</v>
      </c>
      <c r="AT582" t="s">
        <v>74</v>
      </c>
      <c r="AU582">
        <v>2014</v>
      </c>
      <c r="AV582">
        <v>33</v>
      </c>
      <c r="AW582" t="s">
        <v>74</v>
      </c>
      <c r="AX582" t="s">
        <v>74</v>
      </c>
      <c r="AY582" t="s">
        <v>74</v>
      </c>
      <c r="AZ582" t="s">
        <v>74</v>
      </c>
      <c r="BA582" t="s">
        <v>74</v>
      </c>
      <c r="BB582" t="s">
        <v>74</v>
      </c>
      <c r="BC582" t="s">
        <v>74</v>
      </c>
      <c r="BD582">
        <v>23973</v>
      </c>
      <c r="BE582" t="s">
        <v>11098</v>
      </c>
      <c r="BF582" t="str">
        <f>HYPERLINK("http://dx.doi.org/10.3402/polar.v33.23973","http://dx.doi.org/10.3402/polar.v33.23973")</f>
        <v>http://dx.doi.org/10.3402/polar.v33.23973</v>
      </c>
      <c r="BG582" t="s">
        <v>74</v>
      </c>
      <c r="BH582" t="s">
        <v>74</v>
      </c>
      <c r="BI582">
        <v>16</v>
      </c>
      <c r="BJ582" t="s">
        <v>10600</v>
      </c>
      <c r="BK582" t="s">
        <v>101</v>
      </c>
      <c r="BL582" t="s">
        <v>10601</v>
      </c>
      <c r="BM582" t="s">
        <v>11099</v>
      </c>
      <c r="BN582" t="s">
        <v>74</v>
      </c>
      <c r="BO582" t="s">
        <v>4013</v>
      </c>
      <c r="BP582" t="s">
        <v>74</v>
      </c>
      <c r="BQ582" t="s">
        <v>74</v>
      </c>
      <c r="BR582" t="s">
        <v>104</v>
      </c>
      <c r="BS582" t="s">
        <v>11100</v>
      </c>
      <c r="BT582" t="str">
        <f>HYPERLINK("https%3A%2F%2Fwww.webofscience.com%2Fwos%2Fwoscc%2Ffull-record%2FWOS:000345301900001","View Full Record in Web of Science")</f>
        <v>View Full Record in Web of Science</v>
      </c>
    </row>
    <row r="583" spans="1:72" x14ac:dyDescent="0.15">
      <c r="A583" t="s">
        <v>72</v>
      </c>
      <c r="B583" t="s">
        <v>11101</v>
      </c>
      <c r="C583" t="s">
        <v>74</v>
      </c>
      <c r="D583" t="s">
        <v>74</v>
      </c>
      <c r="E583" t="s">
        <v>74</v>
      </c>
      <c r="F583" t="s">
        <v>11102</v>
      </c>
      <c r="G583" t="s">
        <v>74</v>
      </c>
      <c r="H583" t="s">
        <v>74</v>
      </c>
      <c r="I583" t="s">
        <v>11103</v>
      </c>
      <c r="J583" t="s">
        <v>10713</v>
      </c>
      <c r="K583" t="s">
        <v>74</v>
      </c>
      <c r="L583" t="s">
        <v>74</v>
      </c>
      <c r="M583" t="s">
        <v>78</v>
      </c>
      <c r="N583" t="s">
        <v>79</v>
      </c>
      <c r="O583" t="s">
        <v>74</v>
      </c>
      <c r="P583" t="s">
        <v>74</v>
      </c>
      <c r="Q583" t="s">
        <v>74</v>
      </c>
      <c r="R583" t="s">
        <v>74</v>
      </c>
      <c r="S583" t="s">
        <v>74</v>
      </c>
      <c r="T583" t="s">
        <v>11104</v>
      </c>
      <c r="U583" t="s">
        <v>11105</v>
      </c>
      <c r="V583" t="s">
        <v>11106</v>
      </c>
      <c r="W583" t="s">
        <v>11107</v>
      </c>
      <c r="X583" t="s">
        <v>74</v>
      </c>
      <c r="Y583" t="s">
        <v>11108</v>
      </c>
      <c r="Z583" t="s">
        <v>11109</v>
      </c>
      <c r="AA583" t="s">
        <v>11110</v>
      </c>
      <c r="AB583" t="s">
        <v>11111</v>
      </c>
      <c r="AC583" t="s">
        <v>11112</v>
      </c>
      <c r="AD583" t="s">
        <v>11113</v>
      </c>
      <c r="AE583" t="s">
        <v>11114</v>
      </c>
      <c r="AF583" t="s">
        <v>74</v>
      </c>
      <c r="AG583">
        <v>55</v>
      </c>
      <c r="AH583">
        <v>1</v>
      </c>
      <c r="AI583">
        <v>2</v>
      </c>
      <c r="AJ583">
        <v>0</v>
      </c>
      <c r="AK583">
        <v>0</v>
      </c>
      <c r="AL583" t="s">
        <v>10723</v>
      </c>
      <c r="AM583" t="s">
        <v>10724</v>
      </c>
      <c r="AN583" t="s">
        <v>10725</v>
      </c>
      <c r="AO583" t="s">
        <v>10726</v>
      </c>
      <c r="AP583" t="s">
        <v>10727</v>
      </c>
      <c r="AQ583" t="s">
        <v>74</v>
      </c>
      <c r="AR583" t="s">
        <v>10728</v>
      </c>
      <c r="AS583" t="s">
        <v>10729</v>
      </c>
      <c r="AT583" t="s">
        <v>74</v>
      </c>
      <c r="AU583">
        <v>2014</v>
      </c>
      <c r="AV583">
        <v>35</v>
      </c>
      <c r="AW583">
        <v>3</v>
      </c>
      <c r="AX583" t="s">
        <v>74</v>
      </c>
      <c r="AY583" t="s">
        <v>74</v>
      </c>
      <c r="AZ583" t="s">
        <v>74</v>
      </c>
      <c r="BA583" t="s">
        <v>74</v>
      </c>
      <c r="BB583">
        <v>455</v>
      </c>
      <c r="BC583">
        <v>467</v>
      </c>
      <c r="BD583" t="s">
        <v>74</v>
      </c>
      <c r="BE583" t="s">
        <v>11115</v>
      </c>
      <c r="BF583" t="str">
        <f>HYPERLINK("http://dx.doi.org/10.2478/popore-2014-0024","http://dx.doi.org/10.2478/popore-2014-0024")</f>
        <v>http://dx.doi.org/10.2478/popore-2014-0024</v>
      </c>
      <c r="BG583" t="s">
        <v>74</v>
      </c>
      <c r="BH583" t="s">
        <v>74</v>
      </c>
      <c r="BI583">
        <v>13</v>
      </c>
      <c r="BJ583" t="s">
        <v>2923</v>
      </c>
      <c r="BK583" t="s">
        <v>101</v>
      </c>
      <c r="BL583" t="s">
        <v>357</v>
      </c>
      <c r="BM583" t="s">
        <v>11116</v>
      </c>
      <c r="BN583" t="s">
        <v>74</v>
      </c>
      <c r="BO583" t="s">
        <v>74</v>
      </c>
      <c r="BP583" t="s">
        <v>74</v>
      </c>
      <c r="BQ583" t="s">
        <v>74</v>
      </c>
      <c r="BR583" t="s">
        <v>104</v>
      </c>
      <c r="BS583" t="s">
        <v>11117</v>
      </c>
      <c r="BT583" t="str">
        <f>HYPERLINK("https%3A%2F%2Fwww.webofscience.com%2Fwos%2Fwoscc%2Ffull-record%2FWOS:000344906300001","View Full Record in Web of Science")</f>
        <v>View Full Record in Web of Science</v>
      </c>
    </row>
    <row r="584" spans="1:72" x14ac:dyDescent="0.15">
      <c r="A584" t="s">
        <v>72</v>
      </c>
      <c r="B584" t="s">
        <v>11118</v>
      </c>
      <c r="C584" t="s">
        <v>74</v>
      </c>
      <c r="D584" t="s">
        <v>74</v>
      </c>
      <c r="E584" t="s">
        <v>74</v>
      </c>
      <c r="F584" t="s">
        <v>11119</v>
      </c>
      <c r="G584" t="s">
        <v>74</v>
      </c>
      <c r="H584" t="s">
        <v>74</v>
      </c>
      <c r="I584" t="s">
        <v>11120</v>
      </c>
      <c r="J584" t="s">
        <v>10713</v>
      </c>
      <c r="K584" t="s">
        <v>74</v>
      </c>
      <c r="L584" t="s">
        <v>74</v>
      </c>
      <c r="M584" t="s">
        <v>78</v>
      </c>
      <c r="N584" t="s">
        <v>79</v>
      </c>
      <c r="O584" t="s">
        <v>74</v>
      </c>
      <c r="P584" t="s">
        <v>74</v>
      </c>
      <c r="Q584" t="s">
        <v>74</v>
      </c>
      <c r="R584" t="s">
        <v>74</v>
      </c>
      <c r="S584" t="s">
        <v>74</v>
      </c>
      <c r="T584" t="s">
        <v>11121</v>
      </c>
      <c r="U584" t="s">
        <v>11122</v>
      </c>
      <c r="V584" t="s">
        <v>11123</v>
      </c>
      <c r="W584" t="s">
        <v>11124</v>
      </c>
      <c r="X584" t="s">
        <v>11125</v>
      </c>
      <c r="Y584" t="s">
        <v>11126</v>
      </c>
      <c r="Z584" t="s">
        <v>11127</v>
      </c>
      <c r="AA584" t="s">
        <v>74</v>
      </c>
      <c r="AB584" t="s">
        <v>11128</v>
      </c>
      <c r="AC584" t="s">
        <v>11129</v>
      </c>
      <c r="AD584" t="s">
        <v>11129</v>
      </c>
      <c r="AE584" t="s">
        <v>11130</v>
      </c>
      <c r="AF584" t="s">
        <v>74</v>
      </c>
      <c r="AG584">
        <v>36</v>
      </c>
      <c r="AH584">
        <v>20</v>
      </c>
      <c r="AI584">
        <v>21</v>
      </c>
      <c r="AJ584">
        <v>0</v>
      </c>
      <c r="AK584">
        <v>17</v>
      </c>
      <c r="AL584" t="s">
        <v>11131</v>
      </c>
      <c r="AM584" t="s">
        <v>10724</v>
      </c>
      <c r="AN584" t="s">
        <v>11132</v>
      </c>
      <c r="AO584" t="s">
        <v>10726</v>
      </c>
      <c r="AP584" t="s">
        <v>10727</v>
      </c>
      <c r="AQ584" t="s">
        <v>74</v>
      </c>
      <c r="AR584" t="s">
        <v>10728</v>
      </c>
      <c r="AS584" t="s">
        <v>10729</v>
      </c>
      <c r="AT584" t="s">
        <v>74</v>
      </c>
      <c r="AU584">
        <v>2014</v>
      </c>
      <c r="AV584">
        <v>35</v>
      </c>
      <c r="AW584">
        <v>3</v>
      </c>
      <c r="AX584" t="s">
        <v>74</v>
      </c>
      <c r="AY584" t="s">
        <v>74</v>
      </c>
      <c r="AZ584" t="s">
        <v>74</v>
      </c>
      <c r="BA584" t="s">
        <v>74</v>
      </c>
      <c r="BB584">
        <v>469</v>
      </c>
      <c r="BC584">
        <v>496</v>
      </c>
      <c r="BD584" t="s">
        <v>74</v>
      </c>
      <c r="BE584" t="s">
        <v>11133</v>
      </c>
      <c r="BF584" t="str">
        <f>HYPERLINK("http://dx.doi.org/10.2478/popore-2014-0025","http://dx.doi.org/10.2478/popore-2014-0025")</f>
        <v>http://dx.doi.org/10.2478/popore-2014-0025</v>
      </c>
      <c r="BG584" t="s">
        <v>74</v>
      </c>
      <c r="BH584" t="s">
        <v>74</v>
      </c>
      <c r="BI584">
        <v>28</v>
      </c>
      <c r="BJ584" t="s">
        <v>2923</v>
      </c>
      <c r="BK584" t="s">
        <v>101</v>
      </c>
      <c r="BL584" t="s">
        <v>357</v>
      </c>
      <c r="BM584" t="s">
        <v>11116</v>
      </c>
      <c r="BN584" t="s">
        <v>74</v>
      </c>
      <c r="BO584" t="s">
        <v>270</v>
      </c>
      <c r="BP584" t="s">
        <v>74</v>
      </c>
      <c r="BQ584" t="s">
        <v>74</v>
      </c>
      <c r="BR584" t="s">
        <v>104</v>
      </c>
      <c r="BS584" t="s">
        <v>11134</v>
      </c>
      <c r="BT584" t="str">
        <f>HYPERLINK("https%3A%2F%2Fwww.webofscience.com%2Fwos%2Fwoscc%2Ffull-record%2FWOS:000344906300002","View Full Record in Web of Science")</f>
        <v>View Full Record in Web of Science</v>
      </c>
    </row>
    <row r="585" spans="1:72" x14ac:dyDescent="0.15">
      <c r="A585" t="s">
        <v>72</v>
      </c>
      <c r="B585" t="s">
        <v>11135</v>
      </c>
      <c r="C585" t="s">
        <v>74</v>
      </c>
      <c r="D585" t="s">
        <v>74</v>
      </c>
      <c r="E585" t="s">
        <v>74</v>
      </c>
      <c r="F585" t="s">
        <v>11136</v>
      </c>
      <c r="G585" t="s">
        <v>74</v>
      </c>
      <c r="H585" t="s">
        <v>74</v>
      </c>
      <c r="I585" t="s">
        <v>11137</v>
      </c>
      <c r="J585" t="s">
        <v>10713</v>
      </c>
      <c r="K585" t="s">
        <v>74</v>
      </c>
      <c r="L585" t="s">
        <v>74</v>
      </c>
      <c r="M585" t="s">
        <v>78</v>
      </c>
      <c r="N585" t="s">
        <v>79</v>
      </c>
      <c r="O585" t="s">
        <v>74</v>
      </c>
      <c r="P585" t="s">
        <v>74</v>
      </c>
      <c r="Q585" t="s">
        <v>74</v>
      </c>
      <c r="R585" t="s">
        <v>74</v>
      </c>
      <c r="S585" t="s">
        <v>74</v>
      </c>
      <c r="T585" t="s">
        <v>11138</v>
      </c>
      <c r="U585" t="s">
        <v>11139</v>
      </c>
      <c r="V585" t="s">
        <v>11140</v>
      </c>
      <c r="W585" t="s">
        <v>11141</v>
      </c>
      <c r="X585" t="s">
        <v>11142</v>
      </c>
      <c r="Y585" t="s">
        <v>11143</v>
      </c>
      <c r="Z585" t="s">
        <v>11144</v>
      </c>
      <c r="AA585" t="s">
        <v>11145</v>
      </c>
      <c r="AB585" t="s">
        <v>11146</v>
      </c>
      <c r="AC585" t="s">
        <v>74</v>
      </c>
      <c r="AD585" t="s">
        <v>74</v>
      </c>
      <c r="AE585" t="s">
        <v>74</v>
      </c>
      <c r="AF585" t="s">
        <v>74</v>
      </c>
      <c r="AG585">
        <v>15</v>
      </c>
      <c r="AH585">
        <v>5</v>
      </c>
      <c r="AI585">
        <v>6</v>
      </c>
      <c r="AJ585">
        <v>0</v>
      </c>
      <c r="AK585">
        <v>7</v>
      </c>
      <c r="AL585" t="s">
        <v>10723</v>
      </c>
      <c r="AM585" t="s">
        <v>10724</v>
      </c>
      <c r="AN585" t="s">
        <v>10725</v>
      </c>
      <c r="AO585" t="s">
        <v>10726</v>
      </c>
      <c r="AP585" t="s">
        <v>10727</v>
      </c>
      <c r="AQ585" t="s">
        <v>74</v>
      </c>
      <c r="AR585" t="s">
        <v>10728</v>
      </c>
      <c r="AS585" t="s">
        <v>10729</v>
      </c>
      <c r="AT585" t="s">
        <v>74</v>
      </c>
      <c r="AU585">
        <v>2014</v>
      </c>
      <c r="AV585">
        <v>35</v>
      </c>
      <c r="AW585">
        <v>3</v>
      </c>
      <c r="AX585" t="s">
        <v>74</v>
      </c>
      <c r="AY585" t="s">
        <v>74</v>
      </c>
      <c r="AZ585" t="s">
        <v>74</v>
      </c>
      <c r="BA585" t="s">
        <v>74</v>
      </c>
      <c r="BB585">
        <v>513</v>
      </c>
      <c r="BC585">
        <v>520</v>
      </c>
      <c r="BD585" t="s">
        <v>74</v>
      </c>
      <c r="BE585" t="s">
        <v>11147</v>
      </c>
      <c r="BF585" t="str">
        <f>HYPERLINK("http://dx.doi.org/10.2478/popore-2014-0009","http://dx.doi.org/10.2478/popore-2014-0009")</f>
        <v>http://dx.doi.org/10.2478/popore-2014-0009</v>
      </c>
      <c r="BG585" t="s">
        <v>74</v>
      </c>
      <c r="BH585" t="s">
        <v>74</v>
      </c>
      <c r="BI585">
        <v>8</v>
      </c>
      <c r="BJ585" t="s">
        <v>2923</v>
      </c>
      <c r="BK585" t="s">
        <v>101</v>
      </c>
      <c r="BL585" t="s">
        <v>357</v>
      </c>
      <c r="BM585" t="s">
        <v>11116</v>
      </c>
      <c r="BN585" t="s">
        <v>74</v>
      </c>
      <c r="BO585" t="s">
        <v>74</v>
      </c>
      <c r="BP585" t="s">
        <v>74</v>
      </c>
      <c r="BQ585" t="s">
        <v>74</v>
      </c>
      <c r="BR585" t="s">
        <v>104</v>
      </c>
      <c r="BS585" t="s">
        <v>11148</v>
      </c>
      <c r="BT585" t="str">
        <f>HYPERLINK("https%3A%2F%2Fwww.webofscience.com%2Fwos%2Fwoscc%2Ffull-record%2FWOS:000344906300004","View Full Record in Web of Science")</f>
        <v>View Full Record in Web of Science</v>
      </c>
    </row>
    <row r="586" spans="1:72" x14ac:dyDescent="0.15">
      <c r="A586" t="s">
        <v>72</v>
      </c>
      <c r="B586" t="s">
        <v>11149</v>
      </c>
      <c r="C586" t="s">
        <v>74</v>
      </c>
      <c r="D586" t="s">
        <v>74</v>
      </c>
      <c r="E586" t="s">
        <v>74</v>
      </c>
      <c r="F586" t="s">
        <v>11150</v>
      </c>
      <c r="G586" t="s">
        <v>74</v>
      </c>
      <c r="H586" t="s">
        <v>74</v>
      </c>
      <c r="I586" t="s">
        <v>11151</v>
      </c>
      <c r="J586" t="s">
        <v>11152</v>
      </c>
      <c r="K586" t="s">
        <v>74</v>
      </c>
      <c r="L586" t="s">
        <v>74</v>
      </c>
      <c r="M586" t="s">
        <v>78</v>
      </c>
      <c r="N586" t="s">
        <v>79</v>
      </c>
      <c r="O586" t="s">
        <v>74</v>
      </c>
      <c r="P586" t="s">
        <v>74</v>
      </c>
      <c r="Q586" t="s">
        <v>74</v>
      </c>
      <c r="R586" t="s">
        <v>74</v>
      </c>
      <c r="S586" t="s">
        <v>74</v>
      </c>
      <c r="T586" t="s">
        <v>74</v>
      </c>
      <c r="U586" t="s">
        <v>11153</v>
      </c>
      <c r="V586" t="s">
        <v>11154</v>
      </c>
      <c r="W586" t="s">
        <v>11155</v>
      </c>
      <c r="X586" t="s">
        <v>11156</v>
      </c>
      <c r="Y586" t="s">
        <v>11157</v>
      </c>
      <c r="Z586" t="s">
        <v>11158</v>
      </c>
      <c r="AA586" t="s">
        <v>11159</v>
      </c>
      <c r="AB586" t="s">
        <v>11160</v>
      </c>
      <c r="AC586" t="s">
        <v>11161</v>
      </c>
      <c r="AD586" t="s">
        <v>900</v>
      </c>
      <c r="AE586" t="s">
        <v>11162</v>
      </c>
      <c r="AF586" t="s">
        <v>74</v>
      </c>
      <c r="AG586">
        <v>58</v>
      </c>
      <c r="AH586">
        <v>16</v>
      </c>
      <c r="AI586">
        <v>16</v>
      </c>
      <c r="AJ586">
        <v>1</v>
      </c>
      <c r="AK586">
        <v>10</v>
      </c>
      <c r="AL586" t="s">
        <v>11163</v>
      </c>
      <c r="AM586" t="s">
        <v>11164</v>
      </c>
      <c r="AN586" t="s">
        <v>11165</v>
      </c>
      <c r="AO586" t="s">
        <v>11166</v>
      </c>
      <c r="AP586" t="s">
        <v>11167</v>
      </c>
      <c r="AQ586" t="s">
        <v>74</v>
      </c>
      <c r="AR586" t="s">
        <v>11168</v>
      </c>
      <c r="AS586" t="s">
        <v>11169</v>
      </c>
      <c r="AT586" t="s">
        <v>74</v>
      </c>
      <c r="AU586">
        <v>2014</v>
      </c>
      <c r="AV586">
        <v>57</v>
      </c>
      <c r="AW586">
        <v>3</v>
      </c>
      <c r="AX586" t="s">
        <v>74</v>
      </c>
      <c r="AY586" t="s">
        <v>74</v>
      </c>
      <c r="AZ586" t="s">
        <v>74</v>
      </c>
      <c r="BA586" t="s">
        <v>74</v>
      </c>
      <c r="BB586" t="s">
        <v>74</v>
      </c>
      <c r="BC586" t="s">
        <v>74</v>
      </c>
      <c r="BD586" t="s">
        <v>11170</v>
      </c>
      <c r="BE586" t="s">
        <v>11171</v>
      </c>
      <c r="BF586" t="str">
        <f>HYPERLINK("http://dx.doi.org/10.4401/ag-6378","http://dx.doi.org/10.4401/ag-6378")</f>
        <v>http://dx.doi.org/10.4401/ag-6378</v>
      </c>
      <c r="BG586" t="s">
        <v>74</v>
      </c>
      <c r="BH586" t="s">
        <v>74</v>
      </c>
      <c r="BI586">
        <v>16</v>
      </c>
      <c r="BJ586" t="s">
        <v>574</v>
      </c>
      <c r="BK586" t="s">
        <v>101</v>
      </c>
      <c r="BL586" t="s">
        <v>574</v>
      </c>
      <c r="BM586" t="s">
        <v>11172</v>
      </c>
      <c r="BN586" t="s">
        <v>74</v>
      </c>
      <c r="BO586" t="s">
        <v>4942</v>
      </c>
      <c r="BP586" t="s">
        <v>74</v>
      </c>
      <c r="BQ586" t="s">
        <v>74</v>
      </c>
      <c r="BR586" t="s">
        <v>104</v>
      </c>
      <c r="BS586" t="s">
        <v>11173</v>
      </c>
      <c r="BT586" t="str">
        <f>HYPERLINK("https%3A%2F%2Fwww.webofscience.com%2Fwos%2Fwoscc%2Ffull-record%2FWOS:000344585300003","View Full Record in Web of Science")</f>
        <v>View Full Record in Web of Science</v>
      </c>
    </row>
    <row r="587" spans="1:72" x14ac:dyDescent="0.15">
      <c r="A587" t="s">
        <v>72</v>
      </c>
      <c r="B587" t="s">
        <v>11174</v>
      </c>
      <c r="C587" t="s">
        <v>74</v>
      </c>
      <c r="D587" t="s">
        <v>74</v>
      </c>
      <c r="E587" t="s">
        <v>74</v>
      </c>
      <c r="F587" t="s">
        <v>11175</v>
      </c>
      <c r="G587" t="s">
        <v>74</v>
      </c>
      <c r="H587" t="s">
        <v>74</v>
      </c>
      <c r="I587" t="s">
        <v>11176</v>
      </c>
      <c r="J587" t="s">
        <v>11152</v>
      </c>
      <c r="K587" t="s">
        <v>74</v>
      </c>
      <c r="L587" t="s">
        <v>74</v>
      </c>
      <c r="M587" t="s">
        <v>78</v>
      </c>
      <c r="N587" t="s">
        <v>79</v>
      </c>
      <c r="O587" t="s">
        <v>74</v>
      </c>
      <c r="P587" t="s">
        <v>74</v>
      </c>
      <c r="Q587" t="s">
        <v>74</v>
      </c>
      <c r="R587" t="s">
        <v>74</v>
      </c>
      <c r="S587" t="s">
        <v>74</v>
      </c>
      <c r="T587" t="s">
        <v>74</v>
      </c>
      <c r="U587" t="s">
        <v>11177</v>
      </c>
      <c r="V587" t="s">
        <v>11178</v>
      </c>
      <c r="W587" t="s">
        <v>11179</v>
      </c>
      <c r="X587" t="s">
        <v>11180</v>
      </c>
      <c r="Y587" t="s">
        <v>11181</v>
      </c>
      <c r="Z587" t="s">
        <v>11182</v>
      </c>
      <c r="AA587" t="s">
        <v>11183</v>
      </c>
      <c r="AB587" t="s">
        <v>11184</v>
      </c>
      <c r="AC587" t="s">
        <v>11185</v>
      </c>
      <c r="AD587" t="s">
        <v>6768</v>
      </c>
      <c r="AE587" t="s">
        <v>74</v>
      </c>
      <c r="AF587" t="s">
        <v>74</v>
      </c>
      <c r="AG587">
        <v>37</v>
      </c>
      <c r="AH587">
        <v>2</v>
      </c>
      <c r="AI587">
        <v>3</v>
      </c>
      <c r="AJ587">
        <v>0</v>
      </c>
      <c r="AK587">
        <v>11</v>
      </c>
      <c r="AL587" t="s">
        <v>11163</v>
      </c>
      <c r="AM587" t="s">
        <v>11164</v>
      </c>
      <c r="AN587" t="s">
        <v>11165</v>
      </c>
      <c r="AO587" t="s">
        <v>11166</v>
      </c>
      <c r="AP587" t="s">
        <v>11167</v>
      </c>
      <c r="AQ587" t="s">
        <v>74</v>
      </c>
      <c r="AR587" t="s">
        <v>11168</v>
      </c>
      <c r="AS587" t="s">
        <v>11169</v>
      </c>
      <c r="AT587" t="s">
        <v>74</v>
      </c>
      <c r="AU587">
        <v>2014</v>
      </c>
      <c r="AV587">
        <v>57</v>
      </c>
      <c r="AW587">
        <v>3</v>
      </c>
      <c r="AX587" t="s">
        <v>74</v>
      </c>
      <c r="AY587" t="s">
        <v>74</v>
      </c>
      <c r="AZ587" t="s">
        <v>74</v>
      </c>
      <c r="BA587" t="s">
        <v>74</v>
      </c>
      <c r="BB587" t="s">
        <v>74</v>
      </c>
      <c r="BC587" t="s">
        <v>74</v>
      </c>
      <c r="BD587" t="s">
        <v>11186</v>
      </c>
      <c r="BE587" t="s">
        <v>11187</v>
      </c>
      <c r="BF587" t="str">
        <f>HYPERLINK("http://dx.doi.org/10.4401/ag-6379","http://dx.doi.org/10.4401/ag-6379")</f>
        <v>http://dx.doi.org/10.4401/ag-6379</v>
      </c>
      <c r="BG587" t="s">
        <v>74</v>
      </c>
      <c r="BH587" t="s">
        <v>74</v>
      </c>
      <c r="BI587">
        <v>11</v>
      </c>
      <c r="BJ587" t="s">
        <v>574</v>
      </c>
      <c r="BK587" t="s">
        <v>101</v>
      </c>
      <c r="BL587" t="s">
        <v>574</v>
      </c>
      <c r="BM587" t="s">
        <v>11172</v>
      </c>
      <c r="BN587" t="s">
        <v>74</v>
      </c>
      <c r="BO587" t="s">
        <v>4013</v>
      </c>
      <c r="BP587" t="s">
        <v>74</v>
      </c>
      <c r="BQ587" t="s">
        <v>74</v>
      </c>
      <c r="BR587" t="s">
        <v>104</v>
      </c>
      <c r="BS587" t="s">
        <v>11188</v>
      </c>
      <c r="BT587" t="str">
        <f>HYPERLINK("https%3A%2F%2Fwww.webofscience.com%2Fwos%2Fwoscc%2Ffull-record%2FWOS:000344585300004","View Full Record in Web of Science")</f>
        <v>View Full Record in Web of Science</v>
      </c>
    </row>
    <row r="588" spans="1:72" x14ac:dyDescent="0.15">
      <c r="A588" t="s">
        <v>72</v>
      </c>
      <c r="B588" t="s">
        <v>11189</v>
      </c>
      <c r="C588" t="s">
        <v>74</v>
      </c>
      <c r="D588" t="s">
        <v>74</v>
      </c>
      <c r="E588" t="s">
        <v>74</v>
      </c>
      <c r="F588" t="s">
        <v>11190</v>
      </c>
      <c r="G588" t="s">
        <v>74</v>
      </c>
      <c r="H588" t="s">
        <v>74</v>
      </c>
      <c r="I588" t="s">
        <v>11191</v>
      </c>
      <c r="J588" t="s">
        <v>11152</v>
      </c>
      <c r="K588" t="s">
        <v>74</v>
      </c>
      <c r="L588" t="s">
        <v>74</v>
      </c>
      <c r="M588" t="s">
        <v>78</v>
      </c>
      <c r="N588" t="s">
        <v>79</v>
      </c>
      <c r="O588" t="s">
        <v>74</v>
      </c>
      <c r="P588" t="s">
        <v>74</v>
      </c>
      <c r="Q588" t="s">
        <v>74</v>
      </c>
      <c r="R588" t="s">
        <v>74</v>
      </c>
      <c r="S588" t="s">
        <v>74</v>
      </c>
      <c r="T588" t="s">
        <v>74</v>
      </c>
      <c r="U588" t="s">
        <v>74</v>
      </c>
      <c r="V588" t="s">
        <v>11192</v>
      </c>
      <c r="W588" t="s">
        <v>11193</v>
      </c>
      <c r="X588" t="s">
        <v>11194</v>
      </c>
      <c r="Y588" t="s">
        <v>11195</v>
      </c>
      <c r="Z588" t="s">
        <v>11196</v>
      </c>
      <c r="AA588" t="s">
        <v>11197</v>
      </c>
      <c r="AB588" t="s">
        <v>11198</v>
      </c>
      <c r="AC588" t="s">
        <v>11199</v>
      </c>
      <c r="AD588" t="s">
        <v>11200</v>
      </c>
      <c r="AE588" t="s">
        <v>11201</v>
      </c>
      <c r="AF588" t="s">
        <v>74</v>
      </c>
      <c r="AG588">
        <v>11</v>
      </c>
      <c r="AH588">
        <v>0</v>
      </c>
      <c r="AI588">
        <v>1</v>
      </c>
      <c r="AJ588">
        <v>0</v>
      </c>
      <c r="AK588">
        <v>3</v>
      </c>
      <c r="AL588" t="s">
        <v>11163</v>
      </c>
      <c r="AM588" t="s">
        <v>11164</v>
      </c>
      <c r="AN588" t="s">
        <v>11165</v>
      </c>
      <c r="AO588" t="s">
        <v>11166</v>
      </c>
      <c r="AP588" t="s">
        <v>11167</v>
      </c>
      <c r="AQ588" t="s">
        <v>74</v>
      </c>
      <c r="AR588" t="s">
        <v>11168</v>
      </c>
      <c r="AS588" t="s">
        <v>11169</v>
      </c>
      <c r="AT588" t="s">
        <v>74</v>
      </c>
      <c r="AU588">
        <v>2014</v>
      </c>
      <c r="AV588">
        <v>57</v>
      </c>
      <c r="AW588">
        <v>3</v>
      </c>
      <c r="AX588" t="s">
        <v>74</v>
      </c>
      <c r="AY588" t="s">
        <v>74</v>
      </c>
      <c r="AZ588" t="s">
        <v>74</v>
      </c>
      <c r="BA588" t="s">
        <v>74</v>
      </c>
      <c r="BB588" t="s">
        <v>74</v>
      </c>
      <c r="BC588" t="s">
        <v>74</v>
      </c>
      <c r="BD588" t="s">
        <v>11202</v>
      </c>
      <c r="BE588" t="s">
        <v>11203</v>
      </c>
      <c r="BF588" t="str">
        <f>HYPERLINK("http://dx.doi.org/10.4401/ag-6381","http://dx.doi.org/10.4401/ag-6381")</f>
        <v>http://dx.doi.org/10.4401/ag-6381</v>
      </c>
      <c r="BG588" t="s">
        <v>74</v>
      </c>
      <c r="BH588" t="s">
        <v>74</v>
      </c>
      <c r="BI588">
        <v>12</v>
      </c>
      <c r="BJ588" t="s">
        <v>574</v>
      </c>
      <c r="BK588" t="s">
        <v>101</v>
      </c>
      <c r="BL588" t="s">
        <v>574</v>
      </c>
      <c r="BM588" t="s">
        <v>11172</v>
      </c>
      <c r="BN588" t="s">
        <v>74</v>
      </c>
      <c r="BO588" t="s">
        <v>2318</v>
      </c>
      <c r="BP588" t="s">
        <v>74</v>
      </c>
      <c r="BQ588" t="s">
        <v>74</v>
      </c>
      <c r="BR588" t="s">
        <v>104</v>
      </c>
      <c r="BS588" t="s">
        <v>11204</v>
      </c>
      <c r="BT588" t="str">
        <f>HYPERLINK("https%3A%2F%2Fwww.webofscience.com%2Fwos%2Fwoscc%2Ffull-record%2FWOS:000344585300002","View Full Record in Web of Science")</f>
        <v>View Full Record in Web of Science</v>
      </c>
    </row>
    <row r="589" spans="1:72" x14ac:dyDescent="0.15">
      <c r="A589" t="s">
        <v>72</v>
      </c>
      <c r="B589" t="s">
        <v>11205</v>
      </c>
      <c r="C589" t="s">
        <v>74</v>
      </c>
      <c r="D589" t="s">
        <v>74</v>
      </c>
      <c r="E589" t="s">
        <v>74</v>
      </c>
      <c r="F589" t="s">
        <v>11206</v>
      </c>
      <c r="G589" t="s">
        <v>74</v>
      </c>
      <c r="H589" t="s">
        <v>74</v>
      </c>
      <c r="I589" t="s">
        <v>11207</v>
      </c>
      <c r="J589" t="s">
        <v>10325</v>
      </c>
      <c r="K589" t="s">
        <v>74</v>
      </c>
      <c r="L589" t="s">
        <v>74</v>
      </c>
      <c r="M589" t="s">
        <v>78</v>
      </c>
      <c r="N589" t="s">
        <v>79</v>
      </c>
      <c r="O589" t="s">
        <v>74</v>
      </c>
      <c r="P589" t="s">
        <v>74</v>
      </c>
      <c r="Q589" t="s">
        <v>74</v>
      </c>
      <c r="R589" t="s">
        <v>74</v>
      </c>
      <c r="S589" t="s">
        <v>74</v>
      </c>
      <c r="T589" t="s">
        <v>74</v>
      </c>
      <c r="U589" t="s">
        <v>11208</v>
      </c>
      <c r="V589" t="s">
        <v>11209</v>
      </c>
      <c r="W589" t="s">
        <v>11210</v>
      </c>
      <c r="X589" t="s">
        <v>11211</v>
      </c>
      <c r="Y589" t="s">
        <v>11212</v>
      </c>
      <c r="Z589" t="s">
        <v>11213</v>
      </c>
      <c r="AA589" t="s">
        <v>11214</v>
      </c>
      <c r="AB589" t="s">
        <v>11215</v>
      </c>
      <c r="AC589" t="s">
        <v>11216</v>
      </c>
      <c r="AD589" t="s">
        <v>11217</v>
      </c>
      <c r="AE589" t="s">
        <v>11218</v>
      </c>
      <c r="AF589" t="s">
        <v>74</v>
      </c>
      <c r="AG589">
        <v>85</v>
      </c>
      <c r="AH589">
        <v>11</v>
      </c>
      <c r="AI589">
        <v>11</v>
      </c>
      <c r="AJ589">
        <v>0</v>
      </c>
      <c r="AK589">
        <v>17</v>
      </c>
      <c r="AL589" t="s">
        <v>1463</v>
      </c>
      <c r="AM589" t="s">
        <v>1464</v>
      </c>
      <c r="AN589" t="s">
        <v>1465</v>
      </c>
      <c r="AO589" t="s">
        <v>10336</v>
      </c>
      <c r="AP589" t="s">
        <v>10337</v>
      </c>
      <c r="AQ589" t="s">
        <v>74</v>
      </c>
      <c r="AR589" t="s">
        <v>10338</v>
      </c>
      <c r="AS589" t="s">
        <v>10339</v>
      </c>
      <c r="AT589" t="s">
        <v>74</v>
      </c>
      <c r="AU589">
        <v>2014</v>
      </c>
      <c r="AV589">
        <v>10</v>
      </c>
      <c r="AW589">
        <v>5</v>
      </c>
      <c r="AX589" t="s">
        <v>74</v>
      </c>
      <c r="AY589" t="s">
        <v>74</v>
      </c>
      <c r="AZ589" t="s">
        <v>74</v>
      </c>
      <c r="BA589" t="s">
        <v>74</v>
      </c>
      <c r="BB589">
        <v>1723</v>
      </c>
      <c r="BC589">
        <v>1734</v>
      </c>
      <c r="BD589" t="s">
        <v>74</v>
      </c>
      <c r="BE589" t="s">
        <v>11219</v>
      </c>
      <c r="BF589" t="str">
        <f>HYPERLINK("http://dx.doi.org/10.5194/cp-10-1723-2014","http://dx.doi.org/10.5194/cp-10-1723-2014")</f>
        <v>http://dx.doi.org/10.5194/cp-10-1723-2014</v>
      </c>
      <c r="BG589" t="s">
        <v>74</v>
      </c>
      <c r="BH589" t="s">
        <v>74</v>
      </c>
      <c r="BI589">
        <v>12</v>
      </c>
      <c r="BJ589" t="s">
        <v>9225</v>
      </c>
      <c r="BK589" t="s">
        <v>101</v>
      </c>
      <c r="BL589" t="s">
        <v>9226</v>
      </c>
      <c r="BM589" t="s">
        <v>11220</v>
      </c>
      <c r="BN589" t="s">
        <v>74</v>
      </c>
      <c r="BO589" t="s">
        <v>1933</v>
      </c>
      <c r="BP589" t="s">
        <v>74</v>
      </c>
      <c r="BQ589" t="s">
        <v>74</v>
      </c>
      <c r="BR589" t="s">
        <v>104</v>
      </c>
      <c r="BS589" t="s">
        <v>11221</v>
      </c>
      <c r="BT589" t="str">
        <f>HYPERLINK("https%3A%2F%2Fwww.webofscience.com%2Fwos%2Fwoscc%2Ffull-record%2FWOS:000344734800006","View Full Record in Web of Science")</f>
        <v>View Full Record in Web of Science</v>
      </c>
    </row>
    <row r="590" spans="1:72" x14ac:dyDescent="0.15">
      <c r="A590" t="s">
        <v>72</v>
      </c>
      <c r="B590" t="s">
        <v>11222</v>
      </c>
      <c r="C590" t="s">
        <v>74</v>
      </c>
      <c r="D590" t="s">
        <v>74</v>
      </c>
      <c r="E590" t="s">
        <v>74</v>
      </c>
      <c r="F590" t="s">
        <v>11223</v>
      </c>
      <c r="G590" t="s">
        <v>74</v>
      </c>
      <c r="H590" t="s">
        <v>74</v>
      </c>
      <c r="I590" t="s">
        <v>11224</v>
      </c>
      <c r="J590" t="s">
        <v>11225</v>
      </c>
      <c r="K590" t="s">
        <v>74</v>
      </c>
      <c r="L590" t="s">
        <v>74</v>
      </c>
      <c r="M590" t="s">
        <v>78</v>
      </c>
      <c r="N590" t="s">
        <v>79</v>
      </c>
      <c r="O590" t="s">
        <v>74</v>
      </c>
      <c r="P590" t="s">
        <v>74</v>
      </c>
      <c r="Q590" t="s">
        <v>74</v>
      </c>
      <c r="R590" t="s">
        <v>74</v>
      </c>
      <c r="S590" t="s">
        <v>74</v>
      </c>
      <c r="T590" t="s">
        <v>11226</v>
      </c>
      <c r="U590" t="s">
        <v>11227</v>
      </c>
      <c r="V590" t="s">
        <v>11228</v>
      </c>
      <c r="W590" t="s">
        <v>11229</v>
      </c>
      <c r="X590" t="s">
        <v>11230</v>
      </c>
      <c r="Y590" t="s">
        <v>11231</v>
      </c>
      <c r="Z590" t="s">
        <v>8761</v>
      </c>
      <c r="AA590" t="s">
        <v>11073</v>
      </c>
      <c r="AB590" t="s">
        <v>11232</v>
      </c>
      <c r="AC590" t="s">
        <v>11233</v>
      </c>
      <c r="AD590" t="s">
        <v>11234</v>
      </c>
      <c r="AE590" t="s">
        <v>11235</v>
      </c>
      <c r="AF590" t="s">
        <v>74</v>
      </c>
      <c r="AG590">
        <v>47</v>
      </c>
      <c r="AH590">
        <v>21</v>
      </c>
      <c r="AI590">
        <v>23</v>
      </c>
      <c r="AJ590">
        <v>0</v>
      </c>
      <c r="AK590">
        <v>14</v>
      </c>
      <c r="AL590" t="s">
        <v>11236</v>
      </c>
      <c r="AM590" t="s">
        <v>11237</v>
      </c>
      <c r="AN590" t="s">
        <v>11238</v>
      </c>
      <c r="AO590" t="s">
        <v>11239</v>
      </c>
      <c r="AP590" t="s">
        <v>11240</v>
      </c>
      <c r="AQ590" t="s">
        <v>74</v>
      </c>
      <c r="AR590" t="s">
        <v>11241</v>
      </c>
      <c r="AS590" t="s">
        <v>11242</v>
      </c>
      <c r="AT590" t="s">
        <v>74</v>
      </c>
      <c r="AU590">
        <v>2014</v>
      </c>
      <c r="AV590">
        <v>147</v>
      </c>
      <c r="AW590">
        <v>3</v>
      </c>
      <c r="AX590" t="s">
        <v>74</v>
      </c>
      <c r="AY590" t="s">
        <v>74</v>
      </c>
      <c r="AZ590" t="s">
        <v>74</v>
      </c>
      <c r="BA590" t="s">
        <v>74</v>
      </c>
      <c r="BB590">
        <v>374</v>
      </c>
      <c r="BC590">
        <v>391</v>
      </c>
      <c r="BD590" t="s">
        <v>74</v>
      </c>
      <c r="BE590" t="s">
        <v>11243</v>
      </c>
      <c r="BF590" t="str">
        <f>HYPERLINK("http://dx.doi.org/10.5091/plecevo.2014.979","http://dx.doi.org/10.5091/plecevo.2014.979")</f>
        <v>http://dx.doi.org/10.5091/plecevo.2014.979</v>
      </c>
      <c r="BG590" t="s">
        <v>74</v>
      </c>
      <c r="BH590" t="s">
        <v>74</v>
      </c>
      <c r="BI590">
        <v>18</v>
      </c>
      <c r="BJ590" t="s">
        <v>181</v>
      </c>
      <c r="BK590" t="s">
        <v>101</v>
      </c>
      <c r="BL590" t="s">
        <v>181</v>
      </c>
      <c r="BM590" t="s">
        <v>11244</v>
      </c>
      <c r="BN590" t="s">
        <v>74</v>
      </c>
      <c r="BO590" t="s">
        <v>4942</v>
      </c>
      <c r="BP590" t="s">
        <v>74</v>
      </c>
      <c r="BQ590" t="s">
        <v>74</v>
      </c>
      <c r="BR590" t="s">
        <v>104</v>
      </c>
      <c r="BS590" t="s">
        <v>11245</v>
      </c>
      <c r="BT590" t="str">
        <f>HYPERLINK("https%3A%2F%2Fwww.webofscience.com%2Fwos%2Fwoscc%2Ffull-record%2FWOS:000344581500008","View Full Record in Web of Science")</f>
        <v>View Full Record in Web of Science</v>
      </c>
    </row>
    <row r="591" spans="1:72" x14ac:dyDescent="0.15">
      <c r="A591" t="s">
        <v>72</v>
      </c>
      <c r="B591" t="s">
        <v>11246</v>
      </c>
      <c r="C591" t="s">
        <v>74</v>
      </c>
      <c r="D591" t="s">
        <v>74</v>
      </c>
      <c r="E591" t="s">
        <v>74</v>
      </c>
      <c r="F591" t="s">
        <v>11247</v>
      </c>
      <c r="G591" t="s">
        <v>74</v>
      </c>
      <c r="H591" t="s">
        <v>74</v>
      </c>
      <c r="I591" t="s">
        <v>11248</v>
      </c>
      <c r="J591" t="s">
        <v>11225</v>
      </c>
      <c r="K591" t="s">
        <v>74</v>
      </c>
      <c r="L591" t="s">
        <v>74</v>
      </c>
      <c r="M591" t="s">
        <v>78</v>
      </c>
      <c r="N591" t="s">
        <v>79</v>
      </c>
      <c r="O591" t="s">
        <v>74</v>
      </c>
      <c r="P591" t="s">
        <v>74</v>
      </c>
      <c r="Q591" t="s">
        <v>74</v>
      </c>
      <c r="R591" t="s">
        <v>74</v>
      </c>
      <c r="S591" t="s">
        <v>74</v>
      </c>
      <c r="T591" t="s">
        <v>11249</v>
      </c>
      <c r="U591" t="s">
        <v>11250</v>
      </c>
      <c r="V591" t="s">
        <v>11251</v>
      </c>
      <c r="W591" t="s">
        <v>11252</v>
      </c>
      <c r="X591" t="s">
        <v>11253</v>
      </c>
      <c r="Y591" t="s">
        <v>11254</v>
      </c>
      <c r="Z591" t="s">
        <v>11255</v>
      </c>
      <c r="AA591" t="s">
        <v>11256</v>
      </c>
      <c r="AB591" t="s">
        <v>11257</v>
      </c>
      <c r="AC591" t="s">
        <v>11258</v>
      </c>
      <c r="AD591" t="s">
        <v>11259</v>
      </c>
      <c r="AE591" t="s">
        <v>11260</v>
      </c>
      <c r="AF591" t="s">
        <v>74</v>
      </c>
      <c r="AG591">
        <v>140</v>
      </c>
      <c r="AH591">
        <v>17</v>
      </c>
      <c r="AI591">
        <v>20</v>
      </c>
      <c r="AJ591">
        <v>1</v>
      </c>
      <c r="AK591">
        <v>12</v>
      </c>
      <c r="AL591" t="s">
        <v>11236</v>
      </c>
      <c r="AM591" t="s">
        <v>11237</v>
      </c>
      <c r="AN591" t="s">
        <v>11238</v>
      </c>
      <c r="AO591" t="s">
        <v>11239</v>
      </c>
      <c r="AP591" t="s">
        <v>11240</v>
      </c>
      <c r="AQ591" t="s">
        <v>74</v>
      </c>
      <c r="AR591" t="s">
        <v>11241</v>
      </c>
      <c r="AS591" t="s">
        <v>11242</v>
      </c>
      <c r="AT591" t="s">
        <v>74</v>
      </c>
      <c r="AU591">
        <v>2014</v>
      </c>
      <c r="AV591">
        <v>147</v>
      </c>
      <c r="AW591">
        <v>3</v>
      </c>
      <c r="AX591" t="s">
        <v>74</v>
      </c>
      <c r="AY591" t="s">
        <v>74</v>
      </c>
      <c r="AZ591" t="s">
        <v>74</v>
      </c>
      <c r="BA591" t="s">
        <v>74</v>
      </c>
      <c r="BB591">
        <v>439</v>
      </c>
      <c r="BC591">
        <v>454</v>
      </c>
      <c r="BD591" t="s">
        <v>74</v>
      </c>
      <c r="BE591" t="s">
        <v>11261</v>
      </c>
      <c r="BF591" t="str">
        <f>HYPERLINK("http://dx.doi.org/10.5091/plecevo.2014.1058","http://dx.doi.org/10.5091/plecevo.2014.1058")</f>
        <v>http://dx.doi.org/10.5091/plecevo.2014.1058</v>
      </c>
      <c r="BG591" t="s">
        <v>74</v>
      </c>
      <c r="BH591" t="s">
        <v>74</v>
      </c>
      <c r="BI591">
        <v>16</v>
      </c>
      <c r="BJ591" t="s">
        <v>181</v>
      </c>
      <c r="BK591" t="s">
        <v>101</v>
      </c>
      <c r="BL591" t="s">
        <v>181</v>
      </c>
      <c r="BM591" t="s">
        <v>11244</v>
      </c>
      <c r="BN591" t="s">
        <v>74</v>
      </c>
      <c r="BO591" t="s">
        <v>4942</v>
      </c>
      <c r="BP591" t="s">
        <v>74</v>
      </c>
      <c r="BQ591" t="s">
        <v>74</v>
      </c>
      <c r="BR591" t="s">
        <v>104</v>
      </c>
      <c r="BS591" t="s">
        <v>11262</v>
      </c>
      <c r="BT591" t="str">
        <f>HYPERLINK("https%3A%2F%2Fwww.webofscience.com%2Fwos%2Fwoscc%2Ffull-record%2FWOS:000344581500013","View Full Record in Web of Science")</f>
        <v>View Full Record in Web of Science</v>
      </c>
    </row>
    <row r="592" spans="1:72" x14ac:dyDescent="0.15">
      <c r="A592" t="s">
        <v>72</v>
      </c>
      <c r="B592" t="s">
        <v>11263</v>
      </c>
      <c r="C592" t="s">
        <v>74</v>
      </c>
      <c r="D592" t="s">
        <v>74</v>
      </c>
      <c r="E592" t="s">
        <v>74</v>
      </c>
      <c r="F592" t="s">
        <v>11264</v>
      </c>
      <c r="G592" t="s">
        <v>74</v>
      </c>
      <c r="H592" t="s">
        <v>74</v>
      </c>
      <c r="I592" t="s">
        <v>11265</v>
      </c>
      <c r="J592" t="s">
        <v>10866</v>
      </c>
      <c r="K592" t="s">
        <v>74</v>
      </c>
      <c r="L592" t="s">
        <v>74</v>
      </c>
      <c r="M592" t="s">
        <v>78</v>
      </c>
      <c r="N592" t="s">
        <v>79</v>
      </c>
      <c r="O592" t="s">
        <v>74</v>
      </c>
      <c r="P592" t="s">
        <v>74</v>
      </c>
      <c r="Q592" t="s">
        <v>74</v>
      </c>
      <c r="R592" t="s">
        <v>74</v>
      </c>
      <c r="S592" t="s">
        <v>74</v>
      </c>
      <c r="T592" t="s">
        <v>11266</v>
      </c>
      <c r="U592" t="s">
        <v>11267</v>
      </c>
      <c r="V592" t="s">
        <v>11268</v>
      </c>
      <c r="W592" t="s">
        <v>11269</v>
      </c>
      <c r="X592" t="s">
        <v>11270</v>
      </c>
      <c r="Y592" t="s">
        <v>11271</v>
      </c>
      <c r="Z592" t="s">
        <v>11272</v>
      </c>
      <c r="AA592" t="s">
        <v>11273</v>
      </c>
      <c r="AB592" t="s">
        <v>11274</v>
      </c>
      <c r="AC592" t="s">
        <v>11275</v>
      </c>
      <c r="AD592" t="s">
        <v>11275</v>
      </c>
      <c r="AE592" t="s">
        <v>11276</v>
      </c>
      <c r="AF592" t="s">
        <v>74</v>
      </c>
      <c r="AG592">
        <v>13</v>
      </c>
      <c r="AH592">
        <v>11</v>
      </c>
      <c r="AI592">
        <v>11</v>
      </c>
      <c r="AJ592">
        <v>0</v>
      </c>
      <c r="AK592">
        <v>3</v>
      </c>
      <c r="AL592" t="s">
        <v>10875</v>
      </c>
      <c r="AM592" t="s">
        <v>8793</v>
      </c>
      <c r="AN592" t="s">
        <v>10876</v>
      </c>
      <c r="AO592" t="s">
        <v>10877</v>
      </c>
      <c r="AP592" t="s">
        <v>10878</v>
      </c>
      <c r="AQ592" t="s">
        <v>74</v>
      </c>
      <c r="AR592" t="s">
        <v>10866</v>
      </c>
      <c r="AS592" t="s">
        <v>10879</v>
      </c>
      <c r="AT592" t="s">
        <v>74</v>
      </c>
      <c r="AU592">
        <v>2014</v>
      </c>
      <c r="AV592" t="s">
        <v>74</v>
      </c>
      <c r="AW592">
        <v>451</v>
      </c>
      <c r="AX592" t="s">
        <v>74</v>
      </c>
      <c r="AY592" t="s">
        <v>74</v>
      </c>
      <c r="AZ592" t="s">
        <v>74</v>
      </c>
      <c r="BA592" t="s">
        <v>74</v>
      </c>
      <c r="BB592">
        <v>49</v>
      </c>
      <c r="BC592">
        <v>60</v>
      </c>
      <c r="BD592" t="s">
        <v>74</v>
      </c>
      <c r="BE592" t="s">
        <v>11277</v>
      </c>
      <c r="BF592" t="str">
        <f>HYPERLINK("http://dx.doi.org/10.3897/zookeys.451.8373","http://dx.doi.org/10.3897/zookeys.451.8373")</f>
        <v>http://dx.doi.org/10.3897/zookeys.451.8373</v>
      </c>
      <c r="BG592" t="s">
        <v>74</v>
      </c>
      <c r="BH592" t="s">
        <v>74</v>
      </c>
      <c r="BI592">
        <v>12</v>
      </c>
      <c r="BJ592" t="s">
        <v>384</v>
      </c>
      <c r="BK592" t="s">
        <v>101</v>
      </c>
      <c r="BL592" t="s">
        <v>384</v>
      </c>
      <c r="BM592" t="s">
        <v>11278</v>
      </c>
      <c r="BN592">
        <v>25493047</v>
      </c>
      <c r="BO592" t="s">
        <v>2213</v>
      </c>
      <c r="BP592" t="s">
        <v>74</v>
      </c>
      <c r="BQ592" t="s">
        <v>74</v>
      </c>
      <c r="BR592" t="s">
        <v>104</v>
      </c>
      <c r="BS592" t="s">
        <v>11279</v>
      </c>
      <c r="BT592" t="str">
        <f>HYPERLINK("https%3A%2F%2Fwww.webofscience.com%2Fwos%2Fwoscc%2Ffull-record%2FWOS:000344644000003","View Full Record in Web of Science")</f>
        <v>View Full Record in Web of Science</v>
      </c>
    </row>
    <row r="593" spans="1:72" x14ac:dyDescent="0.15">
      <c r="A593" t="s">
        <v>72</v>
      </c>
      <c r="B593" t="s">
        <v>11280</v>
      </c>
      <c r="C593" t="s">
        <v>74</v>
      </c>
      <c r="D593" t="s">
        <v>74</v>
      </c>
      <c r="E593" t="s">
        <v>74</v>
      </c>
      <c r="F593" t="s">
        <v>11281</v>
      </c>
      <c r="G593" t="s">
        <v>74</v>
      </c>
      <c r="H593" t="s">
        <v>74</v>
      </c>
      <c r="I593" t="s">
        <v>11282</v>
      </c>
      <c r="J593" t="s">
        <v>11283</v>
      </c>
      <c r="K593" t="s">
        <v>74</v>
      </c>
      <c r="L593" t="s">
        <v>74</v>
      </c>
      <c r="M593" t="s">
        <v>78</v>
      </c>
      <c r="N593" t="s">
        <v>79</v>
      </c>
      <c r="O593" t="s">
        <v>74</v>
      </c>
      <c r="P593" t="s">
        <v>74</v>
      </c>
      <c r="Q593" t="s">
        <v>74</v>
      </c>
      <c r="R593" t="s">
        <v>74</v>
      </c>
      <c r="S593" t="s">
        <v>74</v>
      </c>
      <c r="T593" t="s">
        <v>74</v>
      </c>
      <c r="U593" t="s">
        <v>11284</v>
      </c>
      <c r="V593" t="s">
        <v>11285</v>
      </c>
      <c r="W593" t="s">
        <v>11286</v>
      </c>
      <c r="X593" t="s">
        <v>11287</v>
      </c>
      <c r="Y593" t="s">
        <v>11288</v>
      </c>
      <c r="Z593" t="s">
        <v>11289</v>
      </c>
      <c r="AA593" t="s">
        <v>11290</v>
      </c>
      <c r="AB593" t="s">
        <v>11291</v>
      </c>
      <c r="AC593" t="s">
        <v>11292</v>
      </c>
      <c r="AD593" t="s">
        <v>11293</v>
      </c>
      <c r="AE593" t="s">
        <v>11294</v>
      </c>
      <c r="AF593" t="s">
        <v>74</v>
      </c>
      <c r="AG593">
        <v>86</v>
      </c>
      <c r="AH593">
        <v>15</v>
      </c>
      <c r="AI593">
        <v>16</v>
      </c>
      <c r="AJ593">
        <v>1</v>
      </c>
      <c r="AK593">
        <v>22</v>
      </c>
      <c r="AL593" t="s">
        <v>1463</v>
      </c>
      <c r="AM593" t="s">
        <v>1464</v>
      </c>
      <c r="AN593" t="s">
        <v>1465</v>
      </c>
      <c r="AO593" t="s">
        <v>11295</v>
      </c>
      <c r="AP593" t="s">
        <v>11296</v>
      </c>
      <c r="AQ593" t="s">
        <v>74</v>
      </c>
      <c r="AR593" t="s">
        <v>11297</v>
      </c>
      <c r="AS593" t="s">
        <v>11298</v>
      </c>
      <c r="AT593" t="s">
        <v>74</v>
      </c>
      <c r="AU593">
        <v>2014</v>
      </c>
      <c r="AV593">
        <v>14</v>
      </c>
      <c r="AW593">
        <v>18</v>
      </c>
      <c r="AX593" t="s">
        <v>74</v>
      </c>
      <c r="AY593" t="s">
        <v>74</v>
      </c>
      <c r="AZ593" t="s">
        <v>74</v>
      </c>
      <c r="BA593" t="s">
        <v>74</v>
      </c>
      <c r="BB593">
        <v>10211</v>
      </c>
      <c r="BC593">
        <v>10230</v>
      </c>
      <c r="BD593" t="s">
        <v>74</v>
      </c>
      <c r="BE593" t="s">
        <v>11299</v>
      </c>
      <c r="BF593" t="str">
        <f>HYPERLINK("http://dx.doi.org/10.5194/acp-14-10211-2014","http://dx.doi.org/10.5194/acp-14-10211-2014")</f>
        <v>http://dx.doi.org/10.5194/acp-14-10211-2014</v>
      </c>
      <c r="BG593" t="s">
        <v>74</v>
      </c>
      <c r="BH593" t="s">
        <v>74</v>
      </c>
      <c r="BI593">
        <v>20</v>
      </c>
      <c r="BJ593" t="s">
        <v>3817</v>
      </c>
      <c r="BK593" t="s">
        <v>101</v>
      </c>
      <c r="BL593" t="s">
        <v>1081</v>
      </c>
      <c r="BM593" t="s">
        <v>11300</v>
      </c>
      <c r="BN593" t="s">
        <v>74</v>
      </c>
      <c r="BO593" t="s">
        <v>9228</v>
      </c>
      <c r="BP593" t="s">
        <v>74</v>
      </c>
      <c r="BQ593" t="s">
        <v>74</v>
      </c>
      <c r="BR593" t="s">
        <v>104</v>
      </c>
      <c r="BS593" t="s">
        <v>11301</v>
      </c>
      <c r="BT593" t="str">
        <f>HYPERLINK("https%3A%2F%2Fwww.webofscience.com%2Fwos%2Fwoscc%2Ffull-record%2FWOS:000344165600004","View Full Record in Web of Science")</f>
        <v>View Full Record in Web of Science</v>
      </c>
    </row>
    <row r="594" spans="1:72" x14ac:dyDescent="0.15">
      <c r="A594" t="s">
        <v>72</v>
      </c>
      <c r="B594" t="s">
        <v>11302</v>
      </c>
      <c r="C594" t="s">
        <v>74</v>
      </c>
      <c r="D594" t="s">
        <v>74</v>
      </c>
      <c r="E594" t="s">
        <v>74</v>
      </c>
      <c r="F594" t="s">
        <v>11303</v>
      </c>
      <c r="G594" t="s">
        <v>74</v>
      </c>
      <c r="H594" t="s">
        <v>74</v>
      </c>
      <c r="I594" t="s">
        <v>11304</v>
      </c>
      <c r="J594" t="s">
        <v>11305</v>
      </c>
      <c r="K594" t="s">
        <v>74</v>
      </c>
      <c r="L594" t="s">
        <v>74</v>
      </c>
      <c r="M594" t="s">
        <v>78</v>
      </c>
      <c r="N594" t="s">
        <v>79</v>
      </c>
      <c r="O594" t="s">
        <v>74</v>
      </c>
      <c r="P594" t="s">
        <v>74</v>
      </c>
      <c r="Q594" t="s">
        <v>74</v>
      </c>
      <c r="R594" t="s">
        <v>74</v>
      </c>
      <c r="S594" t="s">
        <v>74</v>
      </c>
      <c r="T594" t="s">
        <v>74</v>
      </c>
      <c r="U594" t="s">
        <v>11306</v>
      </c>
      <c r="V594" t="s">
        <v>11307</v>
      </c>
      <c r="W594" t="s">
        <v>11308</v>
      </c>
      <c r="X594" t="s">
        <v>11309</v>
      </c>
      <c r="Y594" t="s">
        <v>11310</v>
      </c>
      <c r="Z594" t="s">
        <v>11311</v>
      </c>
      <c r="AA594" t="s">
        <v>11312</v>
      </c>
      <c r="AB594" t="s">
        <v>11313</v>
      </c>
      <c r="AC594" t="s">
        <v>11314</v>
      </c>
      <c r="AD594" t="s">
        <v>8226</v>
      </c>
      <c r="AE594" t="s">
        <v>11315</v>
      </c>
      <c r="AF594" t="s">
        <v>74</v>
      </c>
      <c r="AG594">
        <v>52</v>
      </c>
      <c r="AH594">
        <v>20</v>
      </c>
      <c r="AI594">
        <v>20</v>
      </c>
      <c r="AJ594">
        <v>1</v>
      </c>
      <c r="AK594">
        <v>23</v>
      </c>
      <c r="AL594" t="s">
        <v>1463</v>
      </c>
      <c r="AM594" t="s">
        <v>1464</v>
      </c>
      <c r="AN594" t="s">
        <v>1465</v>
      </c>
      <c r="AO594" t="s">
        <v>11316</v>
      </c>
      <c r="AP594" t="s">
        <v>11317</v>
      </c>
      <c r="AQ594" t="s">
        <v>74</v>
      </c>
      <c r="AR594" t="s">
        <v>11305</v>
      </c>
      <c r="AS594" t="s">
        <v>11318</v>
      </c>
      <c r="AT594" t="s">
        <v>74</v>
      </c>
      <c r="AU594">
        <v>2014</v>
      </c>
      <c r="AV594">
        <v>11</v>
      </c>
      <c r="AW594">
        <v>20</v>
      </c>
      <c r="AX594" t="s">
        <v>74</v>
      </c>
      <c r="AY594" t="s">
        <v>74</v>
      </c>
      <c r="AZ594" t="s">
        <v>74</v>
      </c>
      <c r="BA594" t="s">
        <v>74</v>
      </c>
      <c r="BB594">
        <v>5795</v>
      </c>
      <c r="BC594">
        <v>5808</v>
      </c>
      <c r="BD594" t="s">
        <v>74</v>
      </c>
      <c r="BE594" t="s">
        <v>11319</v>
      </c>
      <c r="BF594" t="str">
        <f>HYPERLINK("http://dx.doi.org/10.5194/bg-11-5795-2014","http://dx.doi.org/10.5194/bg-11-5795-2014")</f>
        <v>http://dx.doi.org/10.5194/bg-11-5795-2014</v>
      </c>
      <c r="BG594" t="s">
        <v>74</v>
      </c>
      <c r="BH594" t="s">
        <v>74</v>
      </c>
      <c r="BI594">
        <v>14</v>
      </c>
      <c r="BJ594" t="s">
        <v>2923</v>
      </c>
      <c r="BK594" t="s">
        <v>101</v>
      </c>
      <c r="BL594" t="s">
        <v>357</v>
      </c>
      <c r="BM594" t="s">
        <v>11320</v>
      </c>
      <c r="BN594" t="s">
        <v>74</v>
      </c>
      <c r="BO594" t="s">
        <v>11321</v>
      </c>
      <c r="BP594" t="s">
        <v>74</v>
      </c>
      <c r="BQ594" t="s">
        <v>74</v>
      </c>
      <c r="BR594" t="s">
        <v>104</v>
      </c>
      <c r="BS594" t="s">
        <v>11322</v>
      </c>
      <c r="BT594" t="str">
        <f>HYPERLINK("https%3A%2F%2Fwww.webofscience.com%2Fwos%2Fwoscc%2Ffull-record%2FWOS:000344649300009","View Full Record in Web of Science")</f>
        <v>View Full Record in Web of Science</v>
      </c>
    </row>
    <row r="595" spans="1:72" x14ac:dyDescent="0.15">
      <c r="A595" t="s">
        <v>72</v>
      </c>
      <c r="B595" t="s">
        <v>11323</v>
      </c>
      <c r="C595" t="s">
        <v>74</v>
      </c>
      <c r="D595" t="s">
        <v>74</v>
      </c>
      <c r="E595" t="s">
        <v>74</v>
      </c>
      <c r="F595" t="s">
        <v>11324</v>
      </c>
      <c r="G595" t="s">
        <v>74</v>
      </c>
      <c r="H595" t="s">
        <v>74</v>
      </c>
      <c r="I595" t="s">
        <v>11325</v>
      </c>
      <c r="J595" t="s">
        <v>11305</v>
      </c>
      <c r="K595" t="s">
        <v>74</v>
      </c>
      <c r="L595" t="s">
        <v>74</v>
      </c>
      <c r="M595" t="s">
        <v>78</v>
      </c>
      <c r="N595" t="s">
        <v>79</v>
      </c>
      <c r="O595" t="s">
        <v>74</v>
      </c>
      <c r="P595" t="s">
        <v>74</v>
      </c>
      <c r="Q595" t="s">
        <v>74</v>
      </c>
      <c r="R595" t="s">
        <v>74</v>
      </c>
      <c r="S595" t="s">
        <v>74</v>
      </c>
      <c r="T595" t="s">
        <v>74</v>
      </c>
      <c r="U595" t="s">
        <v>11326</v>
      </c>
      <c r="V595" t="s">
        <v>11327</v>
      </c>
      <c r="W595" t="s">
        <v>11328</v>
      </c>
      <c r="X595" t="s">
        <v>11329</v>
      </c>
      <c r="Y595" t="s">
        <v>11330</v>
      </c>
      <c r="Z595" t="s">
        <v>11331</v>
      </c>
      <c r="AA595" t="s">
        <v>11332</v>
      </c>
      <c r="AB595" t="s">
        <v>11333</v>
      </c>
      <c r="AC595" t="s">
        <v>11334</v>
      </c>
      <c r="AD595" t="s">
        <v>11335</v>
      </c>
      <c r="AE595" t="s">
        <v>11336</v>
      </c>
      <c r="AF595" t="s">
        <v>74</v>
      </c>
      <c r="AG595">
        <v>76</v>
      </c>
      <c r="AH595">
        <v>31</v>
      </c>
      <c r="AI595">
        <v>31</v>
      </c>
      <c r="AJ595">
        <v>0</v>
      </c>
      <c r="AK595">
        <v>25</v>
      </c>
      <c r="AL595" t="s">
        <v>1463</v>
      </c>
      <c r="AM595" t="s">
        <v>1464</v>
      </c>
      <c r="AN595" t="s">
        <v>1465</v>
      </c>
      <c r="AO595" t="s">
        <v>11316</v>
      </c>
      <c r="AP595" t="s">
        <v>11317</v>
      </c>
      <c r="AQ595" t="s">
        <v>74</v>
      </c>
      <c r="AR595" t="s">
        <v>11305</v>
      </c>
      <c r="AS595" t="s">
        <v>11318</v>
      </c>
      <c r="AT595" t="s">
        <v>74</v>
      </c>
      <c r="AU595">
        <v>2014</v>
      </c>
      <c r="AV595">
        <v>11</v>
      </c>
      <c r="AW595">
        <v>20</v>
      </c>
      <c r="AX595" t="s">
        <v>74</v>
      </c>
      <c r="AY595" t="s">
        <v>74</v>
      </c>
      <c r="AZ595" t="s">
        <v>74</v>
      </c>
      <c r="BA595" t="s">
        <v>74</v>
      </c>
      <c r="BB595">
        <v>5827</v>
      </c>
      <c r="BC595">
        <v>5846</v>
      </c>
      <c r="BD595" t="s">
        <v>74</v>
      </c>
      <c r="BE595" t="s">
        <v>11337</v>
      </c>
      <c r="BF595" t="str">
        <f>HYPERLINK("http://dx.doi.org/10.5194/bg-11-5827-2014","http://dx.doi.org/10.5194/bg-11-5827-2014")</f>
        <v>http://dx.doi.org/10.5194/bg-11-5827-2014</v>
      </c>
      <c r="BG595" t="s">
        <v>74</v>
      </c>
      <c r="BH595" t="s">
        <v>74</v>
      </c>
      <c r="BI595">
        <v>20</v>
      </c>
      <c r="BJ595" t="s">
        <v>2923</v>
      </c>
      <c r="BK595" t="s">
        <v>101</v>
      </c>
      <c r="BL595" t="s">
        <v>357</v>
      </c>
      <c r="BM595" t="s">
        <v>11320</v>
      </c>
      <c r="BN595" t="s">
        <v>74</v>
      </c>
      <c r="BO595" t="s">
        <v>1933</v>
      </c>
      <c r="BP595" t="s">
        <v>74</v>
      </c>
      <c r="BQ595" t="s">
        <v>74</v>
      </c>
      <c r="BR595" t="s">
        <v>104</v>
      </c>
      <c r="BS595" t="s">
        <v>11338</v>
      </c>
      <c r="BT595" t="str">
        <f>HYPERLINK("https%3A%2F%2Fwww.webofscience.com%2Fwos%2Fwoscc%2Ffull-record%2FWOS:000344649300011","View Full Record in Web of Science")</f>
        <v>View Full Record in Web of Science</v>
      </c>
    </row>
    <row r="596" spans="1:72" x14ac:dyDescent="0.15">
      <c r="A596" t="s">
        <v>9250</v>
      </c>
      <c r="B596" t="s">
        <v>11339</v>
      </c>
      <c r="C596" t="s">
        <v>74</v>
      </c>
      <c r="D596" t="s">
        <v>11340</v>
      </c>
      <c r="E596" t="s">
        <v>74</v>
      </c>
      <c r="F596" t="s">
        <v>11341</v>
      </c>
      <c r="G596" t="s">
        <v>74</v>
      </c>
      <c r="H596" t="s">
        <v>74</v>
      </c>
      <c r="I596" t="s">
        <v>11342</v>
      </c>
      <c r="J596" t="s">
        <v>11343</v>
      </c>
      <c r="K596" t="s">
        <v>11344</v>
      </c>
      <c r="L596" t="s">
        <v>74</v>
      </c>
      <c r="M596" t="s">
        <v>78</v>
      </c>
      <c r="N596" t="s">
        <v>8809</v>
      </c>
      <c r="O596" t="s">
        <v>74</v>
      </c>
      <c r="P596" t="s">
        <v>74</v>
      </c>
      <c r="Q596" t="s">
        <v>74</v>
      </c>
      <c r="R596" t="s">
        <v>74</v>
      </c>
      <c r="S596" t="s">
        <v>74</v>
      </c>
      <c r="T596" t="s">
        <v>74</v>
      </c>
      <c r="U596" t="s">
        <v>11345</v>
      </c>
      <c r="V596" t="s">
        <v>11346</v>
      </c>
      <c r="W596" t="s">
        <v>11347</v>
      </c>
      <c r="X596" t="s">
        <v>11348</v>
      </c>
      <c r="Y596" t="s">
        <v>11349</v>
      </c>
      <c r="Z596" t="s">
        <v>11350</v>
      </c>
      <c r="AA596" t="s">
        <v>11351</v>
      </c>
      <c r="AB596" t="s">
        <v>11352</v>
      </c>
      <c r="AC596" t="s">
        <v>74</v>
      </c>
      <c r="AD596" t="s">
        <v>74</v>
      </c>
      <c r="AE596" t="s">
        <v>74</v>
      </c>
      <c r="AF596" t="s">
        <v>74</v>
      </c>
      <c r="AG596">
        <v>77</v>
      </c>
      <c r="AH596">
        <v>3</v>
      </c>
      <c r="AI596">
        <v>5</v>
      </c>
      <c r="AJ596">
        <v>0</v>
      </c>
      <c r="AK596">
        <v>3</v>
      </c>
      <c r="AL596" t="s">
        <v>11353</v>
      </c>
      <c r="AM596" t="s">
        <v>11354</v>
      </c>
      <c r="AN596" t="s">
        <v>11355</v>
      </c>
      <c r="AO596" t="s">
        <v>11356</v>
      </c>
      <c r="AP596" t="s">
        <v>74</v>
      </c>
      <c r="AQ596" t="s">
        <v>11357</v>
      </c>
      <c r="AR596" t="s">
        <v>11358</v>
      </c>
      <c r="AS596" t="s">
        <v>74</v>
      </c>
      <c r="AT596" t="s">
        <v>74</v>
      </c>
      <c r="AU596">
        <v>2014</v>
      </c>
      <c r="AV596">
        <v>41</v>
      </c>
      <c r="AW596" t="s">
        <v>74</v>
      </c>
      <c r="AX596" t="s">
        <v>74</v>
      </c>
      <c r="AY596" t="s">
        <v>74</v>
      </c>
      <c r="AZ596" t="s">
        <v>74</v>
      </c>
      <c r="BA596" t="s">
        <v>74</v>
      </c>
      <c r="BB596">
        <v>241</v>
      </c>
      <c r="BC596">
        <v>254</v>
      </c>
      <c r="BD596" t="s">
        <v>74</v>
      </c>
      <c r="BE596" t="s">
        <v>11359</v>
      </c>
      <c r="BF596" t="str">
        <f>HYPERLINK("http://dx.doi.org/10.1144/M41.18","http://dx.doi.org/10.1144/M41.18")</f>
        <v>http://dx.doi.org/10.1144/M41.18</v>
      </c>
      <c r="BG596" t="s">
        <v>74</v>
      </c>
      <c r="BH596" t="s">
        <v>74</v>
      </c>
      <c r="BI596">
        <v>14</v>
      </c>
      <c r="BJ596" t="s">
        <v>8650</v>
      </c>
      <c r="BK596" t="s">
        <v>8850</v>
      </c>
      <c r="BL596" t="s">
        <v>597</v>
      </c>
      <c r="BM596" t="s">
        <v>11360</v>
      </c>
      <c r="BN596" t="s">
        <v>74</v>
      </c>
      <c r="BO596" t="s">
        <v>74</v>
      </c>
      <c r="BP596" t="s">
        <v>74</v>
      </c>
      <c r="BQ596" t="s">
        <v>74</v>
      </c>
      <c r="BR596" t="s">
        <v>104</v>
      </c>
      <c r="BS596" t="s">
        <v>11361</v>
      </c>
      <c r="BT596" t="str">
        <f>HYPERLINK("https%3A%2F%2Fwww.webofscience.com%2Fwos%2Fwoscc%2Ffull-record%2FWOS:000343917800018","View Full Record in Web of Science")</f>
        <v>View Full Record in Web of Science</v>
      </c>
    </row>
    <row r="597" spans="1:72" x14ac:dyDescent="0.15">
      <c r="A597" t="s">
        <v>72</v>
      </c>
      <c r="B597" t="s">
        <v>11362</v>
      </c>
      <c r="C597" t="s">
        <v>74</v>
      </c>
      <c r="D597" t="s">
        <v>74</v>
      </c>
      <c r="E597" t="s">
        <v>74</v>
      </c>
      <c r="F597" t="s">
        <v>11363</v>
      </c>
      <c r="G597" t="s">
        <v>74</v>
      </c>
      <c r="H597" t="s">
        <v>74</v>
      </c>
      <c r="I597" t="s">
        <v>11364</v>
      </c>
      <c r="J597" t="s">
        <v>11365</v>
      </c>
      <c r="K597" t="s">
        <v>74</v>
      </c>
      <c r="L597" t="s">
        <v>74</v>
      </c>
      <c r="M597" t="s">
        <v>78</v>
      </c>
      <c r="N597" t="s">
        <v>933</v>
      </c>
      <c r="O597" t="s">
        <v>74</v>
      </c>
      <c r="P597" t="s">
        <v>74</v>
      </c>
      <c r="Q597" t="s">
        <v>74</v>
      </c>
      <c r="R597" t="s">
        <v>74</v>
      </c>
      <c r="S597" t="s">
        <v>74</v>
      </c>
      <c r="T597" t="s">
        <v>74</v>
      </c>
      <c r="U597" t="s">
        <v>11366</v>
      </c>
      <c r="V597" t="s">
        <v>11367</v>
      </c>
      <c r="W597" t="s">
        <v>11368</v>
      </c>
      <c r="X597" t="s">
        <v>74</v>
      </c>
      <c r="Y597" t="s">
        <v>11369</v>
      </c>
      <c r="Z597" t="s">
        <v>11370</v>
      </c>
      <c r="AA597" t="s">
        <v>74</v>
      </c>
      <c r="AB597" t="s">
        <v>11371</v>
      </c>
      <c r="AC597" t="s">
        <v>11372</v>
      </c>
      <c r="AD597" t="s">
        <v>11373</v>
      </c>
      <c r="AE597" t="s">
        <v>11374</v>
      </c>
      <c r="AF597" t="s">
        <v>74</v>
      </c>
      <c r="AG597">
        <v>296</v>
      </c>
      <c r="AH597">
        <v>49</v>
      </c>
      <c r="AI597">
        <v>57</v>
      </c>
      <c r="AJ597">
        <v>5</v>
      </c>
      <c r="AK597">
        <v>120</v>
      </c>
      <c r="AL597" t="s">
        <v>703</v>
      </c>
      <c r="AM597" t="s">
        <v>704</v>
      </c>
      <c r="AN597" t="s">
        <v>705</v>
      </c>
      <c r="AO597" t="s">
        <v>11375</v>
      </c>
      <c r="AP597" t="s">
        <v>11376</v>
      </c>
      <c r="AQ597" t="s">
        <v>74</v>
      </c>
      <c r="AR597" t="s">
        <v>11377</v>
      </c>
      <c r="AS597" t="s">
        <v>11378</v>
      </c>
      <c r="AT597" t="s">
        <v>74</v>
      </c>
      <c r="AU597">
        <v>2014</v>
      </c>
      <c r="AV597">
        <v>13</v>
      </c>
      <c r="AW597">
        <v>10</v>
      </c>
      <c r="AX597" t="s">
        <v>74</v>
      </c>
      <c r="AY597" t="s">
        <v>74</v>
      </c>
      <c r="AZ597" t="s">
        <v>74</v>
      </c>
      <c r="BA597" t="s">
        <v>74</v>
      </c>
      <c r="BB597">
        <v>1370</v>
      </c>
      <c r="BC597">
        <v>1392</v>
      </c>
      <c r="BD597" t="s">
        <v>74</v>
      </c>
      <c r="BE597" t="s">
        <v>11379</v>
      </c>
      <c r="BF597" t="str">
        <f>HYPERLINK("http://dx.doi.org/10.1039/c3pp50418b","http://dx.doi.org/10.1039/c3pp50418b")</f>
        <v>http://dx.doi.org/10.1039/c3pp50418b</v>
      </c>
      <c r="BG597" t="s">
        <v>74</v>
      </c>
      <c r="BH597" t="s">
        <v>74</v>
      </c>
      <c r="BI597">
        <v>23</v>
      </c>
      <c r="BJ597" t="s">
        <v>11380</v>
      </c>
      <c r="BK597" t="s">
        <v>101</v>
      </c>
      <c r="BL597" t="s">
        <v>11381</v>
      </c>
      <c r="BM597" t="s">
        <v>11382</v>
      </c>
      <c r="BN597">
        <v>25191675</v>
      </c>
      <c r="BO597" t="s">
        <v>1607</v>
      </c>
      <c r="BP597" t="s">
        <v>74</v>
      </c>
      <c r="BQ597" t="s">
        <v>74</v>
      </c>
      <c r="BR597" t="s">
        <v>104</v>
      </c>
      <c r="BS597" t="s">
        <v>11383</v>
      </c>
      <c r="BT597" t="str">
        <f>HYPERLINK("https%3A%2F%2Fwww.webofscience.com%2Fwos%2Fwoscc%2Ffull-record%2FWOS:000343991200001","View Full Record in Web of Science")</f>
        <v>View Full Record in Web of Science</v>
      </c>
    </row>
    <row r="598" spans="1:72" x14ac:dyDescent="0.15">
      <c r="A598" t="s">
        <v>72</v>
      </c>
      <c r="B598" t="s">
        <v>11384</v>
      </c>
      <c r="C598" t="s">
        <v>74</v>
      </c>
      <c r="D598" t="s">
        <v>74</v>
      </c>
      <c r="E598" t="s">
        <v>74</v>
      </c>
      <c r="F598" t="s">
        <v>11385</v>
      </c>
      <c r="G598" t="s">
        <v>74</v>
      </c>
      <c r="H598" t="s">
        <v>74</v>
      </c>
      <c r="I598" t="s">
        <v>11386</v>
      </c>
      <c r="J598" t="s">
        <v>10582</v>
      </c>
      <c r="K598" t="s">
        <v>74</v>
      </c>
      <c r="L598" t="s">
        <v>74</v>
      </c>
      <c r="M598" t="s">
        <v>78</v>
      </c>
      <c r="N598" t="s">
        <v>79</v>
      </c>
      <c r="O598" t="s">
        <v>74</v>
      </c>
      <c r="P598" t="s">
        <v>74</v>
      </c>
      <c r="Q598" t="s">
        <v>74</v>
      </c>
      <c r="R598" t="s">
        <v>74</v>
      </c>
      <c r="S598" t="s">
        <v>74</v>
      </c>
      <c r="T598" t="s">
        <v>11387</v>
      </c>
      <c r="U598" t="s">
        <v>11388</v>
      </c>
      <c r="V598" t="s">
        <v>11389</v>
      </c>
      <c r="W598" t="s">
        <v>11390</v>
      </c>
      <c r="X598" t="s">
        <v>11391</v>
      </c>
      <c r="Y598" t="s">
        <v>11392</v>
      </c>
      <c r="Z598" t="s">
        <v>11393</v>
      </c>
      <c r="AA598" t="s">
        <v>11394</v>
      </c>
      <c r="AB598" t="s">
        <v>11395</v>
      </c>
      <c r="AC598" t="s">
        <v>11396</v>
      </c>
      <c r="AD598" t="s">
        <v>11396</v>
      </c>
      <c r="AE598" t="s">
        <v>11397</v>
      </c>
      <c r="AF598" t="s">
        <v>74</v>
      </c>
      <c r="AG598">
        <v>74</v>
      </c>
      <c r="AH598">
        <v>20</v>
      </c>
      <c r="AI598">
        <v>22</v>
      </c>
      <c r="AJ598">
        <v>0</v>
      </c>
      <c r="AK598">
        <v>29</v>
      </c>
      <c r="AL598" t="s">
        <v>5746</v>
      </c>
      <c r="AM598" t="s">
        <v>5747</v>
      </c>
      <c r="AN598" t="s">
        <v>5748</v>
      </c>
      <c r="AO598" t="s">
        <v>10595</v>
      </c>
      <c r="AP598" t="s">
        <v>10596</v>
      </c>
      <c r="AQ598" t="s">
        <v>74</v>
      </c>
      <c r="AR598" t="s">
        <v>10597</v>
      </c>
      <c r="AS598" t="s">
        <v>10598</v>
      </c>
      <c r="AT598" t="s">
        <v>74</v>
      </c>
      <c r="AU598">
        <v>2014</v>
      </c>
      <c r="AV598">
        <v>33</v>
      </c>
      <c r="AW598" t="s">
        <v>74</v>
      </c>
      <c r="AX598" t="s">
        <v>74</v>
      </c>
      <c r="AY598" t="s">
        <v>74</v>
      </c>
      <c r="AZ598" t="s">
        <v>74</v>
      </c>
      <c r="BA598" t="s">
        <v>74</v>
      </c>
      <c r="BB598" t="s">
        <v>74</v>
      </c>
      <c r="BC598" t="s">
        <v>74</v>
      </c>
      <c r="BD598">
        <v>20403</v>
      </c>
      <c r="BE598" t="s">
        <v>11398</v>
      </c>
      <c r="BF598" t="str">
        <f>HYPERLINK("http://dx.doi.org/10.3402/polar.v33.20403","http://dx.doi.org/10.3402/polar.v33.20403")</f>
        <v>http://dx.doi.org/10.3402/polar.v33.20403</v>
      </c>
      <c r="BG598" t="s">
        <v>74</v>
      </c>
      <c r="BH598" t="s">
        <v>74</v>
      </c>
      <c r="BI598">
        <v>15</v>
      </c>
      <c r="BJ598" t="s">
        <v>10600</v>
      </c>
      <c r="BK598" t="s">
        <v>101</v>
      </c>
      <c r="BL598" t="s">
        <v>10601</v>
      </c>
      <c r="BM598" t="s">
        <v>11399</v>
      </c>
      <c r="BN598" t="s">
        <v>74</v>
      </c>
      <c r="BO598" t="s">
        <v>4013</v>
      </c>
      <c r="BP598" t="s">
        <v>74</v>
      </c>
      <c r="BQ598" t="s">
        <v>74</v>
      </c>
      <c r="BR598" t="s">
        <v>104</v>
      </c>
      <c r="BS598" t="s">
        <v>11400</v>
      </c>
      <c r="BT598" t="str">
        <f>HYPERLINK("https%3A%2F%2Fwww.webofscience.com%2Fwos%2Fwoscc%2Ffull-record%2FWOS:000344049800001","View Full Record in Web of Science")</f>
        <v>View Full Record in Web of Science</v>
      </c>
    </row>
    <row r="599" spans="1:72" x14ac:dyDescent="0.15">
      <c r="A599" t="s">
        <v>72</v>
      </c>
      <c r="B599" t="s">
        <v>11401</v>
      </c>
      <c r="C599" t="s">
        <v>74</v>
      </c>
      <c r="D599" t="s">
        <v>74</v>
      </c>
      <c r="E599" t="s">
        <v>74</v>
      </c>
      <c r="F599" t="s">
        <v>11402</v>
      </c>
      <c r="G599" t="s">
        <v>74</v>
      </c>
      <c r="H599" t="s">
        <v>74</v>
      </c>
      <c r="I599" t="s">
        <v>11403</v>
      </c>
      <c r="J599" t="s">
        <v>10582</v>
      </c>
      <c r="K599" t="s">
        <v>74</v>
      </c>
      <c r="L599" t="s">
        <v>74</v>
      </c>
      <c r="M599" t="s">
        <v>78</v>
      </c>
      <c r="N599" t="s">
        <v>79</v>
      </c>
      <c r="O599" t="s">
        <v>74</v>
      </c>
      <c r="P599" t="s">
        <v>74</v>
      </c>
      <c r="Q599" t="s">
        <v>74</v>
      </c>
      <c r="R599" t="s">
        <v>74</v>
      </c>
      <c r="S599" t="s">
        <v>74</v>
      </c>
      <c r="T599" t="s">
        <v>11404</v>
      </c>
      <c r="U599" t="s">
        <v>11405</v>
      </c>
      <c r="V599" t="s">
        <v>11406</v>
      </c>
      <c r="W599" t="s">
        <v>11407</v>
      </c>
      <c r="X599" t="s">
        <v>11408</v>
      </c>
      <c r="Y599" t="s">
        <v>11409</v>
      </c>
      <c r="Z599" t="s">
        <v>11410</v>
      </c>
      <c r="AA599" t="s">
        <v>11411</v>
      </c>
      <c r="AB599" t="s">
        <v>11412</v>
      </c>
      <c r="AC599" t="s">
        <v>11413</v>
      </c>
      <c r="AD599" t="s">
        <v>11414</v>
      </c>
      <c r="AE599" t="s">
        <v>11415</v>
      </c>
      <c r="AF599" t="s">
        <v>74</v>
      </c>
      <c r="AG599">
        <v>24</v>
      </c>
      <c r="AH599">
        <v>17</v>
      </c>
      <c r="AI599">
        <v>21</v>
      </c>
      <c r="AJ599">
        <v>0</v>
      </c>
      <c r="AK599">
        <v>16</v>
      </c>
      <c r="AL599" t="s">
        <v>11416</v>
      </c>
      <c r="AM599" t="s">
        <v>11417</v>
      </c>
      <c r="AN599" t="s">
        <v>11418</v>
      </c>
      <c r="AO599" t="s">
        <v>10595</v>
      </c>
      <c r="AP599" t="s">
        <v>10596</v>
      </c>
      <c r="AQ599" t="s">
        <v>74</v>
      </c>
      <c r="AR599" t="s">
        <v>10597</v>
      </c>
      <c r="AS599" t="s">
        <v>10598</v>
      </c>
      <c r="AT599" t="s">
        <v>74</v>
      </c>
      <c r="AU599">
        <v>2014</v>
      </c>
      <c r="AV599">
        <v>33</v>
      </c>
      <c r="AW599" t="s">
        <v>74</v>
      </c>
      <c r="AX599" t="s">
        <v>74</v>
      </c>
      <c r="AY599" t="s">
        <v>74</v>
      </c>
      <c r="AZ599" t="s">
        <v>74</v>
      </c>
      <c r="BA599" t="s">
        <v>74</v>
      </c>
      <c r="BB599" t="s">
        <v>74</v>
      </c>
      <c r="BC599" t="s">
        <v>74</v>
      </c>
      <c r="BD599">
        <v>21636</v>
      </c>
      <c r="BE599" t="s">
        <v>11419</v>
      </c>
      <c r="BF599" t="str">
        <f>HYPERLINK("http://dx.doi.org/10.3402/polar.v33.21636","http://dx.doi.org/10.3402/polar.v33.21636")</f>
        <v>http://dx.doi.org/10.3402/polar.v33.21636</v>
      </c>
      <c r="BG599" t="s">
        <v>74</v>
      </c>
      <c r="BH599" t="s">
        <v>74</v>
      </c>
      <c r="BI599">
        <v>5</v>
      </c>
      <c r="BJ599" t="s">
        <v>10600</v>
      </c>
      <c r="BK599" t="s">
        <v>101</v>
      </c>
      <c r="BL599" t="s">
        <v>10601</v>
      </c>
      <c r="BM599" t="s">
        <v>11420</v>
      </c>
      <c r="BN599" t="s">
        <v>74</v>
      </c>
      <c r="BO599" t="s">
        <v>4013</v>
      </c>
      <c r="BP599" t="s">
        <v>74</v>
      </c>
      <c r="BQ599" t="s">
        <v>74</v>
      </c>
      <c r="BR599" t="s">
        <v>104</v>
      </c>
      <c r="BS599" t="s">
        <v>11421</v>
      </c>
      <c r="BT599" t="str">
        <f>HYPERLINK("https%3A%2F%2Fwww.webofscience.com%2Fwos%2Fwoscc%2Ffull-record%2FWOS:000344480800001","View Full Record in Web of Science")</f>
        <v>View Full Record in Web of Science</v>
      </c>
    </row>
    <row r="600" spans="1:72" x14ac:dyDescent="0.15">
      <c r="A600" t="s">
        <v>72</v>
      </c>
      <c r="B600" t="s">
        <v>11422</v>
      </c>
      <c r="C600" t="s">
        <v>74</v>
      </c>
      <c r="D600" t="s">
        <v>74</v>
      </c>
      <c r="E600" t="s">
        <v>74</v>
      </c>
      <c r="F600" t="s">
        <v>11423</v>
      </c>
      <c r="G600" t="s">
        <v>74</v>
      </c>
      <c r="H600" t="s">
        <v>74</v>
      </c>
      <c r="I600" t="s">
        <v>11424</v>
      </c>
      <c r="J600" t="s">
        <v>10297</v>
      </c>
      <c r="K600" t="s">
        <v>74</v>
      </c>
      <c r="L600" t="s">
        <v>74</v>
      </c>
      <c r="M600" t="s">
        <v>78</v>
      </c>
      <c r="N600" t="s">
        <v>79</v>
      </c>
      <c r="O600" t="s">
        <v>74</v>
      </c>
      <c r="P600" t="s">
        <v>74</v>
      </c>
      <c r="Q600" t="s">
        <v>74</v>
      </c>
      <c r="R600" t="s">
        <v>74</v>
      </c>
      <c r="S600" t="s">
        <v>74</v>
      </c>
      <c r="T600" t="s">
        <v>11425</v>
      </c>
      <c r="U600" t="s">
        <v>11426</v>
      </c>
      <c r="V600" t="s">
        <v>11427</v>
      </c>
      <c r="W600" t="s">
        <v>11428</v>
      </c>
      <c r="X600" t="s">
        <v>11429</v>
      </c>
      <c r="Y600" t="s">
        <v>11430</v>
      </c>
      <c r="Z600" t="s">
        <v>11431</v>
      </c>
      <c r="AA600" t="s">
        <v>74</v>
      </c>
      <c r="AB600" t="s">
        <v>11432</v>
      </c>
      <c r="AC600" t="s">
        <v>11433</v>
      </c>
      <c r="AD600" t="s">
        <v>11434</v>
      </c>
      <c r="AE600" t="s">
        <v>11435</v>
      </c>
      <c r="AF600" t="s">
        <v>74</v>
      </c>
      <c r="AG600">
        <v>76</v>
      </c>
      <c r="AH600">
        <v>15</v>
      </c>
      <c r="AI600">
        <v>15</v>
      </c>
      <c r="AJ600">
        <v>0</v>
      </c>
      <c r="AK600">
        <v>33</v>
      </c>
      <c r="AL600" t="s">
        <v>10310</v>
      </c>
      <c r="AM600" t="s">
        <v>10311</v>
      </c>
      <c r="AN600" t="s">
        <v>10312</v>
      </c>
      <c r="AO600" t="s">
        <v>10313</v>
      </c>
      <c r="AP600" t="s">
        <v>10314</v>
      </c>
      <c r="AQ600" t="s">
        <v>74</v>
      </c>
      <c r="AR600" t="s">
        <v>10315</v>
      </c>
      <c r="AS600" t="s">
        <v>10316</v>
      </c>
      <c r="AT600" t="s">
        <v>74</v>
      </c>
      <c r="AU600">
        <v>2014</v>
      </c>
      <c r="AV600">
        <v>73</v>
      </c>
      <c r="AW600">
        <v>2</v>
      </c>
      <c r="AX600" t="s">
        <v>74</v>
      </c>
      <c r="AY600" t="s">
        <v>74</v>
      </c>
      <c r="AZ600" t="s">
        <v>74</v>
      </c>
      <c r="BA600" t="s">
        <v>74</v>
      </c>
      <c r="BB600">
        <v>123</v>
      </c>
      <c r="BC600">
        <v>134</v>
      </c>
      <c r="BD600" t="s">
        <v>74</v>
      </c>
      <c r="BE600" t="s">
        <v>11436</v>
      </c>
      <c r="BF600" t="str">
        <f>HYPERLINK("http://dx.doi.org/10.3354/ame01710","http://dx.doi.org/10.3354/ame01710")</f>
        <v>http://dx.doi.org/10.3354/ame01710</v>
      </c>
      <c r="BG600" t="s">
        <v>74</v>
      </c>
      <c r="BH600" t="s">
        <v>74</v>
      </c>
      <c r="BI600">
        <v>12</v>
      </c>
      <c r="BJ600" t="s">
        <v>10318</v>
      </c>
      <c r="BK600" t="s">
        <v>101</v>
      </c>
      <c r="BL600" t="s">
        <v>10319</v>
      </c>
      <c r="BM600" t="s">
        <v>11437</v>
      </c>
      <c r="BN600" t="s">
        <v>74</v>
      </c>
      <c r="BO600" t="s">
        <v>200</v>
      </c>
      <c r="BP600" t="s">
        <v>74</v>
      </c>
      <c r="BQ600" t="s">
        <v>74</v>
      </c>
      <c r="BR600" t="s">
        <v>104</v>
      </c>
      <c r="BS600" t="s">
        <v>11438</v>
      </c>
      <c r="BT600" t="str">
        <f>HYPERLINK("https%3A%2F%2Fwww.webofscience.com%2Fwos%2Fwoscc%2Ffull-record%2FWOS:000343594000003","View Full Record in Web of Science")</f>
        <v>View Full Record in Web of Science</v>
      </c>
    </row>
    <row r="601" spans="1:72" x14ac:dyDescent="0.15">
      <c r="A601" t="s">
        <v>72</v>
      </c>
      <c r="B601" t="s">
        <v>11439</v>
      </c>
      <c r="C601" t="s">
        <v>74</v>
      </c>
      <c r="D601" t="s">
        <v>74</v>
      </c>
      <c r="E601" t="s">
        <v>74</v>
      </c>
      <c r="F601" t="s">
        <v>11440</v>
      </c>
      <c r="G601" t="s">
        <v>74</v>
      </c>
      <c r="H601" t="s">
        <v>74</v>
      </c>
      <c r="I601" t="s">
        <v>11441</v>
      </c>
      <c r="J601" t="s">
        <v>11442</v>
      </c>
      <c r="K601" t="s">
        <v>74</v>
      </c>
      <c r="L601" t="s">
        <v>74</v>
      </c>
      <c r="M601" t="s">
        <v>78</v>
      </c>
      <c r="N601" t="s">
        <v>79</v>
      </c>
      <c r="O601" t="s">
        <v>74</v>
      </c>
      <c r="P601" t="s">
        <v>74</v>
      </c>
      <c r="Q601" t="s">
        <v>74</v>
      </c>
      <c r="R601" t="s">
        <v>74</v>
      </c>
      <c r="S601" t="s">
        <v>74</v>
      </c>
      <c r="T601" t="s">
        <v>11443</v>
      </c>
      <c r="U601" t="s">
        <v>11444</v>
      </c>
      <c r="V601" t="s">
        <v>11445</v>
      </c>
      <c r="W601" t="s">
        <v>11446</v>
      </c>
      <c r="X601" t="s">
        <v>11447</v>
      </c>
      <c r="Y601" t="s">
        <v>11448</v>
      </c>
      <c r="Z601" t="s">
        <v>11449</v>
      </c>
      <c r="AA601" t="s">
        <v>11450</v>
      </c>
      <c r="AB601" t="s">
        <v>74</v>
      </c>
      <c r="AC601" t="s">
        <v>11451</v>
      </c>
      <c r="AD601" t="s">
        <v>11452</v>
      </c>
      <c r="AE601" t="s">
        <v>11453</v>
      </c>
      <c r="AF601" t="s">
        <v>74</v>
      </c>
      <c r="AG601">
        <v>21</v>
      </c>
      <c r="AH601">
        <v>0</v>
      </c>
      <c r="AI601">
        <v>0</v>
      </c>
      <c r="AJ601">
        <v>0</v>
      </c>
      <c r="AK601">
        <v>7</v>
      </c>
      <c r="AL601" t="s">
        <v>11454</v>
      </c>
      <c r="AM601" t="s">
        <v>8793</v>
      </c>
      <c r="AN601" t="s">
        <v>11455</v>
      </c>
      <c r="AO601" t="s">
        <v>11456</v>
      </c>
      <c r="AP601" t="s">
        <v>74</v>
      </c>
      <c r="AQ601" t="s">
        <v>74</v>
      </c>
      <c r="AR601" t="s">
        <v>11457</v>
      </c>
      <c r="AS601" t="s">
        <v>11458</v>
      </c>
      <c r="AT601" t="s">
        <v>74</v>
      </c>
      <c r="AU601">
        <v>2014</v>
      </c>
      <c r="AV601">
        <v>67</v>
      </c>
      <c r="AW601">
        <v>9</v>
      </c>
      <c r="AX601" t="s">
        <v>74</v>
      </c>
      <c r="AY601" t="s">
        <v>74</v>
      </c>
      <c r="AZ601" t="s">
        <v>74</v>
      </c>
      <c r="BA601" t="s">
        <v>74</v>
      </c>
      <c r="BB601">
        <v>1255</v>
      </c>
      <c r="BC601">
        <v>1262</v>
      </c>
      <c r="BD601" t="s">
        <v>74</v>
      </c>
      <c r="BE601" t="s">
        <v>74</v>
      </c>
      <c r="BF601" t="s">
        <v>74</v>
      </c>
      <c r="BG601" t="s">
        <v>74</v>
      </c>
      <c r="BH601" t="s">
        <v>74</v>
      </c>
      <c r="BI601">
        <v>8</v>
      </c>
      <c r="BJ601" t="s">
        <v>1100</v>
      </c>
      <c r="BK601" t="s">
        <v>101</v>
      </c>
      <c r="BL601" t="s">
        <v>1101</v>
      </c>
      <c r="BM601" t="s">
        <v>11459</v>
      </c>
      <c r="BN601" t="s">
        <v>74</v>
      </c>
      <c r="BO601" t="s">
        <v>74</v>
      </c>
      <c r="BP601" t="s">
        <v>74</v>
      </c>
      <c r="BQ601" t="s">
        <v>74</v>
      </c>
      <c r="BR601" t="s">
        <v>104</v>
      </c>
      <c r="BS601" t="s">
        <v>11460</v>
      </c>
      <c r="BT601" t="str">
        <f>HYPERLINK("https%3A%2F%2Fwww.webofscience.com%2Fwos%2Fwoscc%2Ffull-record%2FWOS:000343631200010","View Full Record in Web of Science")</f>
        <v>View Full Record in Web of Science</v>
      </c>
    </row>
    <row r="602" spans="1:72" x14ac:dyDescent="0.15">
      <c r="A602" t="s">
        <v>72</v>
      </c>
      <c r="B602" t="s">
        <v>11461</v>
      </c>
      <c r="C602" t="s">
        <v>74</v>
      </c>
      <c r="D602" t="s">
        <v>74</v>
      </c>
      <c r="E602" t="s">
        <v>74</v>
      </c>
      <c r="F602" t="s">
        <v>11462</v>
      </c>
      <c r="G602" t="s">
        <v>74</v>
      </c>
      <c r="H602" t="s">
        <v>74</v>
      </c>
      <c r="I602" t="s">
        <v>11463</v>
      </c>
      <c r="J602" t="s">
        <v>11464</v>
      </c>
      <c r="K602" t="s">
        <v>74</v>
      </c>
      <c r="L602" t="s">
        <v>74</v>
      </c>
      <c r="M602" t="s">
        <v>78</v>
      </c>
      <c r="N602" t="s">
        <v>79</v>
      </c>
      <c r="O602" t="s">
        <v>74</v>
      </c>
      <c r="P602" t="s">
        <v>74</v>
      </c>
      <c r="Q602" t="s">
        <v>74</v>
      </c>
      <c r="R602" t="s">
        <v>74</v>
      </c>
      <c r="S602" t="s">
        <v>74</v>
      </c>
      <c r="T602" t="s">
        <v>11465</v>
      </c>
      <c r="U602" t="s">
        <v>11466</v>
      </c>
      <c r="V602" t="s">
        <v>11467</v>
      </c>
      <c r="W602" t="s">
        <v>11468</v>
      </c>
      <c r="X602" t="s">
        <v>11469</v>
      </c>
      <c r="Y602" t="s">
        <v>11470</v>
      </c>
      <c r="Z602" t="s">
        <v>11471</v>
      </c>
      <c r="AA602" t="s">
        <v>11472</v>
      </c>
      <c r="AB602" t="s">
        <v>11473</v>
      </c>
      <c r="AC602" t="s">
        <v>11474</v>
      </c>
      <c r="AD602" t="s">
        <v>11475</v>
      </c>
      <c r="AE602" t="s">
        <v>11476</v>
      </c>
      <c r="AF602" t="s">
        <v>74</v>
      </c>
      <c r="AG602">
        <v>37</v>
      </c>
      <c r="AH602">
        <v>8</v>
      </c>
      <c r="AI602">
        <v>8</v>
      </c>
      <c r="AJ602">
        <v>0</v>
      </c>
      <c r="AK602">
        <v>8</v>
      </c>
      <c r="AL602" t="s">
        <v>11477</v>
      </c>
      <c r="AM602" t="s">
        <v>11478</v>
      </c>
      <c r="AN602" t="s">
        <v>11479</v>
      </c>
      <c r="AO602" t="s">
        <v>11480</v>
      </c>
      <c r="AP602" t="s">
        <v>74</v>
      </c>
      <c r="AQ602" t="s">
        <v>74</v>
      </c>
      <c r="AR602" t="s">
        <v>11481</v>
      </c>
      <c r="AS602" t="s">
        <v>11482</v>
      </c>
      <c r="AT602" t="s">
        <v>74</v>
      </c>
      <c r="AU602">
        <v>2014</v>
      </c>
      <c r="AV602">
        <v>253</v>
      </c>
      <c r="AW602">
        <v>6</v>
      </c>
      <c r="AX602" t="s">
        <v>74</v>
      </c>
      <c r="AY602" t="s">
        <v>74</v>
      </c>
      <c r="AZ602" t="s">
        <v>74</v>
      </c>
      <c r="BA602" t="s">
        <v>74</v>
      </c>
      <c r="BB602">
        <v>497</v>
      </c>
      <c r="BC602">
        <v>511</v>
      </c>
      <c r="BD602" t="s">
        <v>74</v>
      </c>
      <c r="BE602" t="s">
        <v>11483</v>
      </c>
      <c r="BF602" t="str">
        <f>HYPERLINK("http://dx.doi.org/10.1016/j.jcz.2014.07.003","http://dx.doi.org/10.1016/j.jcz.2014.07.003")</f>
        <v>http://dx.doi.org/10.1016/j.jcz.2014.07.003</v>
      </c>
      <c r="BG602" t="s">
        <v>74</v>
      </c>
      <c r="BH602" t="s">
        <v>74</v>
      </c>
      <c r="BI602">
        <v>15</v>
      </c>
      <c r="BJ602" t="s">
        <v>384</v>
      </c>
      <c r="BK602" t="s">
        <v>101</v>
      </c>
      <c r="BL602" t="s">
        <v>384</v>
      </c>
      <c r="BM602" t="s">
        <v>11484</v>
      </c>
      <c r="BN602" t="s">
        <v>74</v>
      </c>
      <c r="BO602" t="s">
        <v>1103</v>
      </c>
      <c r="BP602" t="s">
        <v>74</v>
      </c>
      <c r="BQ602" t="s">
        <v>74</v>
      </c>
      <c r="BR602" t="s">
        <v>104</v>
      </c>
      <c r="BS602" t="s">
        <v>11485</v>
      </c>
      <c r="BT602" t="str">
        <f>HYPERLINK("https%3A%2F%2Fwww.webofscience.com%2Fwos%2Fwoscc%2Ffull-record%2FWOS:000343631900007","View Full Record in Web of Science")</f>
        <v>View Full Record in Web of Science</v>
      </c>
    </row>
    <row r="603" spans="1:72" x14ac:dyDescent="0.15">
      <c r="A603" t="s">
        <v>72</v>
      </c>
      <c r="B603" t="s">
        <v>11486</v>
      </c>
      <c r="C603" t="s">
        <v>74</v>
      </c>
      <c r="D603" t="s">
        <v>74</v>
      </c>
      <c r="E603" t="s">
        <v>74</v>
      </c>
      <c r="F603" t="s">
        <v>11487</v>
      </c>
      <c r="G603" t="s">
        <v>74</v>
      </c>
      <c r="H603" t="s">
        <v>74</v>
      </c>
      <c r="I603" t="s">
        <v>11488</v>
      </c>
      <c r="J603" t="s">
        <v>11464</v>
      </c>
      <c r="K603" t="s">
        <v>74</v>
      </c>
      <c r="L603" t="s">
        <v>74</v>
      </c>
      <c r="M603" t="s">
        <v>78</v>
      </c>
      <c r="N603" t="s">
        <v>79</v>
      </c>
      <c r="O603" t="s">
        <v>74</v>
      </c>
      <c r="P603" t="s">
        <v>74</v>
      </c>
      <c r="Q603" t="s">
        <v>74</v>
      </c>
      <c r="R603" t="s">
        <v>74</v>
      </c>
      <c r="S603" t="s">
        <v>74</v>
      </c>
      <c r="T603" t="s">
        <v>11489</v>
      </c>
      <c r="U603" t="s">
        <v>11490</v>
      </c>
      <c r="V603" t="s">
        <v>11491</v>
      </c>
      <c r="W603" t="s">
        <v>11492</v>
      </c>
      <c r="X603" t="s">
        <v>1799</v>
      </c>
      <c r="Y603" t="s">
        <v>1800</v>
      </c>
      <c r="Z603" t="s">
        <v>1801</v>
      </c>
      <c r="AA603" t="s">
        <v>74</v>
      </c>
      <c r="AB603" t="s">
        <v>74</v>
      </c>
      <c r="AC603" t="s">
        <v>11493</v>
      </c>
      <c r="AD603" t="s">
        <v>11494</v>
      </c>
      <c r="AE603" t="s">
        <v>11495</v>
      </c>
      <c r="AF603" t="s">
        <v>74</v>
      </c>
      <c r="AG603">
        <v>32</v>
      </c>
      <c r="AH603">
        <v>8</v>
      </c>
      <c r="AI603">
        <v>9</v>
      </c>
      <c r="AJ603">
        <v>0</v>
      </c>
      <c r="AK603">
        <v>2</v>
      </c>
      <c r="AL603" t="s">
        <v>11496</v>
      </c>
      <c r="AM603" t="s">
        <v>11497</v>
      </c>
      <c r="AN603" t="s">
        <v>11498</v>
      </c>
      <c r="AO603" t="s">
        <v>11480</v>
      </c>
      <c r="AP603" t="s">
        <v>74</v>
      </c>
      <c r="AQ603" t="s">
        <v>74</v>
      </c>
      <c r="AR603" t="s">
        <v>11481</v>
      </c>
      <c r="AS603" t="s">
        <v>11482</v>
      </c>
      <c r="AT603" t="s">
        <v>74</v>
      </c>
      <c r="AU603">
        <v>2014</v>
      </c>
      <c r="AV603">
        <v>253</v>
      </c>
      <c r="AW603">
        <v>6</v>
      </c>
      <c r="AX603" t="s">
        <v>74</v>
      </c>
      <c r="AY603" t="s">
        <v>74</v>
      </c>
      <c r="AZ603" t="s">
        <v>74</v>
      </c>
      <c r="BA603" t="s">
        <v>74</v>
      </c>
      <c r="BB603">
        <v>512</v>
      </c>
      <c r="BC603">
        <v>525</v>
      </c>
      <c r="BD603" t="s">
        <v>74</v>
      </c>
      <c r="BE603" t="s">
        <v>11499</v>
      </c>
      <c r="BF603" t="str">
        <f>HYPERLINK("http://dx.doi.org/10.1016/j.jcz.2014.07.002","http://dx.doi.org/10.1016/j.jcz.2014.07.002")</f>
        <v>http://dx.doi.org/10.1016/j.jcz.2014.07.002</v>
      </c>
      <c r="BG603" t="s">
        <v>74</v>
      </c>
      <c r="BH603" t="s">
        <v>74</v>
      </c>
      <c r="BI603">
        <v>14</v>
      </c>
      <c r="BJ603" t="s">
        <v>384</v>
      </c>
      <c r="BK603" t="s">
        <v>101</v>
      </c>
      <c r="BL603" t="s">
        <v>384</v>
      </c>
      <c r="BM603" t="s">
        <v>11484</v>
      </c>
      <c r="BN603" t="s">
        <v>74</v>
      </c>
      <c r="BO603" t="s">
        <v>74</v>
      </c>
      <c r="BP603" t="s">
        <v>74</v>
      </c>
      <c r="BQ603" t="s">
        <v>74</v>
      </c>
      <c r="BR603" t="s">
        <v>104</v>
      </c>
      <c r="BS603" t="s">
        <v>11500</v>
      </c>
      <c r="BT603" t="str">
        <f>HYPERLINK("https%3A%2F%2Fwww.webofscience.com%2Fwos%2Fwoscc%2Ffull-record%2FWOS:000343631900008","View Full Record in Web of Science")</f>
        <v>View Full Record in Web of Science</v>
      </c>
    </row>
    <row r="604" spans="1:72" x14ac:dyDescent="0.15">
      <c r="A604" t="s">
        <v>72</v>
      </c>
      <c r="B604" t="s">
        <v>11501</v>
      </c>
      <c r="C604" t="s">
        <v>74</v>
      </c>
      <c r="D604" t="s">
        <v>74</v>
      </c>
      <c r="E604" t="s">
        <v>74</v>
      </c>
      <c r="F604" t="s">
        <v>11502</v>
      </c>
      <c r="G604" t="s">
        <v>74</v>
      </c>
      <c r="H604" t="s">
        <v>74</v>
      </c>
      <c r="I604" t="s">
        <v>11503</v>
      </c>
      <c r="J604" t="s">
        <v>11504</v>
      </c>
      <c r="K604" t="s">
        <v>74</v>
      </c>
      <c r="L604" t="s">
        <v>74</v>
      </c>
      <c r="M604" t="s">
        <v>78</v>
      </c>
      <c r="N604" t="s">
        <v>79</v>
      </c>
      <c r="O604" t="s">
        <v>74</v>
      </c>
      <c r="P604" t="s">
        <v>74</v>
      </c>
      <c r="Q604" t="s">
        <v>74</v>
      </c>
      <c r="R604" t="s">
        <v>74</v>
      </c>
      <c r="S604" t="s">
        <v>74</v>
      </c>
      <c r="T604" t="s">
        <v>74</v>
      </c>
      <c r="U604" t="s">
        <v>11505</v>
      </c>
      <c r="V604" t="s">
        <v>11506</v>
      </c>
      <c r="W604" t="s">
        <v>11507</v>
      </c>
      <c r="X604" t="s">
        <v>11508</v>
      </c>
      <c r="Y604" t="s">
        <v>11509</v>
      </c>
      <c r="Z604" t="s">
        <v>11510</v>
      </c>
      <c r="AA604" t="s">
        <v>11511</v>
      </c>
      <c r="AB604" t="s">
        <v>11512</v>
      </c>
      <c r="AC604" t="s">
        <v>11513</v>
      </c>
      <c r="AD604" t="s">
        <v>11514</v>
      </c>
      <c r="AE604" t="s">
        <v>11515</v>
      </c>
      <c r="AF604" t="s">
        <v>74</v>
      </c>
      <c r="AG604">
        <v>55</v>
      </c>
      <c r="AH604">
        <v>29</v>
      </c>
      <c r="AI604">
        <v>29</v>
      </c>
      <c r="AJ604">
        <v>1</v>
      </c>
      <c r="AK604">
        <v>28</v>
      </c>
      <c r="AL604" t="s">
        <v>1463</v>
      </c>
      <c r="AM604" t="s">
        <v>1464</v>
      </c>
      <c r="AN604" t="s">
        <v>1465</v>
      </c>
      <c r="AO604" t="s">
        <v>11516</v>
      </c>
      <c r="AP604" t="s">
        <v>11517</v>
      </c>
      <c r="AQ604" t="s">
        <v>74</v>
      </c>
      <c r="AR604" t="s">
        <v>11518</v>
      </c>
      <c r="AS604" t="s">
        <v>11519</v>
      </c>
      <c r="AT604" t="s">
        <v>74</v>
      </c>
      <c r="AU604">
        <v>2014</v>
      </c>
      <c r="AV604">
        <v>7</v>
      </c>
      <c r="AW604">
        <v>9</v>
      </c>
      <c r="AX604" t="s">
        <v>74</v>
      </c>
      <c r="AY604" t="s">
        <v>74</v>
      </c>
      <c r="AZ604" t="s">
        <v>74</v>
      </c>
      <c r="BA604" t="s">
        <v>74</v>
      </c>
      <c r="BB604">
        <v>2937</v>
      </c>
      <c r="BC604">
        <v>2951</v>
      </c>
      <c r="BD604" t="s">
        <v>74</v>
      </c>
      <c r="BE604" t="s">
        <v>11520</v>
      </c>
      <c r="BF604" t="str">
        <f>HYPERLINK("http://dx.doi.org/10.5194/amt-7-2937-2014","http://dx.doi.org/10.5194/amt-7-2937-2014")</f>
        <v>http://dx.doi.org/10.5194/amt-7-2937-2014</v>
      </c>
      <c r="BG604" t="s">
        <v>74</v>
      </c>
      <c r="BH604" t="s">
        <v>74</v>
      </c>
      <c r="BI604">
        <v>15</v>
      </c>
      <c r="BJ604" t="s">
        <v>1391</v>
      </c>
      <c r="BK604" t="s">
        <v>101</v>
      </c>
      <c r="BL604" t="s">
        <v>1391</v>
      </c>
      <c r="BM604" t="s">
        <v>11521</v>
      </c>
      <c r="BN604" t="s">
        <v>74</v>
      </c>
      <c r="BO604" t="s">
        <v>11522</v>
      </c>
      <c r="BP604" t="s">
        <v>74</v>
      </c>
      <c r="BQ604" t="s">
        <v>74</v>
      </c>
      <c r="BR604" t="s">
        <v>104</v>
      </c>
      <c r="BS604" t="s">
        <v>11523</v>
      </c>
      <c r="BT604" t="str">
        <f>HYPERLINK("https%3A%2F%2Fwww.webofscience.com%2Fwos%2Fwoscc%2Ffull-record%2FWOS:000343119600010","View Full Record in Web of Science")</f>
        <v>View Full Record in Web of Science</v>
      </c>
    </row>
    <row r="605" spans="1:72" x14ac:dyDescent="0.15">
      <c r="A605" t="s">
        <v>72</v>
      </c>
      <c r="B605" t="s">
        <v>11524</v>
      </c>
      <c r="C605" t="s">
        <v>74</v>
      </c>
      <c r="D605" t="s">
        <v>74</v>
      </c>
      <c r="E605" t="s">
        <v>74</v>
      </c>
      <c r="F605" t="s">
        <v>11525</v>
      </c>
      <c r="G605" t="s">
        <v>74</v>
      </c>
      <c r="H605" t="s">
        <v>74</v>
      </c>
      <c r="I605" t="s">
        <v>11526</v>
      </c>
      <c r="J605" t="s">
        <v>10362</v>
      </c>
      <c r="K605" t="s">
        <v>74</v>
      </c>
      <c r="L605" t="s">
        <v>74</v>
      </c>
      <c r="M605" t="s">
        <v>78</v>
      </c>
      <c r="N605" t="s">
        <v>79</v>
      </c>
      <c r="O605" t="s">
        <v>74</v>
      </c>
      <c r="P605" t="s">
        <v>74</v>
      </c>
      <c r="Q605" t="s">
        <v>74</v>
      </c>
      <c r="R605" t="s">
        <v>74</v>
      </c>
      <c r="S605" t="s">
        <v>74</v>
      </c>
      <c r="T605" t="s">
        <v>11527</v>
      </c>
      <c r="U605" t="s">
        <v>11528</v>
      </c>
      <c r="V605" t="s">
        <v>11529</v>
      </c>
      <c r="W605" t="s">
        <v>11530</v>
      </c>
      <c r="X605" t="s">
        <v>11531</v>
      </c>
      <c r="Y605" t="s">
        <v>11532</v>
      </c>
      <c r="Z605" t="s">
        <v>11533</v>
      </c>
      <c r="AA605" t="s">
        <v>74</v>
      </c>
      <c r="AB605" t="s">
        <v>74</v>
      </c>
      <c r="AC605" t="s">
        <v>11534</v>
      </c>
      <c r="AD605" t="s">
        <v>11534</v>
      </c>
      <c r="AE605" t="s">
        <v>11535</v>
      </c>
      <c r="AF605" t="s">
        <v>74</v>
      </c>
      <c r="AG605">
        <v>26</v>
      </c>
      <c r="AH605">
        <v>10</v>
      </c>
      <c r="AI605">
        <v>14</v>
      </c>
      <c r="AJ605">
        <v>2</v>
      </c>
      <c r="AK605">
        <v>4</v>
      </c>
      <c r="AL605" t="s">
        <v>91</v>
      </c>
      <c r="AM605" t="s">
        <v>1948</v>
      </c>
      <c r="AN605" t="s">
        <v>2519</v>
      </c>
      <c r="AO605" t="s">
        <v>10374</v>
      </c>
      <c r="AP605" t="s">
        <v>10375</v>
      </c>
      <c r="AQ605" t="s">
        <v>74</v>
      </c>
      <c r="AR605" t="s">
        <v>10376</v>
      </c>
      <c r="AS605" t="s">
        <v>10377</v>
      </c>
      <c r="AT605" t="s">
        <v>74</v>
      </c>
      <c r="AU605">
        <v>2014</v>
      </c>
      <c r="AV605">
        <v>60</v>
      </c>
      <c r="AW605">
        <v>222</v>
      </c>
      <c r="AX605" t="s">
        <v>74</v>
      </c>
      <c r="AY605" t="s">
        <v>74</v>
      </c>
      <c r="AZ605" t="s">
        <v>74</v>
      </c>
      <c r="BA605" t="s">
        <v>74</v>
      </c>
      <c r="BB605">
        <v>685</v>
      </c>
      <c r="BC605">
        <v>693</v>
      </c>
      <c r="BD605" t="s">
        <v>74</v>
      </c>
      <c r="BE605" t="s">
        <v>11536</v>
      </c>
      <c r="BF605" t="str">
        <f>HYPERLINK("http://dx.doi.org/10.3189/2014JoG14J010","http://dx.doi.org/10.3189/2014JoG14J010")</f>
        <v>http://dx.doi.org/10.3189/2014JoG14J010</v>
      </c>
      <c r="BG605" t="s">
        <v>74</v>
      </c>
      <c r="BH605" t="s">
        <v>74</v>
      </c>
      <c r="BI605">
        <v>9</v>
      </c>
      <c r="BJ605" t="s">
        <v>1415</v>
      </c>
      <c r="BK605" t="s">
        <v>101</v>
      </c>
      <c r="BL605" t="s">
        <v>1416</v>
      </c>
      <c r="BM605" t="s">
        <v>11537</v>
      </c>
      <c r="BN605" t="s">
        <v>74</v>
      </c>
      <c r="BO605" t="s">
        <v>1244</v>
      </c>
      <c r="BP605" t="s">
        <v>74</v>
      </c>
      <c r="BQ605" t="s">
        <v>74</v>
      </c>
      <c r="BR605" t="s">
        <v>104</v>
      </c>
      <c r="BS605" t="s">
        <v>11538</v>
      </c>
      <c r="BT605" t="str">
        <f>HYPERLINK("https%3A%2F%2Fwww.webofscience.com%2Fwos%2Fwoscc%2Ffull-record%2FWOS:000343272100007","View Full Record in Web of Science")</f>
        <v>View Full Record in Web of Science</v>
      </c>
    </row>
    <row r="606" spans="1:72" x14ac:dyDescent="0.15">
      <c r="A606" t="s">
        <v>72</v>
      </c>
      <c r="B606" t="s">
        <v>11539</v>
      </c>
      <c r="C606" t="s">
        <v>74</v>
      </c>
      <c r="D606" t="s">
        <v>74</v>
      </c>
      <c r="E606" t="s">
        <v>74</v>
      </c>
      <c r="F606" t="s">
        <v>11540</v>
      </c>
      <c r="G606" t="s">
        <v>74</v>
      </c>
      <c r="H606" t="s">
        <v>74</v>
      </c>
      <c r="I606" t="s">
        <v>11541</v>
      </c>
      <c r="J606" t="s">
        <v>10362</v>
      </c>
      <c r="K606" t="s">
        <v>74</v>
      </c>
      <c r="L606" t="s">
        <v>74</v>
      </c>
      <c r="M606" t="s">
        <v>78</v>
      </c>
      <c r="N606" t="s">
        <v>79</v>
      </c>
      <c r="O606" t="s">
        <v>74</v>
      </c>
      <c r="P606" t="s">
        <v>74</v>
      </c>
      <c r="Q606" t="s">
        <v>74</v>
      </c>
      <c r="R606" t="s">
        <v>74</v>
      </c>
      <c r="S606" t="s">
        <v>74</v>
      </c>
      <c r="T606" t="s">
        <v>11542</v>
      </c>
      <c r="U606" t="s">
        <v>11543</v>
      </c>
      <c r="V606" t="s">
        <v>11544</v>
      </c>
      <c r="W606" t="s">
        <v>11545</v>
      </c>
      <c r="X606" t="s">
        <v>11546</v>
      </c>
      <c r="Y606" t="s">
        <v>11547</v>
      </c>
      <c r="Z606" t="s">
        <v>11548</v>
      </c>
      <c r="AA606" t="s">
        <v>11549</v>
      </c>
      <c r="AB606" t="s">
        <v>11550</v>
      </c>
      <c r="AC606" t="s">
        <v>11551</v>
      </c>
      <c r="AD606" t="s">
        <v>11552</v>
      </c>
      <c r="AE606" t="s">
        <v>11553</v>
      </c>
      <c r="AF606" t="s">
        <v>74</v>
      </c>
      <c r="AG606">
        <v>60</v>
      </c>
      <c r="AH606">
        <v>52</v>
      </c>
      <c r="AI606">
        <v>54</v>
      </c>
      <c r="AJ606">
        <v>1</v>
      </c>
      <c r="AK606">
        <v>25</v>
      </c>
      <c r="AL606" t="s">
        <v>9533</v>
      </c>
      <c r="AM606" t="s">
        <v>1948</v>
      </c>
      <c r="AN606" t="s">
        <v>9534</v>
      </c>
      <c r="AO606" t="s">
        <v>10374</v>
      </c>
      <c r="AP606" t="s">
        <v>10375</v>
      </c>
      <c r="AQ606" t="s">
        <v>74</v>
      </c>
      <c r="AR606" t="s">
        <v>10376</v>
      </c>
      <c r="AS606" t="s">
        <v>10377</v>
      </c>
      <c r="AT606" t="s">
        <v>74</v>
      </c>
      <c r="AU606">
        <v>2014</v>
      </c>
      <c r="AV606">
        <v>60</v>
      </c>
      <c r="AW606">
        <v>222</v>
      </c>
      <c r="AX606" t="s">
        <v>74</v>
      </c>
      <c r="AY606" t="s">
        <v>74</v>
      </c>
      <c r="AZ606" t="s">
        <v>74</v>
      </c>
      <c r="BA606" t="s">
        <v>74</v>
      </c>
      <c r="BB606">
        <v>714</v>
      </c>
      <c r="BC606">
        <v>724</v>
      </c>
      <c r="BD606" t="s">
        <v>74</v>
      </c>
      <c r="BE606" t="s">
        <v>11554</v>
      </c>
      <c r="BF606" t="str">
        <f>HYPERLINK("http://dx.doi.org/10.3189/2014JoG14J015","http://dx.doi.org/10.3189/2014JoG14J015")</f>
        <v>http://dx.doi.org/10.3189/2014JoG14J015</v>
      </c>
      <c r="BG606" t="s">
        <v>74</v>
      </c>
      <c r="BH606" t="s">
        <v>74</v>
      </c>
      <c r="BI606">
        <v>11</v>
      </c>
      <c r="BJ606" t="s">
        <v>1415</v>
      </c>
      <c r="BK606" t="s">
        <v>101</v>
      </c>
      <c r="BL606" t="s">
        <v>1416</v>
      </c>
      <c r="BM606" t="s">
        <v>11537</v>
      </c>
      <c r="BN606" t="s">
        <v>74</v>
      </c>
      <c r="BO606" t="s">
        <v>6867</v>
      </c>
      <c r="BP606" t="s">
        <v>74</v>
      </c>
      <c r="BQ606" t="s">
        <v>74</v>
      </c>
      <c r="BR606" t="s">
        <v>104</v>
      </c>
      <c r="BS606" t="s">
        <v>11555</v>
      </c>
      <c r="BT606" t="str">
        <f>HYPERLINK("https%3A%2F%2Fwww.webofscience.com%2Fwos%2Fwoscc%2Ffull-record%2FWOS:000343272100010","View Full Record in Web of Science")</f>
        <v>View Full Record in Web of Science</v>
      </c>
    </row>
    <row r="607" spans="1:72" x14ac:dyDescent="0.15">
      <c r="A607" t="s">
        <v>72</v>
      </c>
      <c r="B607" t="s">
        <v>11556</v>
      </c>
      <c r="C607" t="s">
        <v>74</v>
      </c>
      <c r="D607" t="s">
        <v>74</v>
      </c>
      <c r="E607" t="s">
        <v>74</v>
      </c>
      <c r="F607" t="s">
        <v>11557</v>
      </c>
      <c r="G607" t="s">
        <v>74</v>
      </c>
      <c r="H607" t="s">
        <v>74</v>
      </c>
      <c r="I607" t="s">
        <v>11558</v>
      </c>
      <c r="J607" t="s">
        <v>10362</v>
      </c>
      <c r="K607" t="s">
        <v>74</v>
      </c>
      <c r="L607" t="s">
        <v>74</v>
      </c>
      <c r="M607" t="s">
        <v>78</v>
      </c>
      <c r="N607" t="s">
        <v>79</v>
      </c>
      <c r="O607" t="s">
        <v>74</v>
      </c>
      <c r="P607" t="s">
        <v>74</v>
      </c>
      <c r="Q607" t="s">
        <v>74</v>
      </c>
      <c r="R607" t="s">
        <v>74</v>
      </c>
      <c r="S607" t="s">
        <v>74</v>
      </c>
      <c r="T607" t="s">
        <v>11559</v>
      </c>
      <c r="U607" t="s">
        <v>11560</v>
      </c>
      <c r="V607" t="s">
        <v>11561</v>
      </c>
      <c r="W607" t="s">
        <v>11562</v>
      </c>
      <c r="X607" t="s">
        <v>11563</v>
      </c>
      <c r="Y607" t="s">
        <v>11564</v>
      </c>
      <c r="Z607" t="s">
        <v>11565</v>
      </c>
      <c r="AA607" t="s">
        <v>11566</v>
      </c>
      <c r="AB607" t="s">
        <v>11567</v>
      </c>
      <c r="AC607" t="s">
        <v>11568</v>
      </c>
      <c r="AD607" t="s">
        <v>11569</v>
      </c>
      <c r="AE607" t="s">
        <v>11570</v>
      </c>
      <c r="AF607" t="s">
        <v>74</v>
      </c>
      <c r="AG607">
        <v>16</v>
      </c>
      <c r="AH607">
        <v>23</v>
      </c>
      <c r="AI607">
        <v>28</v>
      </c>
      <c r="AJ607">
        <v>0</v>
      </c>
      <c r="AK607">
        <v>18</v>
      </c>
      <c r="AL607" t="s">
        <v>91</v>
      </c>
      <c r="AM607" t="s">
        <v>1948</v>
      </c>
      <c r="AN607" t="s">
        <v>2519</v>
      </c>
      <c r="AO607" t="s">
        <v>10374</v>
      </c>
      <c r="AP607" t="s">
        <v>10375</v>
      </c>
      <c r="AQ607" t="s">
        <v>74</v>
      </c>
      <c r="AR607" t="s">
        <v>10376</v>
      </c>
      <c r="AS607" t="s">
        <v>10377</v>
      </c>
      <c r="AT607" t="s">
        <v>74</v>
      </c>
      <c r="AU607">
        <v>2014</v>
      </c>
      <c r="AV607">
        <v>60</v>
      </c>
      <c r="AW607">
        <v>222</v>
      </c>
      <c r="AX607" t="s">
        <v>74</v>
      </c>
      <c r="AY607" t="s">
        <v>74</v>
      </c>
      <c r="AZ607" t="s">
        <v>74</v>
      </c>
      <c r="BA607" t="s">
        <v>74</v>
      </c>
      <c r="BB607">
        <v>735</v>
      </c>
      <c r="BC607">
        <v>742</v>
      </c>
      <c r="BD607" t="s">
        <v>74</v>
      </c>
      <c r="BE607" t="s">
        <v>11571</v>
      </c>
      <c r="BF607" t="str">
        <f>HYPERLINK("http://dx.doi.org/10.3189/2014JoG14J078","http://dx.doi.org/10.3189/2014JoG14J078")</f>
        <v>http://dx.doi.org/10.3189/2014JoG14J078</v>
      </c>
      <c r="BG607" t="s">
        <v>74</v>
      </c>
      <c r="BH607" t="s">
        <v>74</v>
      </c>
      <c r="BI607">
        <v>8</v>
      </c>
      <c r="BJ607" t="s">
        <v>1415</v>
      </c>
      <c r="BK607" t="s">
        <v>101</v>
      </c>
      <c r="BL607" t="s">
        <v>1416</v>
      </c>
      <c r="BM607" t="s">
        <v>11537</v>
      </c>
      <c r="BN607" t="s">
        <v>74</v>
      </c>
      <c r="BO607" t="s">
        <v>1244</v>
      </c>
      <c r="BP607" t="s">
        <v>74</v>
      </c>
      <c r="BQ607" t="s">
        <v>74</v>
      </c>
      <c r="BR607" t="s">
        <v>104</v>
      </c>
      <c r="BS607" t="s">
        <v>11572</v>
      </c>
      <c r="BT607" t="str">
        <f>HYPERLINK("https%3A%2F%2Fwww.webofscience.com%2Fwos%2Fwoscc%2Ffull-record%2FWOS:000343272100012","View Full Record in Web of Science")</f>
        <v>View Full Record in Web of Science</v>
      </c>
    </row>
    <row r="608" spans="1:72" x14ac:dyDescent="0.15">
      <c r="A608" t="s">
        <v>72</v>
      </c>
      <c r="B608" t="s">
        <v>11573</v>
      </c>
      <c r="C608" t="s">
        <v>74</v>
      </c>
      <c r="D608" t="s">
        <v>74</v>
      </c>
      <c r="E608" t="s">
        <v>74</v>
      </c>
      <c r="F608" t="s">
        <v>11574</v>
      </c>
      <c r="G608" t="s">
        <v>74</v>
      </c>
      <c r="H608" t="s">
        <v>74</v>
      </c>
      <c r="I608" t="s">
        <v>11575</v>
      </c>
      <c r="J608" t="s">
        <v>10362</v>
      </c>
      <c r="K608" t="s">
        <v>74</v>
      </c>
      <c r="L608" t="s">
        <v>74</v>
      </c>
      <c r="M608" t="s">
        <v>78</v>
      </c>
      <c r="N608" t="s">
        <v>79</v>
      </c>
      <c r="O608" t="s">
        <v>74</v>
      </c>
      <c r="P608" t="s">
        <v>74</v>
      </c>
      <c r="Q608" t="s">
        <v>74</v>
      </c>
      <c r="R608" t="s">
        <v>74</v>
      </c>
      <c r="S608" t="s">
        <v>74</v>
      </c>
      <c r="T608" t="s">
        <v>11576</v>
      </c>
      <c r="U608" t="s">
        <v>11577</v>
      </c>
      <c r="V608" t="s">
        <v>11578</v>
      </c>
      <c r="W608" t="s">
        <v>11579</v>
      </c>
      <c r="X608" t="s">
        <v>11580</v>
      </c>
      <c r="Y608" t="s">
        <v>11581</v>
      </c>
      <c r="Z608" t="s">
        <v>11582</v>
      </c>
      <c r="AA608" t="s">
        <v>11583</v>
      </c>
      <c r="AB608" t="s">
        <v>11584</v>
      </c>
      <c r="AC608" t="s">
        <v>11585</v>
      </c>
      <c r="AD608" t="s">
        <v>11586</v>
      </c>
      <c r="AE608" t="s">
        <v>11587</v>
      </c>
      <c r="AF608" t="s">
        <v>74</v>
      </c>
      <c r="AG608">
        <v>53</v>
      </c>
      <c r="AH608">
        <v>47</v>
      </c>
      <c r="AI608">
        <v>57</v>
      </c>
      <c r="AJ608">
        <v>0</v>
      </c>
      <c r="AK608">
        <v>18</v>
      </c>
      <c r="AL608" t="s">
        <v>91</v>
      </c>
      <c r="AM608" t="s">
        <v>1948</v>
      </c>
      <c r="AN608" t="s">
        <v>2519</v>
      </c>
      <c r="AO608" t="s">
        <v>10374</v>
      </c>
      <c r="AP608" t="s">
        <v>10375</v>
      </c>
      <c r="AQ608" t="s">
        <v>74</v>
      </c>
      <c r="AR608" t="s">
        <v>10376</v>
      </c>
      <c r="AS608" t="s">
        <v>10377</v>
      </c>
      <c r="AT608" t="s">
        <v>74</v>
      </c>
      <c r="AU608">
        <v>2014</v>
      </c>
      <c r="AV608">
        <v>60</v>
      </c>
      <c r="AW608">
        <v>222</v>
      </c>
      <c r="AX608" t="s">
        <v>74</v>
      </c>
      <c r="AY608" t="s">
        <v>74</v>
      </c>
      <c r="AZ608" t="s">
        <v>74</v>
      </c>
      <c r="BA608" t="s">
        <v>74</v>
      </c>
      <c r="BB608">
        <v>795</v>
      </c>
      <c r="BC608">
        <v>807</v>
      </c>
      <c r="BD608" t="s">
        <v>74</v>
      </c>
      <c r="BE608" t="s">
        <v>11588</v>
      </c>
      <c r="BF608" t="str">
        <f>HYPERLINK("http://dx.doi.org/10.3189/2014JoG14J038","http://dx.doi.org/10.3189/2014JoG14J038")</f>
        <v>http://dx.doi.org/10.3189/2014JoG14J038</v>
      </c>
      <c r="BG608" t="s">
        <v>74</v>
      </c>
      <c r="BH608" t="s">
        <v>74</v>
      </c>
      <c r="BI608">
        <v>13</v>
      </c>
      <c r="BJ608" t="s">
        <v>1415</v>
      </c>
      <c r="BK608" t="s">
        <v>101</v>
      </c>
      <c r="BL608" t="s">
        <v>1416</v>
      </c>
      <c r="BM608" t="s">
        <v>11537</v>
      </c>
      <c r="BN608" t="s">
        <v>74</v>
      </c>
      <c r="BO608" t="s">
        <v>6867</v>
      </c>
      <c r="BP608" t="s">
        <v>74</v>
      </c>
      <c r="BQ608" t="s">
        <v>74</v>
      </c>
      <c r="BR608" t="s">
        <v>104</v>
      </c>
      <c r="BS608" t="s">
        <v>11589</v>
      </c>
      <c r="BT608" t="str">
        <f>HYPERLINK("https%3A%2F%2Fwww.webofscience.com%2Fwos%2Fwoscc%2Ffull-record%2FWOS:000343272100017","View Full Record in Web of Science")</f>
        <v>View Full Record in Web of Science</v>
      </c>
    </row>
    <row r="609" spans="1:72" x14ac:dyDescent="0.15">
      <c r="A609" t="s">
        <v>8774</v>
      </c>
      <c r="B609" t="s">
        <v>11590</v>
      </c>
      <c r="C609" t="s">
        <v>74</v>
      </c>
      <c r="D609" t="s">
        <v>11591</v>
      </c>
      <c r="E609" t="s">
        <v>74</v>
      </c>
      <c r="F609" t="s">
        <v>11592</v>
      </c>
      <c r="G609" t="s">
        <v>74</v>
      </c>
      <c r="H609" t="s">
        <v>74</v>
      </c>
      <c r="I609" t="s">
        <v>11593</v>
      </c>
      <c r="J609" t="s">
        <v>11594</v>
      </c>
      <c r="K609" t="s">
        <v>9049</v>
      </c>
      <c r="L609" t="s">
        <v>74</v>
      </c>
      <c r="M609" t="s">
        <v>78</v>
      </c>
      <c r="N609" t="s">
        <v>8781</v>
      </c>
      <c r="O609" t="s">
        <v>11595</v>
      </c>
      <c r="P609" t="s">
        <v>11596</v>
      </c>
      <c r="Q609" t="s">
        <v>9295</v>
      </c>
      <c r="R609" t="s">
        <v>74</v>
      </c>
      <c r="S609" t="s">
        <v>74</v>
      </c>
      <c r="T609" t="s">
        <v>11597</v>
      </c>
      <c r="U609" t="s">
        <v>11598</v>
      </c>
      <c r="V609" t="s">
        <v>11599</v>
      </c>
      <c r="W609" t="s">
        <v>11600</v>
      </c>
      <c r="X609" t="s">
        <v>11601</v>
      </c>
      <c r="Y609" t="s">
        <v>11602</v>
      </c>
      <c r="Z609" t="s">
        <v>11603</v>
      </c>
      <c r="AA609" t="s">
        <v>74</v>
      </c>
      <c r="AB609" t="s">
        <v>74</v>
      </c>
      <c r="AC609" t="s">
        <v>74</v>
      </c>
      <c r="AD609" t="s">
        <v>74</v>
      </c>
      <c r="AE609" t="s">
        <v>74</v>
      </c>
      <c r="AF609" t="s">
        <v>74</v>
      </c>
      <c r="AG609">
        <v>8</v>
      </c>
      <c r="AH609">
        <v>2</v>
      </c>
      <c r="AI609">
        <v>2</v>
      </c>
      <c r="AJ609">
        <v>1</v>
      </c>
      <c r="AK609">
        <v>4</v>
      </c>
      <c r="AL609" t="s">
        <v>9059</v>
      </c>
      <c r="AM609" t="s">
        <v>8092</v>
      </c>
      <c r="AN609" t="s">
        <v>9060</v>
      </c>
      <c r="AO609" t="s">
        <v>9061</v>
      </c>
      <c r="AP609" t="s">
        <v>74</v>
      </c>
      <c r="AQ609" t="s">
        <v>11604</v>
      </c>
      <c r="AR609" t="s">
        <v>9063</v>
      </c>
      <c r="AS609" t="s">
        <v>74</v>
      </c>
      <c r="AT609" t="s">
        <v>74</v>
      </c>
      <c r="AU609">
        <v>2014</v>
      </c>
      <c r="AV609">
        <v>9150</v>
      </c>
      <c r="AW609" t="s">
        <v>74</v>
      </c>
      <c r="AX609" t="s">
        <v>74</v>
      </c>
      <c r="AY609" t="s">
        <v>74</v>
      </c>
      <c r="AZ609" t="s">
        <v>74</v>
      </c>
      <c r="BA609" t="s">
        <v>74</v>
      </c>
      <c r="BB609" t="s">
        <v>74</v>
      </c>
      <c r="BC609" t="s">
        <v>74</v>
      </c>
      <c r="BD609" t="s">
        <v>11605</v>
      </c>
      <c r="BE609" t="s">
        <v>11606</v>
      </c>
      <c r="BF609" t="str">
        <f>HYPERLINK("http://dx.doi.org/10.1117/12.2056192","http://dx.doi.org/10.1117/12.2056192")</f>
        <v>http://dx.doi.org/10.1117/12.2056192</v>
      </c>
      <c r="BG609" t="s">
        <v>74</v>
      </c>
      <c r="BH609" t="s">
        <v>74</v>
      </c>
      <c r="BI609">
        <v>6</v>
      </c>
      <c r="BJ609" t="s">
        <v>11607</v>
      </c>
      <c r="BK609" t="s">
        <v>8799</v>
      </c>
      <c r="BL609" t="s">
        <v>11607</v>
      </c>
      <c r="BM609" t="s">
        <v>11608</v>
      </c>
      <c r="BN609" t="s">
        <v>74</v>
      </c>
      <c r="BO609" t="s">
        <v>74</v>
      </c>
      <c r="BP609" t="s">
        <v>74</v>
      </c>
      <c r="BQ609" t="s">
        <v>74</v>
      </c>
      <c r="BR609" t="s">
        <v>104</v>
      </c>
      <c r="BS609" t="s">
        <v>11609</v>
      </c>
      <c r="BT609" t="str">
        <f>HYPERLINK("https%3A%2F%2Fwww.webofscience.com%2Fwos%2Fwoscc%2Ffull-record%2FWOS:000343032800062","View Full Record in Web of Science")</f>
        <v>View Full Record in Web of Science</v>
      </c>
    </row>
    <row r="610" spans="1:72" x14ac:dyDescent="0.15">
      <c r="A610" t="s">
        <v>72</v>
      </c>
      <c r="B610" t="s">
        <v>11610</v>
      </c>
      <c r="C610" t="s">
        <v>74</v>
      </c>
      <c r="D610" t="s">
        <v>74</v>
      </c>
      <c r="E610" t="s">
        <v>74</v>
      </c>
      <c r="F610" t="s">
        <v>11611</v>
      </c>
      <c r="G610" t="s">
        <v>74</v>
      </c>
      <c r="H610" t="s">
        <v>74</v>
      </c>
      <c r="I610" t="s">
        <v>11612</v>
      </c>
      <c r="J610" t="s">
        <v>11613</v>
      </c>
      <c r="K610" t="s">
        <v>74</v>
      </c>
      <c r="L610" t="s">
        <v>74</v>
      </c>
      <c r="M610" t="s">
        <v>78</v>
      </c>
      <c r="N610" t="s">
        <v>79</v>
      </c>
      <c r="O610" t="s">
        <v>74</v>
      </c>
      <c r="P610" t="s">
        <v>74</v>
      </c>
      <c r="Q610" t="s">
        <v>74</v>
      </c>
      <c r="R610" t="s">
        <v>74</v>
      </c>
      <c r="S610" t="s">
        <v>74</v>
      </c>
      <c r="T610" t="s">
        <v>11614</v>
      </c>
      <c r="U610" t="s">
        <v>11615</v>
      </c>
      <c r="V610" t="s">
        <v>11616</v>
      </c>
      <c r="W610" t="s">
        <v>11617</v>
      </c>
      <c r="X610" t="s">
        <v>11618</v>
      </c>
      <c r="Y610" t="s">
        <v>11619</v>
      </c>
      <c r="Z610" t="s">
        <v>11620</v>
      </c>
      <c r="AA610" t="s">
        <v>11621</v>
      </c>
      <c r="AB610" t="s">
        <v>11622</v>
      </c>
      <c r="AC610" t="s">
        <v>74</v>
      </c>
      <c r="AD610" t="s">
        <v>74</v>
      </c>
      <c r="AE610" t="s">
        <v>74</v>
      </c>
      <c r="AF610" t="s">
        <v>74</v>
      </c>
      <c r="AG610">
        <v>36</v>
      </c>
      <c r="AH610">
        <v>56</v>
      </c>
      <c r="AI610">
        <v>57</v>
      </c>
      <c r="AJ610">
        <v>2</v>
      </c>
      <c r="AK610">
        <v>28</v>
      </c>
      <c r="AL610" t="s">
        <v>8717</v>
      </c>
      <c r="AM610" t="s">
        <v>5747</v>
      </c>
      <c r="AN610" t="s">
        <v>11623</v>
      </c>
      <c r="AO610" t="s">
        <v>11624</v>
      </c>
      <c r="AP610" t="s">
        <v>11625</v>
      </c>
      <c r="AQ610" t="s">
        <v>74</v>
      </c>
      <c r="AR610" t="s">
        <v>11626</v>
      </c>
      <c r="AS610" t="s">
        <v>11627</v>
      </c>
      <c r="AT610" t="s">
        <v>74</v>
      </c>
      <c r="AU610">
        <v>2014</v>
      </c>
      <c r="AV610">
        <v>28</v>
      </c>
      <c r="AW610" t="s">
        <v>3974</v>
      </c>
      <c r="AX610" t="s">
        <v>74</v>
      </c>
      <c r="AY610" t="s">
        <v>74</v>
      </c>
      <c r="AZ610" t="s">
        <v>660</v>
      </c>
      <c r="BA610" t="s">
        <v>74</v>
      </c>
      <c r="BB610">
        <v>277</v>
      </c>
      <c r="BC610">
        <v>296</v>
      </c>
      <c r="BD610" t="s">
        <v>74</v>
      </c>
      <c r="BE610" t="s">
        <v>11628</v>
      </c>
      <c r="BF610" t="str">
        <f>HYPERLINK("http://dx.doi.org/10.1080/02691728.2014.922641","http://dx.doi.org/10.1080/02691728.2014.922641")</f>
        <v>http://dx.doi.org/10.1080/02691728.2014.922641</v>
      </c>
      <c r="BG610" t="s">
        <v>74</v>
      </c>
      <c r="BH610" t="s">
        <v>74</v>
      </c>
      <c r="BI610">
        <v>20</v>
      </c>
      <c r="BJ610" t="s">
        <v>11629</v>
      </c>
      <c r="BK610" t="s">
        <v>2881</v>
      </c>
      <c r="BL610" t="s">
        <v>11630</v>
      </c>
      <c r="BM610" t="s">
        <v>11631</v>
      </c>
      <c r="BN610" t="s">
        <v>74</v>
      </c>
      <c r="BO610" t="s">
        <v>74</v>
      </c>
      <c r="BP610" t="s">
        <v>74</v>
      </c>
      <c r="BQ610" t="s">
        <v>74</v>
      </c>
      <c r="BR610" t="s">
        <v>104</v>
      </c>
      <c r="BS610" t="s">
        <v>11632</v>
      </c>
      <c r="BT610" t="str">
        <f>HYPERLINK("https%3A%2F%2Fwww.webofscience.com%2Fwos%2Fwoscc%2Ffull-record%2FWOS:000343206500005","View Full Record in Web of Science")</f>
        <v>View Full Record in Web of Science</v>
      </c>
    </row>
    <row r="611" spans="1:72" x14ac:dyDescent="0.15">
      <c r="A611" t="s">
        <v>72</v>
      </c>
      <c r="B611" t="s">
        <v>11633</v>
      </c>
      <c r="C611" t="s">
        <v>74</v>
      </c>
      <c r="D611" t="s">
        <v>74</v>
      </c>
      <c r="E611" t="s">
        <v>74</v>
      </c>
      <c r="F611" t="s">
        <v>11634</v>
      </c>
      <c r="G611" t="s">
        <v>74</v>
      </c>
      <c r="H611" t="s">
        <v>74</v>
      </c>
      <c r="I611" t="s">
        <v>11635</v>
      </c>
      <c r="J611" t="s">
        <v>11636</v>
      </c>
      <c r="K611" t="s">
        <v>74</v>
      </c>
      <c r="L611" t="s">
        <v>74</v>
      </c>
      <c r="M611" t="s">
        <v>78</v>
      </c>
      <c r="N611" t="s">
        <v>79</v>
      </c>
      <c r="O611" t="s">
        <v>74</v>
      </c>
      <c r="P611" t="s">
        <v>74</v>
      </c>
      <c r="Q611" t="s">
        <v>74</v>
      </c>
      <c r="R611" t="s">
        <v>74</v>
      </c>
      <c r="S611" t="s">
        <v>74</v>
      </c>
      <c r="T611" t="s">
        <v>11637</v>
      </c>
      <c r="U611" t="s">
        <v>11638</v>
      </c>
      <c r="V611" t="s">
        <v>11639</v>
      </c>
      <c r="W611" t="s">
        <v>11640</v>
      </c>
      <c r="X611" t="s">
        <v>11641</v>
      </c>
      <c r="Y611" t="s">
        <v>11642</v>
      </c>
      <c r="Z611" t="s">
        <v>11643</v>
      </c>
      <c r="AA611" t="s">
        <v>74</v>
      </c>
      <c r="AB611" t="s">
        <v>11644</v>
      </c>
      <c r="AC611" t="s">
        <v>11645</v>
      </c>
      <c r="AD611" t="s">
        <v>11646</v>
      </c>
      <c r="AE611" t="s">
        <v>11647</v>
      </c>
      <c r="AF611" t="s">
        <v>74</v>
      </c>
      <c r="AG611">
        <v>29</v>
      </c>
      <c r="AH611">
        <v>11</v>
      </c>
      <c r="AI611">
        <v>15</v>
      </c>
      <c r="AJ611">
        <v>0</v>
      </c>
      <c r="AK611">
        <v>7</v>
      </c>
      <c r="AL611" t="s">
        <v>11648</v>
      </c>
      <c r="AM611" t="s">
        <v>11649</v>
      </c>
      <c r="AN611" t="s">
        <v>11650</v>
      </c>
      <c r="AO611" t="s">
        <v>11651</v>
      </c>
      <c r="AP611" t="s">
        <v>11652</v>
      </c>
      <c r="AQ611" t="s">
        <v>74</v>
      </c>
      <c r="AR611" t="s">
        <v>11653</v>
      </c>
      <c r="AS611" t="s">
        <v>11654</v>
      </c>
      <c r="AT611" t="s">
        <v>74</v>
      </c>
      <c r="AU611">
        <v>2014</v>
      </c>
      <c r="AV611">
        <v>53</v>
      </c>
      <c r="AW611">
        <v>3</v>
      </c>
      <c r="AX611" t="s">
        <v>74</v>
      </c>
      <c r="AY611" t="s">
        <v>74</v>
      </c>
      <c r="AZ611" t="s">
        <v>74</v>
      </c>
      <c r="BA611" t="s">
        <v>74</v>
      </c>
      <c r="BB611">
        <v>235</v>
      </c>
      <c r="BC611">
        <v>256</v>
      </c>
      <c r="BD611" t="s">
        <v>74</v>
      </c>
      <c r="BE611" t="s">
        <v>11655</v>
      </c>
      <c r="BF611" t="str">
        <f>HYPERLINK("http://dx.doi.org/10.4467/16890027AP.14.022.1997","http://dx.doi.org/10.4467/16890027AP.14.022.1997")</f>
        <v>http://dx.doi.org/10.4467/16890027AP.14.022.1997</v>
      </c>
      <c r="BG611" t="s">
        <v>74</v>
      </c>
      <c r="BH611" t="s">
        <v>74</v>
      </c>
      <c r="BI611">
        <v>22</v>
      </c>
      <c r="BJ611" t="s">
        <v>3624</v>
      </c>
      <c r="BK611" t="s">
        <v>101</v>
      </c>
      <c r="BL611" t="s">
        <v>3624</v>
      </c>
      <c r="BM611" t="s">
        <v>11656</v>
      </c>
      <c r="BN611" t="s">
        <v>74</v>
      </c>
      <c r="BO611" t="s">
        <v>74</v>
      </c>
      <c r="BP611" t="s">
        <v>74</v>
      </c>
      <c r="BQ611" t="s">
        <v>74</v>
      </c>
      <c r="BR611" t="s">
        <v>104</v>
      </c>
      <c r="BS611" t="s">
        <v>11657</v>
      </c>
      <c r="BT611" t="str">
        <f>HYPERLINK("https%3A%2F%2Fwww.webofscience.com%2Fwos%2Fwoscc%2Ffull-record%2FWOS:000343000300001","View Full Record in Web of Science")</f>
        <v>View Full Record in Web of Science</v>
      </c>
    </row>
    <row r="612" spans="1:72" x14ac:dyDescent="0.15">
      <c r="A612" t="s">
        <v>72</v>
      </c>
      <c r="B612" t="s">
        <v>11658</v>
      </c>
      <c r="C612" t="s">
        <v>74</v>
      </c>
      <c r="D612" t="s">
        <v>74</v>
      </c>
      <c r="E612" t="s">
        <v>74</v>
      </c>
      <c r="F612" t="s">
        <v>11659</v>
      </c>
      <c r="G612" t="s">
        <v>74</v>
      </c>
      <c r="H612" t="s">
        <v>74</v>
      </c>
      <c r="I612" t="s">
        <v>11660</v>
      </c>
      <c r="J612" t="s">
        <v>10525</v>
      </c>
      <c r="K612" t="s">
        <v>74</v>
      </c>
      <c r="L612" t="s">
        <v>74</v>
      </c>
      <c r="M612" t="s">
        <v>78</v>
      </c>
      <c r="N612" t="s">
        <v>79</v>
      </c>
      <c r="O612" t="s">
        <v>74</v>
      </c>
      <c r="P612" t="s">
        <v>74</v>
      </c>
      <c r="Q612" t="s">
        <v>74</v>
      </c>
      <c r="R612" t="s">
        <v>74</v>
      </c>
      <c r="S612" t="s">
        <v>74</v>
      </c>
      <c r="T612" t="s">
        <v>11661</v>
      </c>
      <c r="U612" t="s">
        <v>11662</v>
      </c>
      <c r="V612" t="s">
        <v>11663</v>
      </c>
      <c r="W612" t="s">
        <v>11664</v>
      </c>
      <c r="X612" t="s">
        <v>11665</v>
      </c>
      <c r="Y612" t="s">
        <v>11666</v>
      </c>
      <c r="Z612" t="s">
        <v>11667</v>
      </c>
      <c r="AA612" t="s">
        <v>74</v>
      </c>
      <c r="AB612" t="s">
        <v>11668</v>
      </c>
      <c r="AC612" t="s">
        <v>11669</v>
      </c>
      <c r="AD612" t="s">
        <v>1308</v>
      </c>
      <c r="AE612" t="s">
        <v>11670</v>
      </c>
      <c r="AF612" t="s">
        <v>74</v>
      </c>
      <c r="AG612">
        <v>35</v>
      </c>
      <c r="AH612">
        <v>7</v>
      </c>
      <c r="AI612">
        <v>8</v>
      </c>
      <c r="AJ612">
        <v>0</v>
      </c>
      <c r="AK612">
        <v>11</v>
      </c>
      <c r="AL612" t="s">
        <v>10538</v>
      </c>
      <c r="AM612" t="s">
        <v>10539</v>
      </c>
      <c r="AN612" t="s">
        <v>10540</v>
      </c>
      <c r="AO612" t="s">
        <v>10541</v>
      </c>
      <c r="AP612" t="s">
        <v>74</v>
      </c>
      <c r="AQ612" t="s">
        <v>74</v>
      </c>
      <c r="AR612" t="s">
        <v>10543</v>
      </c>
      <c r="AS612" t="s">
        <v>10544</v>
      </c>
      <c r="AT612" t="s">
        <v>74</v>
      </c>
      <c r="AU612">
        <v>2014</v>
      </c>
      <c r="AV612">
        <v>63</v>
      </c>
      <c r="AW612">
        <v>3</v>
      </c>
      <c r="AX612" t="s">
        <v>74</v>
      </c>
      <c r="AY612" t="s">
        <v>74</v>
      </c>
      <c r="AZ612" t="s">
        <v>74</v>
      </c>
      <c r="BA612" t="s">
        <v>74</v>
      </c>
      <c r="BB612">
        <v>317</v>
      </c>
      <c r="BC612">
        <v>322</v>
      </c>
      <c r="BD612" t="s">
        <v>74</v>
      </c>
      <c r="BE612" t="s">
        <v>74</v>
      </c>
      <c r="BF612" t="s">
        <v>74</v>
      </c>
      <c r="BG612" t="s">
        <v>74</v>
      </c>
      <c r="BH612" t="s">
        <v>74</v>
      </c>
      <c r="BI612">
        <v>6</v>
      </c>
      <c r="BJ612" t="s">
        <v>3624</v>
      </c>
      <c r="BK612" t="s">
        <v>101</v>
      </c>
      <c r="BL612" t="s">
        <v>3624</v>
      </c>
      <c r="BM612" t="s">
        <v>11671</v>
      </c>
      <c r="BN612">
        <v>25546942</v>
      </c>
      <c r="BO612" t="s">
        <v>74</v>
      </c>
      <c r="BP612" t="s">
        <v>74</v>
      </c>
      <c r="BQ612" t="s">
        <v>74</v>
      </c>
      <c r="BR612" t="s">
        <v>104</v>
      </c>
      <c r="BS612" t="s">
        <v>11672</v>
      </c>
      <c r="BT612" t="str">
        <f>HYPERLINK("https%3A%2F%2Fwww.webofscience.com%2Fwos%2Fwoscc%2Ffull-record%2FWOS:000342527200008","View Full Record in Web of Science")</f>
        <v>View Full Record in Web of Science</v>
      </c>
    </row>
    <row r="613" spans="1:72" x14ac:dyDescent="0.15">
      <c r="A613" t="s">
        <v>8774</v>
      </c>
      <c r="B613" t="s">
        <v>11673</v>
      </c>
      <c r="C613" t="s">
        <v>74</v>
      </c>
      <c r="D613" t="s">
        <v>11674</v>
      </c>
      <c r="E613" t="s">
        <v>74</v>
      </c>
      <c r="F613" t="s">
        <v>11675</v>
      </c>
      <c r="G613" t="s">
        <v>74</v>
      </c>
      <c r="H613" t="s">
        <v>74</v>
      </c>
      <c r="I613" t="s">
        <v>11676</v>
      </c>
      <c r="J613" t="s">
        <v>11677</v>
      </c>
      <c r="K613" t="s">
        <v>11678</v>
      </c>
      <c r="L613" t="s">
        <v>74</v>
      </c>
      <c r="M613" t="s">
        <v>78</v>
      </c>
      <c r="N613" t="s">
        <v>8781</v>
      </c>
      <c r="O613" t="s">
        <v>11679</v>
      </c>
      <c r="P613" t="s">
        <v>11680</v>
      </c>
      <c r="Q613" t="s">
        <v>11681</v>
      </c>
      <c r="R613" t="s">
        <v>74</v>
      </c>
      <c r="S613" t="s">
        <v>74</v>
      </c>
      <c r="T613" t="s">
        <v>74</v>
      </c>
      <c r="U613" t="s">
        <v>11682</v>
      </c>
      <c r="V613" t="s">
        <v>11683</v>
      </c>
      <c r="W613" t="s">
        <v>11684</v>
      </c>
      <c r="X613" t="s">
        <v>11685</v>
      </c>
      <c r="Y613" t="s">
        <v>11686</v>
      </c>
      <c r="Z613" t="s">
        <v>74</v>
      </c>
      <c r="AA613" t="s">
        <v>74</v>
      </c>
      <c r="AB613" t="s">
        <v>74</v>
      </c>
      <c r="AC613" t="s">
        <v>74</v>
      </c>
      <c r="AD613" t="s">
        <v>74</v>
      </c>
      <c r="AE613" t="s">
        <v>74</v>
      </c>
      <c r="AF613" t="s">
        <v>74</v>
      </c>
      <c r="AG613">
        <v>48</v>
      </c>
      <c r="AH613">
        <v>1</v>
      </c>
      <c r="AI613">
        <v>1</v>
      </c>
      <c r="AJ613">
        <v>0</v>
      </c>
      <c r="AK613">
        <v>5</v>
      </c>
      <c r="AL613" t="s">
        <v>11687</v>
      </c>
      <c r="AM613" t="s">
        <v>11688</v>
      </c>
      <c r="AN613" t="s">
        <v>11689</v>
      </c>
      <c r="AO613" t="s">
        <v>11690</v>
      </c>
      <c r="AP613" t="s">
        <v>74</v>
      </c>
      <c r="AQ613" t="s">
        <v>11691</v>
      </c>
      <c r="AR613" t="s">
        <v>11692</v>
      </c>
      <c r="AS613" t="s">
        <v>74</v>
      </c>
      <c r="AT613" t="s">
        <v>74</v>
      </c>
      <c r="AU613">
        <v>2014</v>
      </c>
      <c r="AV613">
        <v>2</v>
      </c>
      <c r="AW613" t="s">
        <v>74</v>
      </c>
      <c r="AX613" t="s">
        <v>74</v>
      </c>
      <c r="AY613" t="s">
        <v>74</v>
      </c>
      <c r="AZ613" t="s">
        <v>74</v>
      </c>
      <c r="BA613" t="s">
        <v>74</v>
      </c>
      <c r="BB613" t="s">
        <v>74</v>
      </c>
      <c r="BC613" t="s">
        <v>74</v>
      </c>
      <c r="BD613">
        <v>3003</v>
      </c>
      <c r="BE613" t="s">
        <v>11693</v>
      </c>
      <c r="BF613" t="str">
        <f>HYPERLINK("http://dx.doi.org/10.1051/bioconf/20140203003","http://dx.doi.org/10.1051/bioconf/20140203003")</f>
        <v>http://dx.doi.org/10.1051/bioconf/20140203003</v>
      </c>
      <c r="BG613" t="s">
        <v>74</v>
      </c>
      <c r="BH613" t="s">
        <v>74</v>
      </c>
      <c r="BI613">
        <v>6</v>
      </c>
      <c r="BJ613" t="s">
        <v>11694</v>
      </c>
      <c r="BK613" t="s">
        <v>8799</v>
      </c>
      <c r="BL613" t="s">
        <v>11695</v>
      </c>
      <c r="BM613" t="s">
        <v>11696</v>
      </c>
      <c r="BN613" t="s">
        <v>74</v>
      </c>
      <c r="BO613" t="s">
        <v>2213</v>
      </c>
      <c r="BP613" t="s">
        <v>74</v>
      </c>
      <c r="BQ613" t="s">
        <v>74</v>
      </c>
      <c r="BR613" t="s">
        <v>104</v>
      </c>
      <c r="BS613" t="s">
        <v>11697</v>
      </c>
      <c r="BT613" t="str">
        <f>HYPERLINK("https%3A%2F%2Fwww.webofscience.com%2Fwos%2Fwoscc%2Ffull-record%2FWOS:000342571200012","View Full Record in Web of Science")</f>
        <v>View Full Record in Web of Science</v>
      </c>
    </row>
    <row r="614" spans="1:72" x14ac:dyDescent="0.15">
      <c r="A614" t="s">
        <v>72</v>
      </c>
      <c r="B614" t="s">
        <v>11698</v>
      </c>
      <c r="C614" t="s">
        <v>74</v>
      </c>
      <c r="D614" t="s">
        <v>74</v>
      </c>
      <c r="E614" t="s">
        <v>74</v>
      </c>
      <c r="F614" t="s">
        <v>11699</v>
      </c>
      <c r="G614" t="s">
        <v>74</v>
      </c>
      <c r="H614" t="s">
        <v>74</v>
      </c>
      <c r="I614" t="s">
        <v>11700</v>
      </c>
      <c r="J614" t="s">
        <v>10297</v>
      </c>
      <c r="K614" t="s">
        <v>74</v>
      </c>
      <c r="L614" t="s">
        <v>74</v>
      </c>
      <c r="M614" t="s">
        <v>78</v>
      </c>
      <c r="N614" t="s">
        <v>79</v>
      </c>
      <c r="O614" t="s">
        <v>74</v>
      </c>
      <c r="P614" t="s">
        <v>74</v>
      </c>
      <c r="Q614" t="s">
        <v>74</v>
      </c>
      <c r="R614" t="s">
        <v>74</v>
      </c>
      <c r="S614" t="s">
        <v>74</v>
      </c>
      <c r="T614" t="s">
        <v>11701</v>
      </c>
      <c r="U614" t="s">
        <v>11702</v>
      </c>
      <c r="V614" t="s">
        <v>11703</v>
      </c>
      <c r="W614" t="s">
        <v>11704</v>
      </c>
      <c r="X614" t="s">
        <v>11705</v>
      </c>
      <c r="Y614" t="s">
        <v>11706</v>
      </c>
      <c r="Z614" t="s">
        <v>11707</v>
      </c>
      <c r="AA614" t="s">
        <v>11708</v>
      </c>
      <c r="AB614" t="s">
        <v>11709</v>
      </c>
      <c r="AC614" t="s">
        <v>11710</v>
      </c>
      <c r="AD614" t="s">
        <v>11711</v>
      </c>
      <c r="AE614" t="s">
        <v>11712</v>
      </c>
      <c r="AF614" t="s">
        <v>74</v>
      </c>
      <c r="AG614">
        <v>34</v>
      </c>
      <c r="AH614">
        <v>17</v>
      </c>
      <c r="AI614">
        <v>23</v>
      </c>
      <c r="AJ614">
        <v>0</v>
      </c>
      <c r="AK614">
        <v>35</v>
      </c>
      <c r="AL614" t="s">
        <v>10310</v>
      </c>
      <c r="AM614" t="s">
        <v>10311</v>
      </c>
      <c r="AN614" t="s">
        <v>10312</v>
      </c>
      <c r="AO614" t="s">
        <v>10313</v>
      </c>
      <c r="AP614" t="s">
        <v>10314</v>
      </c>
      <c r="AQ614" t="s">
        <v>74</v>
      </c>
      <c r="AR614" t="s">
        <v>10315</v>
      </c>
      <c r="AS614" t="s">
        <v>10316</v>
      </c>
      <c r="AT614" t="s">
        <v>74</v>
      </c>
      <c r="AU614">
        <v>2014</v>
      </c>
      <c r="AV614">
        <v>73</v>
      </c>
      <c r="AW614">
        <v>1</v>
      </c>
      <c r="AX614" t="s">
        <v>74</v>
      </c>
      <c r="AY614" t="s">
        <v>74</v>
      </c>
      <c r="AZ614" t="s">
        <v>74</v>
      </c>
      <c r="BA614" t="s">
        <v>74</v>
      </c>
      <c r="BB614">
        <v>41</v>
      </c>
      <c r="BC614">
        <v>49</v>
      </c>
      <c r="BD614" t="s">
        <v>74</v>
      </c>
      <c r="BE614" t="s">
        <v>11713</v>
      </c>
      <c r="BF614" t="str">
        <f>HYPERLINK("http://dx.doi.org/10.3354/ame01709","http://dx.doi.org/10.3354/ame01709")</f>
        <v>http://dx.doi.org/10.3354/ame01709</v>
      </c>
      <c r="BG614" t="s">
        <v>74</v>
      </c>
      <c r="BH614" t="s">
        <v>74</v>
      </c>
      <c r="BI614">
        <v>9</v>
      </c>
      <c r="BJ614" t="s">
        <v>10318</v>
      </c>
      <c r="BK614" t="s">
        <v>101</v>
      </c>
      <c r="BL614" t="s">
        <v>10319</v>
      </c>
      <c r="BM614" t="s">
        <v>11714</v>
      </c>
      <c r="BN614" t="s">
        <v>74</v>
      </c>
      <c r="BO614" t="s">
        <v>200</v>
      </c>
      <c r="BP614" t="s">
        <v>74</v>
      </c>
      <c r="BQ614" t="s">
        <v>74</v>
      </c>
      <c r="BR614" t="s">
        <v>104</v>
      </c>
      <c r="BS614" t="s">
        <v>11715</v>
      </c>
      <c r="BT614" t="str">
        <f>HYPERLINK("https%3A%2F%2Fwww.webofscience.com%2Fwos%2Fwoscc%2Ffull-record%2FWOS:000342525700004","View Full Record in Web of Science")</f>
        <v>View Full Record in Web of Science</v>
      </c>
    </row>
    <row r="615" spans="1:72" x14ac:dyDescent="0.15">
      <c r="A615" t="s">
        <v>8774</v>
      </c>
      <c r="B615" t="s">
        <v>11716</v>
      </c>
      <c r="C615" t="s">
        <v>74</v>
      </c>
      <c r="D615" t="s">
        <v>11717</v>
      </c>
      <c r="E615" t="s">
        <v>74</v>
      </c>
      <c r="F615" t="s">
        <v>11718</v>
      </c>
      <c r="G615" t="s">
        <v>74</v>
      </c>
      <c r="H615" t="s">
        <v>74</v>
      </c>
      <c r="I615" t="s">
        <v>11719</v>
      </c>
      <c r="J615" t="s">
        <v>11720</v>
      </c>
      <c r="K615" t="s">
        <v>11721</v>
      </c>
      <c r="L615" t="s">
        <v>74</v>
      </c>
      <c r="M615" t="s">
        <v>78</v>
      </c>
      <c r="N615" t="s">
        <v>8781</v>
      </c>
      <c r="O615" t="s">
        <v>11722</v>
      </c>
      <c r="P615" t="s">
        <v>11723</v>
      </c>
      <c r="Q615" t="s">
        <v>11724</v>
      </c>
      <c r="R615" t="s">
        <v>74</v>
      </c>
      <c r="S615" t="s">
        <v>74</v>
      </c>
      <c r="T615" t="s">
        <v>11725</v>
      </c>
      <c r="U615" t="s">
        <v>74</v>
      </c>
      <c r="V615" t="s">
        <v>11726</v>
      </c>
      <c r="W615" t="s">
        <v>11727</v>
      </c>
      <c r="X615" t="s">
        <v>11728</v>
      </c>
      <c r="Y615" t="s">
        <v>11729</v>
      </c>
      <c r="Z615" t="s">
        <v>11730</v>
      </c>
      <c r="AA615" t="s">
        <v>74</v>
      </c>
      <c r="AB615" t="s">
        <v>74</v>
      </c>
      <c r="AC615" t="s">
        <v>74</v>
      </c>
      <c r="AD615" t="s">
        <v>74</v>
      </c>
      <c r="AE615" t="s">
        <v>74</v>
      </c>
      <c r="AF615" t="s">
        <v>74</v>
      </c>
      <c r="AG615">
        <v>11</v>
      </c>
      <c r="AH615">
        <v>7</v>
      </c>
      <c r="AI615">
        <v>9</v>
      </c>
      <c r="AJ615">
        <v>1</v>
      </c>
      <c r="AK615">
        <v>3</v>
      </c>
      <c r="AL615" t="s">
        <v>145</v>
      </c>
      <c r="AM615" t="s">
        <v>92</v>
      </c>
      <c r="AN615" t="s">
        <v>11731</v>
      </c>
      <c r="AO615" t="s">
        <v>11732</v>
      </c>
      <c r="AP615" t="s">
        <v>74</v>
      </c>
      <c r="AQ615" t="s">
        <v>11733</v>
      </c>
      <c r="AR615" t="s">
        <v>11734</v>
      </c>
      <c r="AS615" t="s">
        <v>74</v>
      </c>
      <c r="AT615" t="s">
        <v>74</v>
      </c>
      <c r="AU615">
        <v>2014</v>
      </c>
      <c r="AV615">
        <v>303</v>
      </c>
      <c r="AW615" t="s">
        <v>74</v>
      </c>
      <c r="AX615" t="s">
        <v>74</v>
      </c>
      <c r="AY615" t="s">
        <v>74</v>
      </c>
      <c r="AZ615" t="s">
        <v>74</v>
      </c>
      <c r="BA615" t="s">
        <v>74</v>
      </c>
      <c r="BB615">
        <v>11</v>
      </c>
      <c r="BC615">
        <v>18</v>
      </c>
      <c r="BD615" t="s">
        <v>74</v>
      </c>
      <c r="BE615" t="s">
        <v>11735</v>
      </c>
      <c r="BF615" t="str">
        <f>HYPERLINK("http://dx.doi.org/10.1007/978-3-642-54737-9_2","http://dx.doi.org/10.1007/978-3-642-54737-9_2")</f>
        <v>http://dx.doi.org/10.1007/978-3-642-54737-9_2</v>
      </c>
      <c r="BG615" t="s">
        <v>74</v>
      </c>
      <c r="BH615" t="s">
        <v>74</v>
      </c>
      <c r="BI615">
        <v>8</v>
      </c>
      <c r="BJ615" t="s">
        <v>9040</v>
      </c>
      <c r="BK615" t="s">
        <v>8799</v>
      </c>
      <c r="BL615" t="s">
        <v>9041</v>
      </c>
      <c r="BM615" t="s">
        <v>11736</v>
      </c>
      <c r="BN615" t="s">
        <v>74</v>
      </c>
      <c r="BO615" t="s">
        <v>74</v>
      </c>
      <c r="BP615" t="s">
        <v>74</v>
      </c>
      <c r="BQ615" t="s">
        <v>74</v>
      </c>
      <c r="BR615" t="s">
        <v>104</v>
      </c>
      <c r="BS615" t="s">
        <v>11737</v>
      </c>
      <c r="BT615" t="str">
        <f>HYPERLINK("https%3A%2F%2Fwww.webofscience.com%2Fwos%2Fwoscc%2Ffull-record%2FWOS:000342438900002","View Full Record in Web of Science")</f>
        <v>View Full Record in Web of Science</v>
      </c>
    </row>
    <row r="616" spans="1:72" x14ac:dyDescent="0.15">
      <c r="A616" t="s">
        <v>72</v>
      </c>
      <c r="B616" t="s">
        <v>11738</v>
      </c>
      <c r="C616" t="s">
        <v>74</v>
      </c>
      <c r="D616" t="s">
        <v>74</v>
      </c>
      <c r="E616" t="s">
        <v>74</v>
      </c>
      <c r="F616" t="s">
        <v>11739</v>
      </c>
      <c r="G616" t="s">
        <v>74</v>
      </c>
      <c r="H616" t="s">
        <v>74</v>
      </c>
      <c r="I616" t="s">
        <v>11740</v>
      </c>
      <c r="J616" t="s">
        <v>11741</v>
      </c>
      <c r="K616" t="s">
        <v>74</v>
      </c>
      <c r="L616" t="s">
        <v>74</v>
      </c>
      <c r="M616" t="s">
        <v>78</v>
      </c>
      <c r="N616" t="s">
        <v>79</v>
      </c>
      <c r="O616" t="s">
        <v>74</v>
      </c>
      <c r="P616" t="s">
        <v>74</v>
      </c>
      <c r="Q616" t="s">
        <v>74</v>
      </c>
      <c r="R616" t="s">
        <v>74</v>
      </c>
      <c r="S616" t="s">
        <v>74</v>
      </c>
      <c r="T616" t="s">
        <v>11742</v>
      </c>
      <c r="U616" t="s">
        <v>11743</v>
      </c>
      <c r="V616" t="s">
        <v>11744</v>
      </c>
      <c r="W616" t="s">
        <v>11745</v>
      </c>
      <c r="X616" t="s">
        <v>11746</v>
      </c>
      <c r="Y616" t="s">
        <v>11747</v>
      </c>
      <c r="Z616" t="s">
        <v>11748</v>
      </c>
      <c r="AA616" t="s">
        <v>11749</v>
      </c>
      <c r="AB616" t="s">
        <v>11750</v>
      </c>
      <c r="AC616" t="s">
        <v>11751</v>
      </c>
      <c r="AD616" t="s">
        <v>11751</v>
      </c>
      <c r="AE616" t="s">
        <v>11752</v>
      </c>
      <c r="AF616" t="s">
        <v>74</v>
      </c>
      <c r="AG616">
        <v>23</v>
      </c>
      <c r="AH616">
        <v>1</v>
      </c>
      <c r="AI616">
        <v>1</v>
      </c>
      <c r="AJ616">
        <v>0</v>
      </c>
      <c r="AK616">
        <v>1</v>
      </c>
      <c r="AL616" t="s">
        <v>5746</v>
      </c>
      <c r="AM616" t="s">
        <v>5747</v>
      </c>
      <c r="AN616" t="s">
        <v>8643</v>
      </c>
      <c r="AO616" t="s">
        <v>11753</v>
      </c>
      <c r="AP616" t="s">
        <v>11754</v>
      </c>
      <c r="AQ616" t="s">
        <v>74</v>
      </c>
      <c r="AR616" t="s">
        <v>11755</v>
      </c>
      <c r="AS616" t="s">
        <v>11756</v>
      </c>
      <c r="AT616" t="s">
        <v>74</v>
      </c>
      <c r="AU616">
        <v>2014</v>
      </c>
      <c r="AV616">
        <v>81</v>
      </c>
      <c r="AW616">
        <v>3</v>
      </c>
      <c r="AX616" t="s">
        <v>74</v>
      </c>
      <c r="AY616" t="s">
        <v>74</v>
      </c>
      <c r="AZ616" t="s">
        <v>74</v>
      </c>
      <c r="BA616" t="s">
        <v>74</v>
      </c>
      <c r="BB616">
        <v>409</v>
      </c>
      <c r="BC616">
        <v>414</v>
      </c>
      <c r="BD616" t="s">
        <v>74</v>
      </c>
      <c r="BE616" t="s">
        <v>11757</v>
      </c>
      <c r="BF616" t="str">
        <f>HYPERLINK("http://dx.doi.org/10.1080/11250003.2014.947337","http://dx.doi.org/10.1080/11250003.2014.947337")</f>
        <v>http://dx.doi.org/10.1080/11250003.2014.947337</v>
      </c>
      <c r="BG616" t="s">
        <v>74</v>
      </c>
      <c r="BH616" t="s">
        <v>74</v>
      </c>
      <c r="BI616">
        <v>6</v>
      </c>
      <c r="BJ616" t="s">
        <v>384</v>
      </c>
      <c r="BK616" t="s">
        <v>101</v>
      </c>
      <c r="BL616" t="s">
        <v>384</v>
      </c>
      <c r="BM616" t="s">
        <v>11758</v>
      </c>
      <c r="BN616" t="s">
        <v>74</v>
      </c>
      <c r="BO616" t="s">
        <v>74</v>
      </c>
      <c r="BP616" t="s">
        <v>74</v>
      </c>
      <c r="BQ616" t="s">
        <v>74</v>
      </c>
      <c r="BR616" t="s">
        <v>104</v>
      </c>
      <c r="BS616" t="s">
        <v>11759</v>
      </c>
      <c r="BT616" t="str">
        <f>HYPERLINK("https%3A%2F%2Fwww.webofscience.com%2Fwos%2Fwoscc%2Ffull-record%2FWOS:000342305800011","View Full Record in Web of Science")</f>
        <v>View Full Record in Web of Science</v>
      </c>
    </row>
    <row r="617" spans="1:72" x14ac:dyDescent="0.15">
      <c r="A617" t="s">
        <v>8803</v>
      </c>
      <c r="B617" t="s">
        <v>11760</v>
      </c>
      <c r="C617" t="s">
        <v>74</v>
      </c>
      <c r="D617" t="s">
        <v>11761</v>
      </c>
      <c r="E617" t="s">
        <v>74</v>
      </c>
      <c r="F617" t="s">
        <v>11762</v>
      </c>
      <c r="G617" t="s">
        <v>74</v>
      </c>
      <c r="H617" t="s">
        <v>74</v>
      </c>
      <c r="I617" t="s">
        <v>11763</v>
      </c>
      <c r="J617" t="s">
        <v>11764</v>
      </c>
      <c r="K617" t="s">
        <v>74</v>
      </c>
      <c r="L617" t="s">
        <v>74</v>
      </c>
      <c r="M617" t="s">
        <v>78</v>
      </c>
      <c r="N617" t="s">
        <v>8809</v>
      </c>
      <c r="O617" t="s">
        <v>74</v>
      </c>
      <c r="P617" t="s">
        <v>74</v>
      </c>
      <c r="Q617" t="s">
        <v>74</v>
      </c>
      <c r="R617" t="s">
        <v>74</v>
      </c>
      <c r="S617" t="s">
        <v>74</v>
      </c>
      <c r="T617" t="s">
        <v>74</v>
      </c>
      <c r="U617" t="s">
        <v>11765</v>
      </c>
      <c r="V617" t="s">
        <v>74</v>
      </c>
      <c r="W617" t="s">
        <v>11766</v>
      </c>
      <c r="X617" t="s">
        <v>2827</v>
      </c>
      <c r="Y617" t="s">
        <v>11767</v>
      </c>
      <c r="Z617" t="s">
        <v>74</v>
      </c>
      <c r="AA617" t="s">
        <v>11768</v>
      </c>
      <c r="AB617" t="s">
        <v>11769</v>
      </c>
      <c r="AC617" t="s">
        <v>74</v>
      </c>
      <c r="AD617" t="s">
        <v>74</v>
      </c>
      <c r="AE617" t="s">
        <v>74</v>
      </c>
      <c r="AF617" t="s">
        <v>74</v>
      </c>
      <c r="AG617">
        <v>34</v>
      </c>
      <c r="AH617">
        <v>1</v>
      </c>
      <c r="AI617">
        <v>1</v>
      </c>
      <c r="AJ617">
        <v>0</v>
      </c>
      <c r="AK617">
        <v>1</v>
      </c>
      <c r="AL617" t="s">
        <v>11770</v>
      </c>
      <c r="AM617" t="s">
        <v>146</v>
      </c>
      <c r="AN617" t="s">
        <v>11771</v>
      </c>
      <c r="AO617" t="s">
        <v>74</v>
      </c>
      <c r="AP617" t="s">
        <v>74</v>
      </c>
      <c r="AQ617" t="s">
        <v>11772</v>
      </c>
      <c r="AR617" t="s">
        <v>74</v>
      </c>
      <c r="AS617" t="s">
        <v>74</v>
      </c>
      <c r="AT617" t="s">
        <v>74</v>
      </c>
      <c r="AU617">
        <v>2014</v>
      </c>
      <c r="AV617" t="s">
        <v>74</v>
      </c>
      <c r="AW617" t="s">
        <v>74</v>
      </c>
      <c r="AX617" t="s">
        <v>74</v>
      </c>
      <c r="AY617" t="s">
        <v>74</v>
      </c>
      <c r="AZ617" t="s">
        <v>74</v>
      </c>
      <c r="BA617" t="s">
        <v>74</v>
      </c>
      <c r="BB617">
        <v>507</v>
      </c>
      <c r="BC617">
        <v>523</v>
      </c>
      <c r="BD617" t="s">
        <v>74</v>
      </c>
      <c r="BE617" t="s">
        <v>74</v>
      </c>
      <c r="BF617" t="s">
        <v>74</v>
      </c>
      <c r="BG617" t="s">
        <v>74</v>
      </c>
      <c r="BH617" t="s">
        <v>74</v>
      </c>
      <c r="BI617">
        <v>17</v>
      </c>
      <c r="BJ617" t="s">
        <v>4318</v>
      </c>
      <c r="BK617" t="s">
        <v>8815</v>
      </c>
      <c r="BL617" t="s">
        <v>4319</v>
      </c>
      <c r="BM617" t="s">
        <v>11773</v>
      </c>
      <c r="BN617" t="s">
        <v>74</v>
      </c>
      <c r="BO617" t="s">
        <v>74</v>
      </c>
      <c r="BP617" t="s">
        <v>74</v>
      </c>
      <c r="BQ617" t="s">
        <v>74</v>
      </c>
      <c r="BR617" t="s">
        <v>104</v>
      </c>
      <c r="BS617" t="s">
        <v>11774</v>
      </c>
      <c r="BT617" t="str">
        <f>HYPERLINK("https%3A%2F%2Fwww.webofscience.com%2Fwos%2Fwoscc%2Ffull-record%2FWOS:000341833700025","View Full Record in Web of Science")</f>
        <v>View Full Record in Web of Science</v>
      </c>
    </row>
    <row r="618" spans="1:72" x14ac:dyDescent="0.15">
      <c r="A618" t="s">
        <v>8803</v>
      </c>
      <c r="B618" t="s">
        <v>11775</v>
      </c>
      <c r="C618" t="s">
        <v>74</v>
      </c>
      <c r="D618" t="s">
        <v>11761</v>
      </c>
      <c r="E618" t="s">
        <v>74</v>
      </c>
      <c r="F618" t="s">
        <v>11776</v>
      </c>
      <c r="G618" t="s">
        <v>74</v>
      </c>
      <c r="H618" t="s">
        <v>74</v>
      </c>
      <c r="I618" t="s">
        <v>11777</v>
      </c>
      <c r="J618" t="s">
        <v>11764</v>
      </c>
      <c r="K618" t="s">
        <v>74</v>
      </c>
      <c r="L618" t="s">
        <v>74</v>
      </c>
      <c r="M618" t="s">
        <v>78</v>
      </c>
      <c r="N618" t="s">
        <v>8809</v>
      </c>
      <c r="O618" t="s">
        <v>74</v>
      </c>
      <c r="P618" t="s">
        <v>74</v>
      </c>
      <c r="Q618" t="s">
        <v>74</v>
      </c>
      <c r="R618" t="s">
        <v>74</v>
      </c>
      <c r="S618" t="s">
        <v>74</v>
      </c>
      <c r="T618" t="s">
        <v>74</v>
      </c>
      <c r="U618" t="s">
        <v>74</v>
      </c>
      <c r="V618" t="s">
        <v>74</v>
      </c>
      <c r="W618" t="s">
        <v>11778</v>
      </c>
      <c r="X618" t="s">
        <v>11779</v>
      </c>
      <c r="Y618" t="s">
        <v>11780</v>
      </c>
      <c r="Z618" t="s">
        <v>74</v>
      </c>
      <c r="AA618" t="s">
        <v>11781</v>
      </c>
      <c r="AB618" t="s">
        <v>11782</v>
      </c>
      <c r="AC618" t="s">
        <v>74</v>
      </c>
      <c r="AD618" t="s">
        <v>74</v>
      </c>
      <c r="AE618" t="s">
        <v>74</v>
      </c>
      <c r="AF618" t="s">
        <v>74</v>
      </c>
      <c r="AG618">
        <v>42</v>
      </c>
      <c r="AH618">
        <v>2</v>
      </c>
      <c r="AI618">
        <v>2</v>
      </c>
      <c r="AJ618">
        <v>0</v>
      </c>
      <c r="AK618">
        <v>0</v>
      </c>
      <c r="AL618" t="s">
        <v>11770</v>
      </c>
      <c r="AM618" t="s">
        <v>146</v>
      </c>
      <c r="AN618" t="s">
        <v>11771</v>
      </c>
      <c r="AO618" t="s">
        <v>74</v>
      </c>
      <c r="AP618" t="s">
        <v>74</v>
      </c>
      <c r="AQ618" t="s">
        <v>11772</v>
      </c>
      <c r="AR618" t="s">
        <v>74</v>
      </c>
      <c r="AS618" t="s">
        <v>74</v>
      </c>
      <c r="AT618" t="s">
        <v>74</v>
      </c>
      <c r="AU618">
        <v>2014</v>
      </c>
      <c r="AV618" t="s">
        <v>74</v>
      </c>
      <c r="AW618" t="s">
        <v>74</v>
      </c>
      <c r="AX618" t="s">
        <v>74</v>
      </c>
      <c r="AY618" t="s">
        <v>74</v>
      </c>
      <c r="AZ618" t="s">
        <v>74</v>
      </c>
      <c r="BA618" t="s">
        <v>74</v>
      </c>
      <c r="BB618">
        <v>525</v>
      </c>
      <c r="BC618">
        <v>548</v>
      </c>
      <c r="BD618" t="s">
        <v>74</v>
      </c>
      <c r="BE618" t="s">
        <v>74</v>
      </c>
      <c r="BF618" t="s">
        <v>74</v>
      </c>
      <c r="BG618" t="s">
        <v>74</v>
      </c>
      <c r="BH618" t="s">
        <v>74</v>
      </c>
      <c r="BI618">
        <v>24</v>
      </c>
      <c r="BJ618" t="s">
        <v>4318</v>
      </c>
      <c r="BK618" t="s">
        <v>8815</v>
      </c>
      <c r="BL618" t="s">
        <v>4319</v>
      </c>
      <c r="BM618" t="s">
        <v>11773</v>
      </c>
      <c r="BN618" t="s">
        <v>74</v>
      </c>
      <c r="BO618" t="s">
        <v>74</v>
      </c>
      <c r="BP618" t="s">
        <v>74</v>
      </c>
      <c r="BQ618" t="s">
        <v>74</v>
      </c>
      <c r="BR618" t="s">
        <v>104</v>
      </c>
      <c r="BS618" t="s">
        <v>11783</v>
      </c>
      <c r="BT618" t="str">
        <f>HYPERLINK("https%3A%2F%2Fwww.webofscience.com%2Fwos%2Fwoscc%2Ffull-record%2FWOS:000341833700026","View Full Record in Web of Science")</f>
        <v>View Full Record in Web of Science</v>
      </c>
    </row>
    <row r="619" spans="1:72" x14ac:dyDescent="0.15">
      <c r="A619" t="s">
        <v>8803</v>
      </c>
      <c r="B619" t="s">
        <v>11784</v>
      </c>
      <c r="C619" t="s">
        <v>74</v>
      </c>
      <c r="D619" t="s">
        <v>11761</v>
      </c>
      <c r="E619" t="s">
        <v>74</v>
      </c>
      <c r="F619" t="s">
        <v>11785</v>
      </c>
      <c r="G619" t="s">
        <v>74</v>
      </c>
      <c r="H619" t="s">
        <v>74</v>
      </c>
      <c r="I619" t="s">
        <v>11786</v>
      </c>
      <c r="J619" t="s">
        <v>11764</v>
      </c>
      <c r="K619" t="s">
        <v>74</v>
      </c>
      <c r="L619" t="s">
        <v>74</v>
      </c>
      <c r="M619" t="s">
        <v>78</v>
      </c>
      <c r="N619" t="s">
        <v>9862</v>
      </c>
      <c r="O619" t="s">
        <v>74</v>
      </c>
      <c r="P619" t="s">
        <v>74</v>
      </c>
      <c r="Q619" t="s">
        <v>74</v>
      </c>
      <c r="R619" t="s">
        <v>74</v>
      </c>
      <c r="S619" t="s">
        <v>74</v>
      </c>
      <c r="T619" t="s">
        <v>74</v>
      </c>
      <c r="U619" t="s">
        <v>11787</v>
      </c>
      <c r="V619" t="s">
        <v>74</v>
      </c>
      <c r="W619" t="s">
        <v>11788</v>
      </c>
      <c r="X619" t="s">
        <v>11789</v>
      </c>
      <c r="Y619" t="s">
        <v>11790</v>
      </c>
      <c r="Z619" t="s">
        <v>74</v>
      </c>
      <c r="AA619" t="s">
        <v>74</v>
      </c>
      <c r="AB619" t="s">
        <v>74</v>
      </c>
      <c r="AC619" t="s">
        <v>74</v>
      </c>
      <c r="AD619" t="s">
        <v>74</v>
      </c>
      <c r="AE619" t="s">
        <v>74</v>
      </c>
      <c r="AF619" t="s">
        <v>74</v>
      </c>
      <c r="AG619">
        <v>57</v>
      </c>
      <c r="AH619">
        <v>0</v>
      </c>
      <c r="AI619">
        <v>0</v>
      </c>
      <c r="AJ619">
        <v>0</v>
      </c>
      <c r="AK619">
        <v>2</v>
      </c>
      <c r="AL619" t="s">
        <v>11770</v>
      </c>
      <c r="AM619" t="s">
        <v>146</v>
      </c>
      <c r="AN619" t="s">
        <v>11771</v>
      </c>
      <c r="AO619" t="s">
        <v>74</v>
      </c>
      <c r="AP619" t="s">
        <v>74</v>
      </c>
      <c r="AQ619" t="s">
        <v>11772</v>
      </c>
      <c r="AR619" t="s">
        <v>74</v>
      </c>
      <c r="AS619" t="s">
        <v>74</v>
      </c>
      <c r="AT619" t="s">
        <v>74</v>
      </c>
      <c r="AU619">
        <v>2014</v>
      </c>
      <c r="AV619" t="s">
        <v>74</v>
      </c>
      <c r="AW619" t="s">
        <v>74</v>
      </c>
      <c r="AX619" t="s">
        <v>74</v>
      </c>
      <c r="AY619" t="s">
        <v>74</v>
      </c>
      <c r="AZ619" t="s">
        <v>74</v>
      </c>
      <c r="BA619" t="s">
        <v>74</v>
      </c>
      <c r="BB619">
        <v>549</v>
      </c>
      <c r="BC619">
        <v>574</v>
      </c>
      <c r="BD619" t="s">
        <v>74</v>
      </c>
      <c r="BE619" t="s">
        <v>74</v>
      </c>
      <c r="BF619" t="s">
        <v>74</v>
      </c>
      <c r="BG619" t="s">
        <v>74</v>
      </c>
      <c r="BH619" t="s">
        <v>74</v>
      </c>
      <c r="BI619">
        <v>26</v>
      </c>
      <c r="BJ619" t="s">
        <v>4318</v>
      </c>
      <c r="BK619" t="s">
        <v>8815</v>
      </c>
      <c r="BL619" t="s">
        <v>4319</v>
      </c>
      <c r="BM619" t="s">
        <v>11773</v>
      </c>
      <c r="BN619" t="s">
        <v>74</v>
      </c>
      <c r="BO619" t="s">
        <v>74</v>
      </c>
      <c r="BP619" t="s">
        <v>74</v>
      </c>
      <c r="BQ619" t="s">
        <v>74</v>
      </c>
      <c r="BR619" t="s">
        <v>104</v>
      </c>
      <c r="BS619" t="s">
        <v>11791</v>
      </c>
      <c r="BT619" t="str">
        <f>HYPERLINK("https%3A%2F%2Fwww.webofscience.com%2Fwos%2Fwoscc%2Ffull-record%2FWOS:000341833700027","View Full Record in Web of Science")</f>
        <v>View Full Record in Web of Science</v>
      </c>
    </row>
    <row r="620" spans="1:72" x14ac:dyDescent="0.15">
      <c r="A620" t="s">
        <v>72</v>
      </c>
      <c r="B620" t="s">
        <v>11792</v>
      </c>
      <c r="C620" t="s">
        <v>74</v>
      </c>
      <c r="D620" t="s">
        <v>74</v>
      </c>
      <c r="E620" t="s">
        <v>74</v>
      </c>
      <c r="F620" t="s">
        <v>11793</v>
      </c>
      <c r="G620" t="s">
        <v>74</v>
      </c>
      <c r="H620" t="s">
        <v>74</v>
      </c>
      <c r="I620" t="s">
        <v>11794</v>
      </c>
      <c r="J620" t="s">
        <v>10826</v>
      </c>
      <c r="K620" t="s">
        <v>74</v>
      </c>
      <c r="L620" t="s">
        <v>74</v>
      </c>
      <c r="M620" t="s">
        <v>78</v>
      </c>
      <c r="N620" t="s">
        <v>79</v>
      </c>
      <c r="O620" t="s">
        <v>74</v>
      </c>
      <c r="P620" t="s">
        <v>74</v>
      </c>
      <c r="Q620" t="s">
        <v>74</v>
      </c>
      <c r="R620" t="s">
        <v>74</v>
      </c>
      <c r="S620" t="s">
        <v>74</v>
      </c>
      <c r="T620" t="s">
        <v>11795</v>
      </c>
      <c r="U620" t="s">
        <v>11796</v>
      </c>
      <c r="V620" t="s">
        <v>11797</v>
      </c>
      <c r="W620" t="s">
        <v>11798</v>
      </c>
      <c r="X620" t="s">
        <v>11799</v>
      </c>
      <c r="Y620" t="s">
        <v>11800</v>
      </c>
      <c r="Z620" t="s">
        <v>11801</v>
      </c>
      <c r="AA620" t="s">
        <v>11802</v>
      </c>
      <c r="AB620" t="s">
        <v>11803</v>
      </c>
      <c r="AC620" t="s">
        <v>11804</v>
      </c>
      <c r="AD620" t="s">
        <v>11805</v>
      </c>
      <c r="AE620" t="s">
        <v>11806</v>
      </c>
      <c r="AF620" t="s">
        <v>74</v>
      </c>
      <c r="AG620">
        <v>63</v>
      </c>
      <c r="AH620">
        <v>54</v>
      </c>
      <c r="AI620">
        <v>57</v>
      </c>
      <c r="AJ620">
        <v>0</v>
      </c>
      <c r="AK620">
        <v>47</v>
      </c>
      <c r="AL620" t="s">
        <v>10310</v>
      </c>
      <c r="AM620" t="s">
        <v>10311</v>
      </c>
      <c r="AN620" t="s">
        <v>10312</v>
      </c>
      <c r="AO620" t="s">
        <v>10838</v>
      </c>
      <c r="AP620" t="s">
        <v>10839</v>
      </c>
      <c r="AQ620" t="s">
        <v>74</v>
      </c>
      <c r="AR620" t="s">
        <v>10840</v>
      </c>
      <c r="AS620" t="s">
        <v>10841</v>
      </c>
      <c r="AT620" t="s">
        <v>74</v>
      </c>
      <c r="AU620">
        <v>2014</v>
      </c>
      <c r="AV620">
        <v>510</v>
      </c>
      <c r="AW620" t="s">
        <v>74</v>
      </c>
      <c r="AX620" t="s">
        <v>74</v>
      </c>
      <c r="AY620" t="s">
        <v>74</v>
      </c>
      <c r="AZ620" t="s">
        <v>74</v>
      </c>
      <c r="BA620" t="s">
        <v>74</v>
      </c>
      <c r="BB620">
        <v>1</v>
      </c>
      <c r="BC620">
        <v>13</v>
      </c>
      <c r="BD620" t="s">
        <v>74</v>
      </c>
      <c r="BE620" t="s">
        <v>11807</v>
      </c>
      <c r="BF620" t="str">
        <f>HYPERLINK("http://dx.doi.org/10.3354/meps10923","http://dx.doi.org/10.3354/meps10923")</f>
        <v>http://dx.doi.org/10.3354/meps10923</v>
      </c>
      <c r="BG620" t="s">
        <v>74</v>
      </c>
      <c r="BH620" t="s">
        <v>74</v>
      </c>
      <c r="BI620">
        <v>13</v>
      </c>
      <c r="BJ620" t="s">
        <v>10843</v>
      </c>
      <c r="BK620" t="s">
        <v>101</v>
      </c>
      <c r="BL620" t="s">
        <v>10844</v>
      </c>
      <c r="BM620" t="s">
        <v>11808</v>
      </c>
      <c r="BN620" t="s">
        <v>74</v>
      </c>
      <c r="BO620" t="s">
        <v>2402</v>
      </c>
      <c r="BP620" t="s">
        <v>74</v>
      </c>
      <c r="BQ620" t="s">
        <v>74</v>
      </c>
      <c r="BR620" t="s">
        <v>104</v>
      </c>
      <c r="BS620" t="s">
        <v>11809</v>
      </c>
      <c r="BT620" t="str">
        <f>HYPERLINK("https%3A%2F%2Fwww.webofscience.com%2Fwos%2Fwoscc%2Ffull-record%2FWOS:000342457800001","View Full Record in Web of Science")</f>
        <v>View Full Record in Web of Science</v>
      </c>
    </row>
    <row r="621" spans="1:72" x14ac:dyDescent="0.15">
      <c r="A621" t="s">
        <v>72</v>
      </c>
      <c r="B621" t="s">
        <v>11810</v>
      </c>
      <c r="C621" t="s">
        <v>74</v>
      </c>
      <c r="D621" t="s">
        <v>74</v>
      </c>
      <c r="E621" t="s">
        <v>74</v>
      </c>
      <c r="F621" t="s">
        <v>11811</v>
      </c>
      <c r="G621" t="s">
        <v>74</v>
      </c>
      <c r="H621" t="s">
        <v>74</v>
      </c>
      <c r="I621" t="s">
        <v>11812</v>
      </c>
      <c r="J621" t="s">
        <v>11283</v>
      </c>
      <c r="K621" t="s">
        <v>74</v>
      </c>
      <c r="L621" t="s">
        <v>74</v>
      </c>
      <c r="M621" t="s">
        <v>78</v>
      </c>
      <c r="N621" t="s">
        <v>79</v>
      </c>
      <c r="O621" t="s">
        <v>74</v>
      </c>
      <c r="P621" t="s">
        <v>74</v>
      </c>
      <c r="Q621" t="s">
        <v>74</v>
      </c>
      <c r="R621" t="s">
        <v>74</v>
      </c>
      <c r="S621" t="s">
        <v>74</v>
      </c>
      <c r="T621" t="s">
        <v>74</v>
      </c>
      <c r="U621" t="s">
        <v>11813</v>
      </c>
      <c r="V621" t="s">
        <v>11814</v>
      </c>
      <c r="W621" t="s">
        <v>11815</v>
      </c>
      <c r="X621" t="s">
        <v>11816</v>
      </c>
      <c r="Y621" t="s">
        <v>11817</v>
      </c>
      <c r="Z621" t="s">
        <v>11818</v>
      </c>
      <c r="AA621" t="s">
        <v>11819</v>
      </c>
      <c r="AB621" t="s">
        <v>11820</v>
      </c>
      <c r="AC621" t="s">
        <v>74</v>
      </c>
      <c r="AD621" t="s">
        <v>74</v>
      </c>
      <c r="AE621" t="s">
        <v>74</v>
      </c>
      <c r="AF621" t="s">
        <v>74</v>
      </c>
      <c r="AG621">
        <v>65</v>
      </c>
      <c r="AH621">
        <v>22</v>
      </c>
      <c r="AI621">
        <v>25</v>
      </c>
      <c r="AJ621">
        <v>0</v>
      </c>
      <c r="AK621">
        <v>17</v>
      </c>
      <c r="AL621" t="s">
        <v>1463</v>
      </c>
      <c r="AM621" t="s">
        <v>1464</v>
      </c>
      <c r="AN621" t="s">
        <v>1465</v>
      </c>
      <c r="AO621" t="s">
        <v>11295</v>
      </c>
      <c r="AP621" t="s">
        <v>11296</v>
      </c>
      <c r="AQ621" t="s">
        <v>74</v>
      </c>
      <c r="AR621" t="s">
        <v>11297</v>
      </c>
      <c r="AS621" t="s">
        <v>11298</v>
      </c>
      <c r="AT621" t="s">
        <v>74</v>
      </c>
      <c r="AU621">
        <v>2014</v>
      </c>
      <c r="AV621">
        <v>14</v>
      </c>
      <c r="AW621">
        <v>16</v>
      </c>
      <c r="AX621" t="s">
        <v>74</v>
      </c>
      <c r="AY621" t="s">
        <v>74</v>
      </c>
      <c r="AZ621" t="s">
        <v>74</v>
      </c>
      <c r="BA621" t="s">
        <v>74</v>
      </c>
      <c r="BB621">
        <v>8461</v>
      </c>
      <c r="BC621">
        <v>8482</v>
      </c>
      <c r="BD621" t="s">
        <v>74</v>
      </c>
      <c r="BE621" t="s">
        <v>11821</v>
      </c>
      <c r="BF621" t="str">
        <f>HYPERLINK("http://dx.doi.org/10.5194/acp-14-8461-2014","http://dx.doi.org/10.5194/acp-14-8461-2014")</f>
        <v>http://dx.doi.org/10.5194/acp-14-8461-2014</v>
      </c>
      <c r="BG621" t="s">
        <v>74</v>
      </c>
      <c r="BH621" t="s">
        <v>74</v>
      </c>
      <c r="BI621">
        <v>22</v>
      </c>
      <c r="BJ621" t="s">
        <v>3817</v>
      </c>
      <c r="BK621" t="s">
        <v>101</v>
      </c>
      <c r="BL621" t="s">
        <v>1081</v>
      </c>
      <c r="BM621" t="s">
        <v>11822</v>
      </c>
      <c r="BN621" t="s">
        <v>74</v>
      </c>
      <c r="BO621" t="s">
        <v>9228</v>
      </c>
      <c r="BP621" t="s">
        <v>74</v>
      </c>
      <c r="BQ621" t="s">
        <v>74</v>
      </c>
      <c r="BR621" t="s">
        <v>104</v>
      </c>
      <c r="BS621" t="s">
        <v>11823</v>
      </c>
      <c r="BT621" t="str">
        <f>HYPERLINK("https%3A%2F%2Fwww.webofscience.com%2Fwos%2Fwoscc%2Ffull-record%2FWOS:000341991600015","View Full Record in Web of Science")</f>
        <v>View Full Record in Web of Science</v>
      </c>
    </row>
    <row r="622" spans="1:72" x14ac:dyDescent="0.15">
      <c r="A622" t="s">
        <v>72</v>
      </c>
      <c r="B622" t="s">
        <v>11824</v>
      </c>
      <c r="C622" t="s">
        <v>74</v>
      </c>
      <c r="D622" t="s">
        <v>74</v>
      </c>
      <c r="E622" t="s">
        <v>74</v>
      </c>
      <c r="F622" t="s">
        <v>11825</v>
      </c>
      <c r="G622" t="s">
        <v>74</v>
      </c>
      <c r="H622" t="s">
        <v>74</v>
      </c>
      <c r="I622" t="s">
        <v>11826</v>
      </c>
      <c r="J622" t="s">
        <v>11283</v>
      </c>
      <c r="K622" t="s">
        <v>74</v>
      </c>
      <c r="L622" t="s">
        <v>74</v>
      </c>
      <c r="M622" t="s">
        <v>78</v>
      </c>
      <c r="N622" t="s">
        <v>2208</v>
      </c>
      <c r="O622" t="s">
        <v>74</v>
      </c>
      <c r="P622" t="s">
        <v>74</v>
      </c>
      <c r="Q622" t="s">
        <v>74</v>
      </c>
      <c r="R622" t="s">
        <v>74</v>
      </c>
      <c r="S622" t="s">
        <v>74</v>
      </c>
      <c r="T622" t="s">
        <v>74</v>
      </c>
      <c r="U622" t="s">
        <v>74</v>
      </c>
      <c r="V622" t="s">
        <v>74</v>
      </c>
      <c r="W622" t="s">
        <v>11827</v>
      </c>
      <c r="X622" t="s">
        <v>11828</v>
      </c>
      <c r="Y622" t="s">
        <v>11829</v>
      </c>
      <c r="Z622" t="s">
        <v>11830</v>
      </c>
      <c r="AA622" t="s">
        <v>11831</v>
      </c>
      <c r="AB622" t="s">
        <v>11832</v>
      </c>
      <c r="AC622" t="s">
        <v>74</v>
      </c>
      <c r="AD622" t="s">
        <v>74</v>
      </c>
      <c r="AE622" t="s">
        <v>74</v>
      </c>
      <c r="AF622" t="s">
        <v>74</v>
      </c>
      <c r="AG622">
        <v>1</v>
      </c>
      <c r="AH622">
        <v>1</v>
      </c>
      <c r="AI622">
        <v>1</v>
      </c>
      <c r="AJ622">
        <v>0</v>
      </c>
      <c r="AK622">
        <v>8</v>
      </c>
      <c r="AL622" t="s">
        <v>1463</v>
      </c>
      <c r="AM622" t="s">
        <v>1464</v>
      </c>
      <c r="AN622" t="s">
        <v>1465</v>
      </c>
      <c r="AO622" t="s">
        <v>11295</v>
      </c>
      <c r="AP622" t="s">
        <v>11296</v>
      </c>
      <c r="AQ622" t="s">
        <v>74</v>
      </c>
      <c r="AR622" t="s">
        <v>11297</v>
      </c>
      <c r="AS622" t="s">
        <v>11298</v>
      </c>
      <c r="AT622" t="s">
        <v>74</v>
      </c>
      <c r="AU622">
        <v>2014</v>
      </c>
      <c r="AV622">
        <v>14</v>
      </c>
      <c r="AW622">
        <v>18</v>
      </c>
      <c r="AX622" t="s">
        <v>74</v>
      </c>
      <c r="AY622" t="s">
        <v>74</v>
      </c>
      <c r="AZ622" t="s">
        <v>74</v>
      </c>
      <c r="BA622" t="s">
        <v>74</v>
      </c>
      <c r="BB622">
        <v>9511</v>
      </c>
      <c r="BC622">
        <v>9511</v>
      </c>
      <c r="BD622" t="s">
        <v>74</v>
      </c>
      <c r="BE622" t="s">
        <v>11833</v>
      </c>
      <c r="BF622" t="str">
        <f>HYPERLINK("http://dx.doi.org/10.5194/acp-14-9511-2014","http://dx.doi.org/10.5194/acp-14-9511-2014")</f>
        <v>http://dx.doi.org/10.5194/acp-14-9511-2014</v>
      </c>
      <c r="BG622" t="s">
        <v>74</v>
      </c>
      <c r="BH622" t="s">
        <v>74</v>
      </c>
      <c r="BI622">
        <v>1</v>
      </c>
      <c r="BJ622" t="s">
        <v>3817</v>
      </c>
      <c r="BK622" t="s">
        <v>101</v>
      </c>
      <c r="BL622" t="s">
        <v>1081</v>
      </c>
      <c r="BM622" t="s">
        <v>11834</v>
      </c>
      <c r="BN622" t="s">
        <v>74</v>
      </c>
      <c r="BO622" t="s">
        <v>4013</v>
      </c>
      <c r="BP622" t="s">
        <v>74</v>
      </c>
      <c r="BQ622" t="s">
        <v>74</v>
      </c>
      <c r="BR622" t="s">
        <v>104</v>
      </c>
      <c r="BS622" t="s">
        <v>11835</v>
      </c>
      <c r="BT622" t="str">
        <f>HYPERLINK("https%3A%2F%2Fwww.webofscience.com%2Fwos%2Fwoscc%2Ffull-record%2FWOS:000341993100003","View Full Record in Web of Science")</f>
        <v>View Full Record in Web of Science</v>
      </c>
    </row>
    <row r="623" spans="1:72" x14ac:dyDescent="0.15">
      <c r="A623" t="s">
        <v>72</v>
      </c>
      <c r="B623" t="s">
        <v>11836</v>
      </c>
      <c r="C623" t="s">
        <v>74</v>
      </c>
      <c r="D623" t="s">
        <v>74</v>
      </c>
      <c r="E623" t="s">
        <v>74</v>
      </c>
      <c r="F623" t="s">
        <v>11837</v>
      </c>
      <c r="G623" t="s">
        <v>74</v>
      </c>
      <c r="H623" t="s">
        <v>74</v>
      </c>
      <c r="I623" t="s">
        <v>11838</v>
      </c>
      <c r="J623" t="s">
        <v>11839</v>
      </c>
      <c r="K623" t="s">
        <v>74</v>
      </c>
      <c r="L623" t="s">
        <v>74</v>
      </c>
      <c r="M623" t="s">
        <v>78</v>
      </c>
      <c r="N623" t="s">
        <v>79</v>
      </c>
      <c r="O623" t="s">
        <v>74</v>
      </c>
      <c r="P623" t="s">
        <v>74</v>
      </c>
      <c r="Q623" t="s">
        <v>74</v>
      </c>
      <c r="R623" t="s">
        <v>74</v>
      </c>
      <c r="S623" t="s">
        <v>74</v>
      </c>
      <c r="T623" t="s">
        <v>11840</v>
      </c>
      <c r="U623" t="s">
        <v>11841</v>
      </c>
      <c r="V623" t="s">
        <v>11842</v>
      </c>
      <c r="W623" t="s">
        <v>11843</v>
      </c>
      <c r="X623" t="s">
        <v>11844</v>
      </c>
      <c r="Y623" t="s">
        <v>11845</v>
      </c>
      <c r="Z623" t="s">
        <v>11846</v>
      </c>
      <c r="AA623" t="s">
        <v>11847</v>
      </c>
      <c r="AB623" t="s">
        <v>11848</v>
      </c>
      <c r="AC623" t="s">
        <v>11849</v>
      </c>
      <c r="AD623" t="s">
        <v>11850</v>
      </c>
      <c r="AE623" t="s">
        <v>11851</v>
      </c>
      <c r="AF623" t="s">
        <v>74</v>
      </c>
      <c r="AG623">
        <v>43</v>
      </c>
      <c r="AH623">
        <v>30</v>
      </c>
      <c r="AI623">
        <v>36</v>
      </c>
      <c r="AJ623">
        <v>0</v>
      </c>
      <c r="AK623">
        <v>24</v>
      </c>
      <c r="AL623" t="s">
        <v>11852</v>
      </c>
      <c r="AM623" t="s">
        <v>704</v>
      </c>
      <c r="AN623" t="s">
        <v>11853</v>
      </c>
      <c r="AO623" t="s">
        <v>11854</v>
      </c>
      <c r="AP623" t="s">
        <v>11855</v>
      </c>
      <c r="AQ623" t="s">
        <v>74</v>
      </c>
      <c r="AR623" t="s">
        <v>11856</v>
      </c>
      <c r="AS623" t="s">
        <v>11857</v>
      </c>
      <c r="AT623" t="s">
        <v>74</v>
      </c>
      <c r="AU623">
        <v>2014</v>
      </c>
      <c r="AV623">
        <v>34</v>
      </c>
      <c r="AW623" t="s">
        <v>74</v>
      </c>
      <c r="AX623">
        <v>4</v>
      </c>
      <c r="AY623" t="s">
        <v>74</v>
      </c>
      <c r="AZ623" t="s">
        <v>74</v>
      </c>
      <c r="BA623" t="s">
        <v>74</v>
      </c>
      <c r="BB623">
        <v>357</v>
      </c>
      <c r="BC623" t="s">
        <v>11858</v>
      </c>
      <c r="BD623" t="s">
        <v>11859</v>
      </c>
      <c r="BE623" t="s">
        <v>11860</v>
      </c>
      <c r="BF623" t="str">
        <f>HYPERLINK("http://dx.doi.org/10.1042/BSR20140083","http://dx.doi.org/10.1042/BSR20140083")</f>
        <v>http://dx.doi.org/10.1042/BSR20140083</v>
      </c>
      <c r="BG623" t="s">
        <v>74</v>
      </c>
      <c r="BH623" t="s">
        <v>74</v>
      </c>
      <c r="BI623">
        <v>14</v>
      </c>
      <c r="BJ623" t="s">
        <v>11861</v>
      </c>
      <c r="BK623" t="s">
        <v>101</v>
      </c>
      <c r="BL623" t="s">
        <v>11861</v>
      </c>
      <c r="BM623" t="s">
        <v>11862</v>
      </c>
      <c r="BN623">
        <v>24892750</v>
      </c>
      <c r="BO623" t="s">
        <v>1270</v>
      </c>
      <c r="BP623" t="s">
        <v>74</v>
      </c>
      <c r="BQ623" t="s">
        <v>74</v>
      </c>
      <c r="BR623" t="s">
        <v>104</v>
      </c>
      <c r="BS623" t="s">
        <v>11863</v>
      </c>
      <c r="BT623" t="str">
        <f>HYPERLINK("https%3A%2F%2Fwww.webofscience.com%2Fwos%2Fwoscc%2Ffull-record%2FWOS:000341943100005","View Full Record in Web of Science")</f>
        <v>View Full Record in Web of Science</v>
      </c>
    </row>
    <row r="624" spans="1:72" x14ac:dyDescent="0.15">
      <c r="A624" t="s">
        <v>72</v>
      </c>
      <c r="B624" t="s">
        <v>11864</v>
      </c>
      <c r="C624" t="s">
        <v>74</v>
      </c>
      <c r="D624" t="s">
        <v>74</v>
      </c>
      <c r="E624" t="s">
        <v>74</v>
      </c>
      <c r="F624" t="s">
        <v>11865</v>
      </c>
      <c r="G624" t="s">
        <v>74</v>
      </c>
      <c r="H624" t="s">
        <v>74</v>
      </c>
      <c r="I624" t="s">
        <v>11866</v>
      </c>
      <c r="J624" t="s">
        <v>10449</v>
      </c>
      <c r="K624" t="s">
        <v>74</v>
      </c>
      <c r="L624" t="s">
        <v>74</v>
      </c>
      <c r="M624" t="s">
        <v>78</v>
      </c>
      <c r="N624" t="s">
        <v>79</v>
      </c>
      <c r="O624" t="s">
        <v>74</v>
      </c>
      <c r="P624" t="s">
        <v>74</v>
      </c>
      <c r="Q624" t="s">
        <v>74</v>
      </c>
      <c r="R624" t="s">
        <v>74</v>
      </c>
      <c r="S624" t="s">
        <v>74</v>
      </c>
      <c r="T624" t="s">
        <v>74</v>
      </c>
      <c r="U624" t="s">
        <v>11867</v>
      </c>
      <c r="V624" t="s">
        <v>11868</v>
      </c>
      <c r="W624" t="s">
        <v>11869</v>
      </c>
      <c r="X624" t="s">
        <v>11870</v>
      </c>
      <c r="Y624" t="s">
        <v>11871</v>
      </c>
      <c r="Z624" t="s">
        <v>11872</v>
      </c>
      <c r="AA624" t="s">
        <v>11873</v>
      </c>
      <c r="AB624" t="s">
        <v>11874</v>
      </c>
      <c r="AC624" t="s">
        <v>11875</v>
      </c>
      <c r="AD624" t="s">
        <v>11876</v>
      </c>
      <c r="AE624" t="s">
        <v>11877</v>
      </c>
      <c r="AF624" t="s">
        <v>74</v>
      </c>
      <c r="AG624">
        <v>48</v>
      </c>
      <c r="AH624">
        <v>27</v>
      </c>
      <c r="AI624">
        <v>31</v>
      </c>
      <c r="AJ624">
        <v>0</v>
      </c>
      <c r="AK624">
        <v>19</v>
      </c>
      <c r="AL624" t="s">
        <v>1463</v>
      </c>
      <c r="AM624" t="s">
        <v>1464</v>
      </c>
      <c r="AN624" t="s">
        <v>1465</v>
      </c>
      <c r="AO624" t="s">
        <v>10461</v>
      </c>
      <c r="AP624" t="s">
        <v>10462</v>
      </c>
      <c r="AQ624" t="s">
        <v>74</v>
      </c>
      <c r="AR624" t="s">
        <v>10449</v>
      </c>
      <c r="AS624" t="s">
        <v>10463</v>
      </c>
      <c r="AT624" t="s">
        <v>74</v>
      </c>
      <c r="AU624">
        <v>2014</v>
      </c>
      <c r="AV624">
        <v>8</v>
      </c>
      <c r="AW624">
        <v>4</v>
      </c>
      <c r="AX624" t="s">
        <v>74</v>
      </c>
      <c r="AY624" t="s">
        <v>74</v>
      </c>
      <c r="AZ624" t="s">
        <v>74</v>
      </c>
      <c r="BA624" t="s">
        <v>74</v>
      </c>
      <c r="BB624">
        <v>1205</v>
      </c>
      <c r="BC624">
        <v>1215</v>
      </c>
      <c r="BD624" t="s">
        <v>74</v>
      </c>
      <c r="BE624" t="s">
        <v>11878</v>
      </c>
      <c r="BF624" t="str">
        <f>HYPERLINK("http://dx.doi.org/10.5194/tc-8-1205-2014","http://dx.doi.org/10.5194/tc-8-1205-2014")</f>
        <v>http://dx.doi.org/10.5194/tc-8-1205-2014</v>
      </c>
      <c r="BG624" t="s">
        <v>74</v>
      </c>
      <c r="BH624" t="s">
        <v>74</v>
      </c>
      <c r="BI624">
        <v>11</v>
      </c>
      <c r="BJ624" t="s">
        <v>1415</v>
      </c>
      <c r="BK624" t="s">
        <v>101</v>
      </c>
      <c r="BL624" t="s">
        <v>1416</v>
      </c>
      <c r="BM624" t="s">
        <v>11879</v>
      </c>
      <c r="BN624" t="s">
        <v>74</v>
      </c>
      <c r="BO624" t="s">
        <v>9228</v>
      </c>
      <c r="BP624" t="s">
        <v>74</v>
      </c>
      <c r="BQ624" t="s">
        <v>74</v>
      </c>
      <c r="BR624" t="s">
        <v>104</v>
      </c>
      <c r="BS624" t="s">
        <v>11880</v>
      </c>
      <c r="BT624" t="str">
        <f>HYPERLINK("https%3A%2F%2Fwww.webofscience.com%2Fwos%2Fwoscc%2Ffull-record%2FWOS:000341622700007","View Full Record in Web of Science")</f>
        <v>View Full Record in Web of Science</v>
      </c>
    </row>
    <row r="625" spans="1:72" x14ac:dyDescent="0.15">
      <c r="A625" t="s">
        <v>72</v>
      </c>
      <c r="B625" t="s">
        <v>11881</v>
      </c>
      <c r="C625" t="s">
        <v>74</v>
      </c>
      <c r="D625" t="s">
        <v>74</v>
      </c>
      <c r="E625" t="s">
        <v>74</v>
      </c>
      <c r="F625" t="s">
        <v>11882</v>
      </c>
      <c r="G625" t="s">
        <v>74</v>
      </c>
      <c r="H625" t="s">
        <v>74</v>
      </c>
      <c r="I625" t="s">
        <v>11883</v>
      </c>
      <c r="J625" t="s">
        <v>10449</v>
      </c>
      <c r="K625" t="s">
        <v>74</v>
      </c>
      <c r="L625" t="s">
        <v>74</v>
      </c>
      <c r="M625" t="s">
        <v>78</v>
      </c>
      <c r="N625" t="s">
        <v>79</v>
      </c>
      <c r="O625" t="s">
        <v>74</v>
      </c>
      <c r="P625" t="s">
        <v>74</v>
      </c>
      <c r="Q625" t="s">
        <v>74</v>
      </c>
      <c r="R625" t="s">
        <v>74</v>
      </c>
      <c r="S625" t="s">
        <v>74</v>
      </c>
      <c r="T625" t="s">
        <v>74</v>
      </c>
      <c r="U625" t="s">
        <v>11884</v>
      </c>
      <c r="V625" t="s">
        <v>11885</v>
      </c>
      <c r="W625" t="s">
        <v>11886</v>
      </c>
      <c r="X625" t="s">
        <v>11887</v>
      </c>
      <c r="Y625" t="s">
        <v>11888</v>
      </c>
      <c r="Z625" t="s">
        <v>11889</v>
      </c>
      <c r="AA625" t="s">
        <v>11890</v>
      </c>
      <c r="AB625" t="s">
        <v>11891</v>
      </c>
      <c r="AC625" t="s">
        <v>74</v>
      </c>
      <c r="AD625" t="s">
        <v>74</v>
      </c>
      <c r="AE625" t="s">
        <v>74</v>
      </c>
      <c r="AF625" t="s">
        <v>74</v>
      </c>
      <c r="AG625">
        <v>53</v>
      </c>
      <c r="AH625">
        <v>47</v>
      </c>
      <c r="AI625">
        <v>50</v>
      </c>
      <c r="AJ625">
        <v>1</v>
      </c>
      <c r="AK625">
        <v>14</v>
      </c>
      <c r="AL625" t="s">
        <v>1463</v>
      </c>
      <c r="AM625" t="s">
        <v>1464</v>
      </c>
      <c r="AN625" t="s">
        <v>1465</v>
      </c>
      <c r="AO625" t="s">
        <v>10461</v>
      </c>
      <c r="AP625" t="s">
        <v>10462</v>
      </c>
      <c r="AQ625" t="s">
        <v>74</v>
      </c>
      <c r="AR625" t="s">
        <v>10449</v>
      </c>
      <c r="AS625" t="s">
        <v>10463</v>
      </c>
      <c r="AT625" t="s">
        <v>74</v>
      </c>
      <c r="AU625">
        <v>2014</v>
      </c>
      <c r="AV625">
        <v>8</v>
      </c>
      <c r="AW625">
        <v>4</v>
      </c>
      <c r="AX625" t="s">
        <v>74</v>
      </c>
      <c r="AY625" t="s">
        <v>74</v>
      </c>
      <c r="AZ625" t="s">
        <v>74</v>
      </c>
      <c r="BA625" t="s">
        <v>74</v>
      </c>
      <c r="BB625">
        <v>1261</v>
      </c>
      <c r="BC625">
        <v>1273</v>
      </c>
      <c r="BD625" t="s">
        <v>74</v>
      </c>
      <c r="BE625" t="s">
        <v>11892</v>
      </c>
      <c r="BF625" t="str">
        <f>HYPERLINK("http://dx.doi.org/10.5194/tc-8-1261-2014","http://dx.doi.org/10.5194/tc-8-1261-2014")</f>
        <v>http://dx.doi.org/10.5194/tc-8-1261-2014</v>
      </c>
      <c r="BG625" t="s">
        <v>74</v>
      </c>
      <c r="BH625" t="s">
        <v>74</v>
      </c>
      <c r="BI625">
        <v>13</v>
      </c>
      <c r="BJ625" t="s">
        <v>1415</v>
      </c>
      <c r="BK625" t="s">
        <v>101</v>
      </c>
      <c r="BL625" t="s">
        <v>1416</v>
      </c>
      <c r="BM625" t="s">
        <v>11879</v>
      </c>
      <c r="BN625" t="s">
        <v>74</v>
      </c>
      <c r="BO625" t="s">
        <v>1933</v>
      </c>
      <c r="BP625" t="s">
        <v>74</v>
      </c>
      <c r="BQ625" t="s">
        <v>74</v>
      </c>
      <c r="BR625" t="s">
        <v>104</v>
      </c>
      <c r="BS625" t="s">
        <v>11893</v>
      </c>
      <c r="BT625" t="str">
        <f>HYPERLINK("https%3A%2F%2Fwww.webofscience.com%2Fwos%2Fwoscc%2Ffull-record%2FWOS:000341622700010","View Full Record in Web of Science")</f>
        <v>View Full Record in Web of Science</v>
      </c>
    </row>
    <row r="626" spans="1:72" x14ac:dyDescent="0.15">
      <c r="A626" t="s">
        <v>72</v>
      </c>
      <c r="B626" t="s">
        <v>11894</v>
      </c>
      <c r="C626" t="s">
        <v>74</v>
      </c>
      <c r="D626" t="s">
        <v>74</v>
      </c>
      <c r="E626" t="s">
        <v>74</v>
      </c>
      <c r="F626" t="s">
        <v>11895</v>
      </c>
      <c r="G626" t="s">
        <v>74</v>
      </c>
      <c r="H626" t="s">
        <v>74</v>
      </c>
      <c r="I626" t="s">
        <v>11896</v>
      </c>
      <c r="J626" t="s">
        <v>10449</v>
      </c>
      <c r="K626" t="s">
        <v>74</v>
      </c>
      <c r="L626" t="s">
        <v>74</v>
      </c>
      <c r="M626" t="s">
        <v>78</v>
      </c>
      <c r="N626" t="s">
        <v>79</v>
      </c>
      <c r="O626" t="s">
        <v>74</v>
      </c>
      <c r="P626" t="s">
        <v>74</v>
      </c>
      <c r="Q626" t="s">
        <v>74</v>
      </c>
      <c r="R626" t="s">
        <v>74</v>
      </c>
      <c r="S626" t="s">
        <v>74</v>
      </c>
      <c r="T626" t="s">
        <v>74</v>
      </c>
      <c r="U626" t="s">
        <v>11897</v>
      </c>
      <c r="V626" t="s">
        <v>11898</v>
      </c>
      <c r="W626" t="s">
        <v>11899</v>
      </c>
      <c r="X626" t="s">
        <v>11900</v>
      </c>
      <c r="Y626" t="s">
        <v>11901</v>
      </c>
      <c r="Z626" t="s">
        <v>11902</v>
      </c>
      <c r="AA626" t="s">
        <v>11903</v>
      </c>
      <c r="AB626" t="s">
        <v>11904</v>
      </c>
      <c r="AC626" t="s">
        <v>11905</v>
      </c>
      <c r="AD626" t="s">
        <v>11906</v>
      </c>
      <c r="AE626" t="s">
        <v>11907</v>
      </c>
      <c r="AF626" t="s">
        <v>74</v>
      </c>
      <c r="AG626">
        <v>44</v>
      </c>
      <c r="AH626">
        <v>22</v>
      </c>
      <c r="AI626">
        <v>27</v>
      </c>
      <c r="AJ626">
        <v>1</v>
      </c>
      <c r="AK626">
        <v>25</v>
      </c>
      <c r="AL626" t="s">
        <v>1463</v>
      </c>
      <c r="AM626" t="s">
        <v>1464</v>
      </c>
      <c r="AN626" t="s">
        <v>1465</v>
      </c>
      <c r="AO626" t="s">
        <v>10461</v>
      </c>
      <c r="AP626" t="s">
        <v>10462</v>
      </c>
      <c r="AQ626" t="s">
        <v>74</v>
      </c>
      <c r="AR626" t="s">
        <v>10449</v>
      </c>
      <c r="AS626" t="s">
        <v>10463</v>
      </c>
      <c r="AT626" t="s">
        <v>74</v>
      </c>
      <c r="AU626">
        <v>2014</v>
      </c>
      <c r="AV626">
        <v>8</v>
      </c>
      <c r="AW626">
        <v>4</v>
      </c>
      <c r="AX626" t="s">
        <v>74</v>
      </c>
      <c r="AY626" t="s">
        <v>74</v>
      </c>
      <c r="AZ626" t="s">
        <v>74</v>
      </c>
      <c r="BA626" t="s">
        <v>74</v>
      </c>
      <c r="BB626">
        <v>1561</v>
      </c>
      <c r="BC626">
        <v>1576</v>
      </c>
      <c r="BD626" t="s">
        <v>74</v>
      </c>
      <c r="BE626" t="s">
        <v>11908</v>
      </c>
      <c r="BF626" t="str">
        <f>HYPERLINK("http://dx.doi.org/10.5194/tc-8-1561-2014","http://dx.doi.org/10.5194/tc-8-1561-2014")</f>
        <v>http://dx.doi.org/10.5194/tc-8-1561-2014</v>
      </c>
      <c r="BG626" t="s">
        <v>74</v>
      </c>
      <c r="BH626" t="s">
        <v>74</v>
      </c>
      <c r="BI626">
        <v>16</v>
      </c>
      <c r="BJ626" t="s">
        <v>1415</v>
      </c>
      <c r="BK626" t="s">
        <v>101</v>
      </c>
      <c r="BL626" t="s">
        <v>1416</v>
      </c>
      <c r="BM626" t="s">
        <v>11879</v>
      </c>
      <c r="BN626" t="s">
        <v>74</v>
      </c>
      <c r="BO626" t="s">
        <v>11909</v>
      </c>
      <c r="BP626" t="s">
        <v>74</v>
      </c>
      <c r="BQ626" t="s">
        <v>74</v>
      </c>
      <c r="BR626" t="s">
        <v>104</v>
      </c>
      <c r="BS626" t="s">
        <v>11910</v>
      </c>
      <c r="BT626" t="str">
        <f>HYPERLINK("https%3A%2F%2Fwww.webofscience.com%2Fwos%2Fwoscc%2Ffull-record%2FWOS:000341622700031","View Full Record in Web of Science")</f>
        <v>View Full Record in Web of Science</v>
      </c>
    </row>
    <row r="627" spans="1:72" x14ac:dyDescent="0.15">
      <c r="A627" t="s">
        <v>72</v>
      </c>
      <c r="B627" t="s">
        <v>11911</v>
      </c>
      <c r="C627" t="s">
        <v>74</v>
      </c>
      <c r="D627" t="s">
        <v>74</v>
      </c>
      <c r="E627" t="s">
        <v>74</v>
      </c>
      <c r="F627" t="s">
        <v>11912</v>
      </c>
      <c r="G627" t="s">
        <v>74</v>
      </c>
      <c r="H627" t="s">
        <v>74</v>
      </c>
      <c r="I627" t="s">
        <v>11913</v>
      </c>
      <c r="J627" t="s">
        <v>10582</v>
      </c>
      <c r="K627" t="s">
        <v>74</v>
      </c>
      <c r="L627" t="s">
        <v>74</v>
      </c>
      <c r="M627" t="s">
        <v>78</v>
      </c>
      <c r="N627" t="s">
        <v>79</v>
      </c>
      <c r="O627" t="s">
        <v>74</v>
      </c>
      <c r="P627" t="s">
        <v>74</v>
      </c>
      <c r="Q627" t="s">
        <v>74</v>
      </c>
      <c r="R627" t="s">
        <v>74</v>
      </c>
      <c r="S627" t="s">
        <v>74</v>
      </c>
      <c r="T627" t="s">
        <v>11914</v>
      </c>
      <c r="U627" t="s">
        <v>11915</v>
      </c>
      <c r="V627" t="s">
        <v>11916</v>
      </c>
      <c r="W627" t="s">
        <v>11917</v>
      </c>
      <c r="X627" t="s">
        <v>11918</v>
      </c>
      <c r="Y627" t="s">
        <v>11919</v>
      </c>
      <c r="Z627" t="s">
        <v>11920</v>
      </c>
      <c r="AA627" t="s">
        <v>11921</v>
      </c>
      <c r="AB627" t="s">
        <v>11922</v>
      </c>
      <c r="AC627" t="s">
        <v>11923</v>
      </c>
      <c r="AD627" t="s">
        <v>11924</v>
      </c>
      <c r="AE627" t="s">
        <v>11925</v>
      </c>
      <c r="AF627" t="s">
        <v>74</v>
      </c>
      <c r="AG627">
        <v>57</v>
      </c>
      <c r="AH627">
        <v>20</v>
      </c>
      <c r="AI627">
        <v>22</v>
      </c>
      <c r="AJ627">
        <v>2</v>
      </c>
      <c r="AK627">
        <v>39</v>
      </c>
      <c r="AL627" t="s">
        <v>11416</v>
      </c>
      <c r="AM627" t="s">
        <v>11417</v>
      </c>
      <c r="AN627" t="s">
        <v>11418</v>
      </c>
      <c r="AO627" t="s">
        <v>10595</v>
      </c>
      <c r="AP627" t="s">
        <v>10596</v>
      </c>
      <c r="AQ627" t="s">
        <v>74</v>
      </c>
      <c r="AR627" t="s">
        <v>11926</v>
      </c>
      <c r="AS627" t="s">
        <v>10598</v>
      </c>
      <c r="AT627" t="s">
        <v>74</v>
      </c>
      <c r="AU627">
        <v>2014</v>
      </c>
      <c r="AV627">
        <v>33</v>
      </c>
      <c r="AW627" t="s">
        <v>74</v>
      </c>
      <c r="AX627" t="s">
        <v>74</v>
      </c>
      <c r="AY627" t="s">
        <v>74</v>
      </c>
      <c r="AZ627" t="s">
        <v>74</v>
      </c>
      <c r="BA627" t="s">
        <v>74</v>
      </c>
      <c r="BB627" t="s">
        <v>74</v>
      </c>
      <c r="BC627" t="s">
        <v>74</v>
      </c>
      <c r="BD627">
        <v>21249</v>
      </c>
      <c r="BE627" t="s">
        <v>11927</v>
      </c>
      <c r="BF627" t="str">
        <f>HYPERLINK("http://dx.doi.org/10.3402/polar.v33.21249","http://dx.doi.org/10.3402/polar.v33.21249")</f>
        <v>http://dx.doi.org/10.3402/polar.v33.21249</v>
      </c>
      <c r="BG627" t="s">
        <v>74</v>
      </c>
      <c r="BH627" t="s">
        <v>74</v>
      </c>
      <c r="BI627">
        <v>13</v>
      </c>
      <c r="BJ627" t="s">
        <v>10600</v>
      </c>
      <c r="BK627" t="s">
        <v>101</v>
      </c>
      <c r="BL627" t="s">
        <v>10601</v>
      </c>
      <c r="BM627" t="s">
        <v>11928</v>
      </c>
      <c r="BN627" t="s">
        <v>74</v>
      </c>
      <c r="BO627" t="s">
        <v>4013</v>
      </c>
      <c r="BP627" t="s">
        <v>74</v>
      </c>
      <c r="BQ627" t="s">
        <v>74</v>
      </c>
      <c r="BR627" t="s">
        <v>104</v>
      </c>
      <c r="BS627" t="s">
        <v>11929</v>
      </c>
      <c r="BT627" t="str">
        <f>HYPERLINK("https%3A%2F%2Fwww.webofscience.com%2Fwos%2Fwoscc%2Ffull-record%2FWOS:000341753600001","View Full Record in Web of Science")</f>
        <v>View Full Record in Web of Science</v>
      </c>
    </row>
    <row r="628" spans="1:72" x14ac:dyDescent="0.15">
      <c r="A628" t="s">
        <v>72</v>
      </c>
      <c r="B628" t="s">
        <v>11930</v>
      </c>
      <c r="C628" t="s">
        <v>74</v>
      </c>
      <c r="D628" t="s">
        <v>74</v>
      </c>
      <c r="E628" t="s">
        <v>74</v>
      </c>
      <c r="F628" t="s">
        <v>11931</v>
      </c>
      <c r="G628" t="s">
        <v>74</v>
      </c>
      <c r="H628" t="s">
        <v>74</v>
      </c>
      <c r="I628" t="s">
        <v>11932</v>
      </c>
      <c r="J628" t="s">
        <v>11933</v>
      </c>
      <c r="K628" t="s">
        <v>74</v>
      </c>
      <c r="L628" t="s">
        <v>74</v>
      </c>
      <c r="M628" t="s">
        <v>78</v>
      </c>
      <c r="N628" t="s">
        <v>933</v>
      </c>
      <c r="O628" t="s">
        <v>74</v>
      </c>
      <c r="P628" t="s">
        <v>74</v>
      </c>
      <c r="Q628" t="s">
        <v>74</v>
      </c>
      <c r="R628" t="s">
        <v>74</v>
      </c>
      <c r="S628" t="s">
        <v>74</v>
      </c>
      <c r="T628" t="s">
        <v>74</v>
      </c>
      <c r="U628" t="s">
        <v>11934</v>
      </c>
      <c r="V628" t="s">
        <v>11935</v>
      </c>
      <c r="W628" t="s">
        <v>11936</v>
      </c>
      <c r="X628" t="s">
        <v>621</v>
      </c>
      <c r="Y628" t="s">
        <v>11937</v>
      </c>
      <c r="Z628" t="s">
        <v>11938</v>
      </c>
      <c r="AA628" t="s">
        <v>74</v>
      </c>
      <c r="AB628" t="s">
        <v>11939</v>
      </c>
      <c r="AC628" t="s">
        <v>11940</v>
      </c>
      <c r="AD628" t="s">
        <v>11941</v>
      </c>
      <c r="AE628" t="s">
        <v>11942</v>
      </c>
      <c r="AF628" t="s">
        <v>74</v>
      </c>
      <c r="AG628">
        <v>173</v>
      </c>
      <c r="AH628">
        <v>90</v>
      </c>
      <c r="AI628">
        <v>93</v>
      </c>
      <c r="AJ628">
        <v>4</v>
      </c>
      <c r="AK628">
        <v>172</v>
      </c>
      <c r="AL628" t="s">
        <v>11943</v>
      </c>
      <c r="AM628" t="s">
        <v>1948</v>
      </c>
      <c r="AN628" t="s">
        <v>11944</v>
      </c>
      <c r="AO628" t="s">
        <v>11945</v>
      </c>
      <c r="AP628" t="s">
        <v>74</v>
      </c>
      <c r="AQ628" t="s">
        <v>74</v>
      </c>
      <c r="AR628" t="s">
        <v>11946</v>
      </c>
      <c r="AS628" t="s">
        <v>11947</v>
      </c>
      <c r="AT628" t="s">
        <v>74</v>
      </c>
      <c r="AU628">
        <v>2014</v>
      </c>
      <c r="AV628">
        <v>4</v>
      </c>
      <c r="AW628">
        <v>80</v>
      </c>
      <c r="AX628" t="s">
        <v>74</v>
      </c>
      <c r="AY628" t="s">
        <v>74</v>
      </c>
      <c r="AZ628" t="s">
        <v>74</v>
      </c>
      <c r="BA628" t="s">
        <v>74</v>
      </c>
      <c r="BB628">
        <v>42682</v>
      </c>
      <c r="BC628">
        <v>42696</v>
      </c>
      <c r="BD628" t="s">
        <v>74</v>
      </c>
      <c r="BE628" t="s">
        <v>11948</v>
      </c>
      <c r="BF628" t="str">
        <f>HYPERLINK("http://dx.doi.org/10.1039/c4ra06893a","http://dx.doi.org/10.1039/c4ra06893a")</f>
        <v>http://dx.doi.org/10.1039/c4ra06893a</v>
      </c>
      <c r="BG628" t="s">
        <v>74</v>
      </c>
      <c r="BH628" t="s">
        <v>74</v>
      </c>
      <c r="BI628">
        <v>15</v>
      </c>
      <c r="BJ628" t="s">
        <v>11949</v>
      </c>
      <c r="BK628" t="s">
        <v>101</v>
      </c>
      <c r="BL628" t="s">
        <v>11950</v>
      </c>
      <c r="BM628" t="s">
        <v>11951</v>
      </c>
      <c r="BN628" t="s">
        <v>74</v>
      </c>
      <c r="BO628" t="s">
        <v>74</v>
      </c>
      <c r="BP628" t="s">
        <v>74</v>
      </c>
      <c r="BQ628" t="s">
        <v>74</v>
      </c>
      <c r="BR628" t="s">
        <v>104</v>
      </c>
      <c r="BS628" t="s">
        <v>11952</v>
      </c>
      <c r="BT628" t="str">
        <f>HYPERLINK("https%3A%2F%2Fwww.webofscience.com%2Fwos%2Fwoscc%2Ffull-record%2FWOS:000342199000062","View Full Record in Web of Science")</f>
        <v>View Full Record in Web of Science</v>
      </c>
    </row>
    <row r="629" spans="1:72" x14ac:dyDescent="0.15">
      <c r="A629" t="s">
        <v>72</v>
      </c>
      <c r="B629" t="s">
        <v>11953</v>
      </c>
      <c r="C629" t="s">
        <v>74</v>
      </c>
      <c r="D629" t="s">
        <v>74</v>
      </c>
      <c r="E629" t="s">
        <v>74</v>
      </c>
      <c r="F629" t="s">
        <v>11954</v>
      </c>
      <c r="G629" t="s">
        <v>74</v>
      </c>
      <c r="H629" t="s">
        <v>74</v>
      </c>
      <c r="I629" t="s">
        <v>11955</v>
      </c>
      <c r="J629" t="s">
        <v>9523</v>
      </c>
      <c r="K629" t="s">
        <v>74</v>
      </c>
      <c r="L629" t="s">
        <v>74</v>
      </c>
      <c r="M629" t="s">
        <v>78</v>
      </c>
      <c r="N629" t="s">
        <v>79</v>
      </c>
      <c r="O629" t="s">
        <v>74</v>
      </c>
      <c r="P629" t="s">
        <v>74</v>
      </c>
      <c r="Q629" t="s">
        <v>74</v>
      </c>
      <c r="R629" t="s">
        <v>74</v>
      </c>
      <c r="S629" t="s">
        <v>74</v>
      </c>
      <c r="T629" t="s">
        <v>11956</v>
      </c>
      <c r="U629" t="s">
        <v>11957</v>
      </c>
      <c r="V629" t="s">
        <v>11958</v>
      </c>
      <c r="W629" t="s">
        <v>11959</v>
      </c>
      <c r="X629" t="s">
        <v>11960</v>
      </c>
      <c r="Y629" t="s">
        <v>11961</v>
      </c>
      <c r="Z629" t="s">
        <v>11962</v>
      </c>
      <c r="AA629" t="s">
        <v>11963</v>
      </c>
      <c r="AB629" t="s">
        <v>11964</v>
      </c>
      <c r="AC629" t="s">
        <v>11965</v>
      </c>
      <c r="AD629" t="s">
        <v>11966</v>
      </c>
      <c r="AE629" t="s">
        <v>11967</v>
      </c>
      <c r="AF629" t="s">
        <v>74</v>
      </c>
      <c r="AG629">
        <v>34</v>
      </c>
      <c r="AH629">
        <v>45</v>
      </c>
      <c r="AI629">
        <v>48</v>
      </c>
      <c r="AJ629">
        <v>0</v>
      </c>
      <c r="AK629">
        <v>35</v>
      </c>
      <c r="AL629" t="s">
        <v>91</v>
      </c>
      <c r="AM629" t="s">
        <v>1948</v>
      </c>
      <c r="AN629" t="s">
        <v>2519</v>
      </c>
      <c r="AO629" t="s">
        <v>9535</v>
      </c>
      <c r="AP629" t="s">
        <v>9536</v>
      </c>
      <c r="AQ629" t="s">
        <v>74</v>
      </c>
      <c r="AR629" t="s">
        <v>9537</v>
      </c>
      <c r="AS629" t="s">
        <v>9538</v>
      </c>
      <c r="AT629" t="s">
        <v>74</v>
      </c>
      <c r="AU629">
        <v>2014</v>
      </c>
      <c r="AV629">
        <v>55</v>
      </c>
      <c r="AW629">
        <v>65</v>
      </c>
      <c r="AX629" t="s">
        <v>74</v>
      </c>
      <c r="AY629" t="s">
        <v>74</v>
      </c>
      <c r="AZ629" t="s">
        <v>74</v>
      </c>
      <c r="BA629" t="s">
        <v>74</v>
      </c>
      <c r="BB629">
        <v>14</v>
      </c>
      <c r="BC629">
        <v>22</v>
      </c>
      <c r="BD629" t="s">
        <v>74</v>
      </c>
      <c r="BE629" t="s">
        <v>11968</v>
      </c>
      <c r="BF629" t="str">
        <f>HYPERLINK("http://dx.doi.org/10.3189/2014AoG65A004","http://dx.doi.org/10.3189/2014AoG65A004")</f>
        <v>http://dx.doi.org/10.3189/2014AoG65A004</v>
      </c>
      <c r="BG629" t="s">
        <v>74</v>
      </c>
      <c r="BH629" t="s">
        <v>74</v>
      </c>
      <c r="BI629">
        <v>9</v>
      </c>
      <c r="BJ629" t="s">
        <v>1415</v>
      </c>
      <c r="BK629" t="s">
        <v>101</v>
      </c>
      <c r="BL629" t="s">
        <v>1416</v>
      </c>
      <c r="BM629" t="s">
        <v>11969</v>
      </c>
      <c r="BN629" t="s">
        <v>74</v>
      </c>
      <c r="BO629" t="s">
        <v>200</v>
      </c>
      <c r="BP629" t="s">
        <v>74</v>
      </c>
      <c r="BQ629" t="s">
        <v>74</v>
      </c>
      <c r="BR629" t="s">
        <v>104</v>
      </c>
      <c r="BS629" t="s">
        <v>11970</v>
      </c>
      <c r="BT629" t="str">
        <f>HYPERLINK("https%3A%2F%2Fwww.webofscience.com%2Fwos%2Fwoscc%2Ffull-record%2FWOS:000341676800003","View Full Record in Web of Science")</f>
        <v>View Full Record in Web of Science</v>
      </c>
    </row>
    <row r="630" spans="1:72" x14ac:dyDescent="0.15">
      <c r="A630" t="s">
        <v>72</v>
      </c>
      <c r="B630" t="s">
        <v>11971</v>
      </c>
      <c r="C630" t="s">
        <v>74</v>
      </c>
      <c r="D630" t="s">
        <v>74</v>
      </c>
      <c r="E630" t="s">
        <v>74</v>
      </c>
      <c r="F630" t="s">
        <v>11972</v>
      </c>
      <c r="G630" t="s">
        <v>74</v>
      </c>
      <c r="H630" t="s">
        <v>74</v>
      </c>
      <c r="I630" t="s">
        <v>11973</v>
      </c>
      <c r="J630" t="s">
        <v>9523</v>
      </c>
      <c r="K630" t="s">
        <v>74</v>
      </c>
      <c r="L630" t="s">
        <v>74</v>
      </c>
      <c r="M630" t="s">
        <v>78</v>
      </c>
      <c r="N630" t="s">
        <v>79</v>
      </c>
      <c r="O630" t="s">
        <v>74</v>
      </c>
      <c r="P630" t="s">
        <v>74</v>
      </c>
      <c r="Q630" t="s">
        <v>74</v>
      </c>
      <c r="R630" t="s">
        <v>74</v>
      </c>
      <c r="S630" t="s">
        <v>74</v>
      </c>
      <c r="T630" t="s">
        <v>9717</v>
      </c>
      <c r="U630" t="s">
        <v>74</v>
      </c>
      <c r="V630" t="s">
        <v>11974</v>
      </c>
      <c r="W630" t="s">
        <v>11975</v>
      </c>
      <c r="X630" t="s">
        <v>11976</v>
      </c>
      <c r="Y630" t="s">
        <v>11977</v>
      </c>
      <c r="Z630" t="s">
        <v>11978</v>
      </c>
      <c r="AA630" t="s">
        <v>74</v>
      </c>
      <c r="AB630" t="s">
        <v>11979</v>
      </c>
      <c r="AC630" t="s">
        <v>74</v>
      </c>
      <c r="AD630" t="s">
        <v>74</v>
      </c>
      <c r="AE630" t="s">
        <v>74</v>
      </c>
      <c r="AF630" t="s">
        <v>74</v>
      </c>
      <c r="AG630">
        <v>24</v>
      </c>
      <c r="AH630">
        <v>28</v>
      </c>
      <c r="AI630">
        <v>29</v>
      </c>
      <c r="AJ630">
        <v>1</v>
      </c>
      <c r="AK630">
        <v>31</v>
      </c>
      <c r="AL630" t="s">
        <v>91</v>
      </c>
      <c r="AM630" t="s">
        <v>1948</v>
      </c>
      <c r="AN630" t="s">
        <v>2519</v>
      </c>
      <c r="AO630" t="s">
        <v>9535</v>
      </c>
      <c r="AP630" t="s">
        <v>9536</v>
      </c>
      <c r="AQ630" t="s">
        <v>74</v>
      </c>
      <c r="AR630" t="s">
        <v>9537</v>
      </c>
      <c r="AS630" t="s">
        <v>9538</v>
      </c>
      <c r="AT630" t="s">
        <v>74</v>
      </c>
      <c r="AU630">
        <v>2014</v>
      </c>
      <c r="AV630">
        <v>55</v>
      </c>
      <c r="AW630">
        <v>65</v>
      </c>
      <c r="AX630" t="s">
        <v>74</v>
      </c>
      <c r="AY630" t="s">
        <v>74</v>
      </c>
      <c r="AZ630" t="s">
        <v>74</v>
      </c>
      <c r="BA630" t="s">
        <v>74</v>
      </c>
      <c r="BB630">
        <v>23</v>
      </c>
      <c r="BC630">
        <v>30</v>
      </c>
      <c r="BD630" t="s">
        <v>74</v>
      </c>
      <c r="BE630" t="s">
        <v>11980</v>
      </c>
      <c r="BF630" t="str">
        <f>HYPERLINK("http://dx.doi.org/10.3189/2014AoG65A003","http://dx.doi.org/10.3189/2014AoG65A003")</f>
        <v>http://dx.doi.org/10.3189/2014AoG65A003</v>
      </c>
      <c r="BG630" t="s">
        <v>74</v>
      </c>
      <c r="BH630" t="s">
        <v>74</v>
      </c>
      <c r="BI630">
        <v>8</v>
      </c>
      <c r="BJ630" t="s">
        <v>1415</v>
      </c>
      <c r="BK630" t="s">
        <v>101</v>
      </c>
      <c r="BL630" t="s">
        <v>1416</v>
      </c>
      <c r="BM630" t="s">
        <v>11969</v>
      </c>
      <c r="BN630" t="s">
        <v>74</v>
      </c>
      <c r="BO630" t="s">
        <v>200</v>
      </c>
      <c r="BP630" t="s">
        <v>74</v>
      </c>
      <c r="BQ630" t="s">
        <v>74</v>
      </c>
      <c r="BR630" t="s">
        <v>104</v>
      </c>
      <c r="BS630" t="s">
        <v>11981</v>
      </c>
      <c r="BT630" t="str">
        <f>HYPERLINK("https%3A%2F%2Fwww.webofscience.com%2Fwos%2Fwoscc%2Ffull-record%2FWOS:000341676800004","View Full Record in Web of Science")</f>
        <v>View Full Record in Web of Science</v>
      </c>
    </row>
    <row r="631" spans="1:72" x14ac:dyDescent="0.15">
      <c r="A631" t="s">
        <v>72</v>
      </c>
      <c r="B631" t="s">
        <v>11982</v>
      </c>
      <c r="C631" t="s">
        <v>74</v>
      </c>
      <c r="D631" t="s">
        <v>74</v>
      </c>
      <c r="E631" t="s">
        <v>74</v>
      </c>
      <c r="F631" t="s">
        <v>11983</v>
      </c>
      <c r="G631" t="s">
        <v>74</v>
      </c>
      <c r="H631" t="s">
        <v>74</v>
      </c>
      <c r="I631" t="s">
        <v>11984</v>
      </c>
      <c r="J631" t="s">
        <v>9523</v>
      </c>
      <c r="K631" t="s">
        <v>74</v>
      </c>
      <c r="L631" t="s">
        <v>74</v>
      </c>
      <c r="M631" t="s">
        <v>78</v>
      </c>
      <c r="N631" t="s">
        <v>79</v>
      </c>
      <c r="O631" t="s">
        <v>74</v>
      </c>
      <c r="P631" t="s">
        <v>74</v>
      </c>
      <c r="Q631" t="s">
        <v>74</v>
      </c>
      <c r="R631" t="s">
        <v>74</v>
      </c>
      <c r="S631" t="s">
        <v>74</v>
      </c>
      <c r="T631" t="s">
        <v>11985</v>
      </c>
      <c r="U631" t="s">
        <v>11986</v>
      </c>
      <c r="V631" t="s">
        <v>11987</v>
      </c>
      <c r="W631" t="s">
        <v>11988</v>
      </c>
      <c r="X631" t="s">
        <v>11989</v>
      </c>
      <c r="Y631" t="s">
        <v>11990</v>
      </c>
      <c r="Z631" t="s">
        <v>11978</v>
      </c>
      <c r="AA631" t="s">
        <v>11991</v>
      </c>
      <c r="AB631" t="s">
        <v>11992</v>
      </c>
      <c r="AC631" t="s">
        <v>11993</v>
      </c>
      <c r="AD631" t="s">
        <v>11994</v>
      </c>
      <c r="AE631" t="s">
        <v>11995</v>
      </c>
      <c r="AF631" t="s">
        <v>74</v>
      </c>
      <c r="AG631">
        <v>37</v>
      </c>
      <c r="AH631">
        <v>20</v>
      </c>
      <c r="AI631">
        <v>21</v>
      </c>
      <c r="AJ631">
        <v>2</v>
      </c>
      <c r="AK631">
        <v>33</v>
      </c>
      <c r="AL631" t="s">
        <v>9533</v>
      </c>
      <c r="AM631" t="s">
        <v>1948</v>
      </c>
      <c r="AN631" t="s">
        <v>9534</v>
      </c>
      <c r="AO631" t="s">
        <v>9535</v>
      </c>
      <c r="AP631" t="s">
        <v>9536</v>
      </c>
      <c r="AQ631" t="s">
        <v>74</v>
      </c>
      <c r="AR631" t="s">
        <v>9537</v>
      </c>
      <c r="AS631" t="s">
        <v>9538</v>
      </c>
      <c r="AT631" t="s">
        <v>74</v>
      </c>
      <c r="AU631">
        <v>2014</v>
      </c>
      <c r="AV631">
        <v>55</v>
      </c>
      <c r="AW631">
        <v>65</v>
      </c>
      <c r="AX631" t="s">
        <v>74</v>
      </c>
      <c r="AY631" t="s">
        <v>74</v>
      </c>
      <c r="AZ631" t="s">
        <v>74</v>
      </c>
      <c r="BA631" t="s">
        <v>74</v>
      </c>
      <c r="BB631">
        <v>31</v>
      </c>
      <c r="BC631">
        <v>40</v>
      </c>
      <c r="BD631" t="s">
        <v>74</v>
      </c>
      <c r="BE631" t="s">
        <v>11996</v>
      </c>
      <c r="BF631" t="str">
        <f>HYPERLINK("http://dx.doi.org/10.3189/2014AoG65A226","http://dx.doi.org/10.3189/2014AoG65A226")</f>
        <v>http://dx.doi.org/10.3189/2014AoG65A226</v>
      </c>
      <c r="BG631" t="s">
        <v>74</v>
      </c>
      <c r="BH631" t="s">
        <v>74</v>
      </c>
      <c r="BI631">
        <v>10</v>
      </c>
      <c r="BJ631" t="s">
        <v>1415</v>
      </c>
      <c r="BK631" t="s">
        <v>101</v>
      </c>
      <c r="BL631" t="s">
        <v>1416</v>
      </c>
      <c r="BM631" t="s">
        <v>11969</v>
      </c>
      <c r="BN631" t="s">
        <v>74</v>
      </c>
      <c r="BO631" t="s">
        <v>200</v>
      </c>
      <c r="BP631" t="s">
        <v>74</v>
      </c>
      <c r="BQ631" t="s">
        <v>74</v>
      </c>
      <c r="BR631" t="s">
        <v>104</v>
      </c>
      <c r="BS631" t="s">
        <v>11997</v>
      </c>
      <c r="BT631" t="str">
        <f>HYPERLINK("https%3A%2F%2Fwww.webofscience.com%2Fwos%2Fwoscc%2Ffull-record%2FWOS:000341676800005","View Full Record in Web of Science")</f>
        <v>View Full Record in Web of Science</v>
      </c>
    </row>
    <row r="632" spans="1:72" x14ac:dyDescent="0.15">
      <c r="A632" t="s">
        <v>72</v>
      </c>
      <c r="B632" t="s">
        <v>11998</v>
      </c>
      <c r="C632" t="s">
        <v>74</v>
      </c>
      <c r="D632" t="s">
        <v>74</v>
      </c>
      <c r="E632" t="s">
        <v>74</v>
      </c>
      <c r="F632" t="s">
        <v>11999</v>
      </c>
      <c r="G632" t="s">
        <v>74</v>
      </c>
      <c r="H632" t="s">
        <v>12000</v>
      </c>
      <c r="I632" t="s">
        <v>12001</v>
      </c>
      <c r="J632" t="s">
        <v>9523</v>
      </c>
      <c r="K632" t="s">
        <v>74</v>
      </c>
      <c r="L632" t="s">
        <v>74</v>
      </c>
      <c r="M632" t="s">
        <v>78</v>
      </c>
      <c r="N632" t="s">
        <v>79</v>
      </c>
      <c r="O632" t="s">
        <v>74</v>
      </c>
      <c r="P632" t="s">
        <v>74</v>
      </c>
      <c r="Q632" t="s">
        <v>74</v>
      </c>
      <c r="R632" t="s">
        <v>74</v>
      </c>
      <c r="S632" t="s">
        <v>74</v>
      </c>
      <c r="T632" t="s">
        <v>12002</v>
      </c>
      <c r="U632" t="s">
        <v>12003</v>
      </c>
      <c r="V632" t="s">
        <v>12004</v>
      </c>
      <c r="W632" t="s">
        <v>12005</v>
      </c>
      <c r="X632" t="s">
        <v>12006</v>
      </c>
      <c r="Y632" t="s">
        <v>12007</v>
      </c>
      <c r="Z632" t="s">
        <v>12008</v>
      </c>
      <c r="AA632" t="s">
        <v>12009</v>
      </c>
      <c r="AB632" t="s">
        <v>12010</v>
      </c>
      <c r="AC632" t="s">
        <v>12011</v>
      </c>
      <c r="AD632" t="s">
        <v>12012</v>
      </c>
      <c r="AE632" t="s">
        <v>12013</v>
      </c>
      <c r="AF632" t="s">
        <v>74</v>
      </c>
      <c r="AG632">
        <v>51</v>
      </c>
      <c r="AH632">
        <v>84</v>
      </c>
      <c r="AI632">
        <v>101</v>
      </c>
      <c r="AJ632">
        <v>0</v>
      </c>
      <c r="AK632">
        <v>91</v>
      </c>
      <c r="AL632" t="s">
        <v>91</v>
      </c>
      <c r="AM632" t="s">
        <v>1948</v>
      </c>
      <c r="AN632" t="s">
        <v>2519</v>
      </c>
      <c r="AO632" t="s">
        <v>9535</v>
      </c>
      <c r="AP632" t="s">
        <v>9536</v>
      </c>
      <c r="AQ632" t="s">
        <v>74</v>
      </c>
      <c r="AR632" t="s">
        <v>9537</v>
      </c>
      <c r="AS632" t="s">
        <v>9538</v>
      </c>
      <c r="AT632" t="s">
        <v>74</v>
      </c>
      <c r="AU632">
        <v>2014</v>
      </c>
      <c r="AV632">
        <v>55</v>
      </c>
      <c r="AW632">
        <v>65</v>
      </c>
      <c r="AX632" t="s">
        <v>74</v>
      </c>
      <c r="AY632" t="s">
        <v>74</v>
      </c>
      <c r="AZ632" t="s">
        <v>74</v>
      </c>
      <c r="BA632" t="s">
        <v>74</v>
      </c>
      <c r="BB632">
        <v>51</v>
      </c>
      <c r="BC632">
        <v>58</v>
      </c>
      <c r="BD632" t="s">
        <v>74</v>
      </c>
      <c r="BE632" t="s">
        <v>12014</v>
      </c>
      <c r="BF632" t="str">
        <f>HYPERLINK("http://dx.doi.org/10.3189/2014AoG65A009","http://dx.doi.org/10.3189/2014AoG65A009")</f>
        <v>http://dx.doi.org/10.3189/2014AoG65A009</v>
      </c>
      <c r="BG632" t="s">
        <v>74</v>
      </c>
      <c r="BH632" t="s">
        <v>74</v>
      </c>
      <c r="BI632">
        <v>8</v>
      </c>
      <c r="BJ632" t="s">
        <v>1415</v>
      </c>
      <c r="BK632" t="s">
        <v>101</v>
      </c>
      <c r="BL632" t="s">
        <v>1416</v>
      </c>
      <c r="BM632" t="s">
        <v>11969</v>
      </c>
      <c r="BN632" t="s">
        <v>74</v>
      </c>
      <c r="BO632" t="s">
        <v>6867</v>
      </c>
      <c r="BP632" t="s">
        <v>74</v>
      </c>
      <c r="BQ632" t="s">
        <v>74</v>
      </c>
      <c r="BR632" t="s">
        <v>104</v>
      </c>
      <c r="BS632" t="s">
        <v>12015</v>
      </c>
      <c r="BT632" t="str">
        <f>HYPERLINK("https%3A%2F%2Fwww.webofscience.com%2Fwos%2Fwoscc%2Ffull-record%2FWOS:000341676800007","View Full Record in Web of Science")</f>
        <v>View Full Record in Web of Science</v>
      </c>
    </row>
    <row r="633" spans="1:72" x14ac:dyDescent="0.15">
      <c r="A633" t="s">
        <v>72</v>
      </c>
      <c r="B633" t="s">
        <v>12016</v>
      </c>
      <c r="C633" t="s">
        <v>74</v>
      </c>
      <c r="D633" t="s">
        <v>74</v>
      </c>
      <c r="E633" t="s">
        <v>74</v>
      </c>
      <c r="F633" t="s">
        <v>12017</v>
      </c>
      <c r="G633" t="s">
        <v>74</v>
      </c>
      <c r="H633" t="s">
        <v>74</v>
      </c>
      <c r="I633" t="s">
        <v>12018</v>
      </c>
      <c r="J633" t="s">
        <v>9523</v>
      </c>
      <c r="K633" t="s">
        <v>74</v>
      </c>
      <c r="L633" t="s">
        <v>74</v>
      </c>
      <c r="M633" t="s">
        <v>78</v>
      </c>
      <c r="N633" t="s">
        <v>79</v>
      </c>
      <c r="O633" t="s">
        <v>74</v>
      </c>
      <c r="P633" t="s">
        <v>74</v>
      </c>
      <c r="Q633" t="s">
        <v>74</v>
      </c>
      <c r="R633" t="s">
        <v>74</v>
      </c>
      <c r="S633" t="s">
        <v>74</v>
      </c>
      <c r="T633" t="s">
        <v>12019</v>
      </c>
      <c r="U633" t="s">
        <v>74</v>
      </c>
      <c r="V633" t="s">
        <v>12020</v>
      </c>
      <c r="W633" t="s">
        <v>12021</v>
      </c>
      <c r="X633" t="s">
        <v>12022</v>
      </c>
      <c r="Y633" t="s">
        <v>12023</v>
      </c>
      <c r="Z633" t="s">
        <v>12024</v>
      </c>
      <c r="AA633" t="s">
        <v>12025</v>
      </c>
      <c r="AB633" t="s">
        <v>12026</v>
      </c>
      <c r="AC633" t="s">
        <v>74</v>
      </c>
      <c r="AD633" t="s">
        <v>74</v>
      </c>
      <c r="AE633" t="s">
        <v>74</v>
      </c>
      <c r="AF633" t="s">
        <v>74</v>
      </c>
      <c r="AG633">
        <v>10</v>
      </c>
      <c r="AH633">
        <v>27</v>
      </c>
      <c r="AI633">
        <v>27</v>
      </c>
      <c r="AJ633">
        <v>2</v>
      </c>
      <c r="AK633">
        <v>34</v>
      </c>
      <c r="AL633" t="s">
        <v>9533</v>
      </c>
      <c r="AM633" t="s">
        <v>1948</v>
      </c>
      <c r="AN633" t="s">
        <v>9534</v>
      </c>
      <c r="AO633" t="s">
        <v>9535</v>
      </c>
      <c r="AP633" t="s">
        <v>9536</v>
      </c>
      <c r="AQ633" t="s">
        <v>74</v>
      </c>
      <c r="AR633" t="s">
        <v>9537</v>
      </c>
      <c r="AS633" t="s">
        <v>9538</v>
      </c>
      <c r="AT633" t="s">
        <v>74</v>
      </c>
      <c r="AU633">
        <v>2014</v>
      </c>
      <c r="AV633">
        <v>55</v>
      </c>
      <c r="AW633">
        <v>65</v>
      </c>
      <c r="AX633" t="s">
        <v>74</v>
      </c>
      <c r="AY633" t="s">
        <v>74</v>
      </c>
      <c r="AZ633" t="s">
        <v>74</v>
      </c>
      <c r="BA633" t="s">
        <v>74</v>
      </c>
      <c r="BB633">
        <v>83</v>
      </c>
      <c r="BC633">
        <v>89</v>
      </c>
      <c r="BD633" t="s">
        <v>74</v>
      </c>
      <c r="BE633" t="s">
        <v>12027</v>
      </c>
      <c r="BF633" t="str">
        <f>HYPERLINK("http://dx.doi.org/10.3189/2014AoG65A002","http://dx.doi.org/10.3189/2014AoG65A002")</f>
        <v>http://dx.doi.org/10.3189/2014AoG65A002</v>
      </c>
      <c r="BG633" t="s">
        <v>74</v>
      </c>
      <c r="BH633" t="s">
        <v>74</v>
      </c>
      <c r="BI633">
        <v>7</v>
      </c>
      <c r="BJ633" t="s">
        <v>1415</v>
      </c>
      <c r="BK633" t="s">
        <v>101</v>
      </c>
      <c r="BL633" t="s">
        <v>1416</v>
      </c>
      <c r="BM633" t="s">
        <v>11969</v>
      </c>
      <c r="BN633" t="s">
        <v>74</v>
      </c>
      <c r="BO633" t="s">
        <v>200</v>
      </c>
      <c r="BP633" t="s">
        <v>74</v>
      </c>
      <c r="BQ633" t="s">
        <v>74</v>
      </c>
      <c r="BR633" t="s">
        <v>104</v>
      </c>
      <c r="BS633" t="s">
        <v>12028</v>
      </c>
      <c r="BT633" t="str">
        <f>HYPERLINK("https%3A%2F%2Fwww.webofscience.com%2Fwos%2Fwoscc%2Ffull-record%2FWOS:000341676800010","View Full Record in Web of Science")</f>
        <v>View Full Record in Web of Science</v>
      </c>
    </row>
    <row r="634" spans="1:72" x14ac:dyDescent="0.15">
      <c r="A634" t="s">
        <v>72</v>
      </c>
      <c r="B634" t="s">
        <v>12029</v>
      </c>
      <c r="C634" t="s">
        <v>74</v>
      </c>
      <c r="D634" t="s">
        <v>74</v>
      </c>
      <c r="E634" t="s">
        <v>74</v>
      </c>
      <c r="F634" t="s">
        <v>12030</v>
      </c>
      <c r="G634" t="s">
        <v>74</v>
      </c>
      <c r="H634" t="s">
        <v>74</v>
      </c>
      <c r="I634" t="s">
        <v>12031</v>
      </c>
      <c r="J634" t="s">
        <v>11504</v>
      </c>
      <c r="K634" t="s">
        <v>74</v>
      </c>
      <c r="L634" t="s">
        <v>74</v>
      </c>
      <c r="M634" t="s">
        <v>78</v>
      </c>
      <c r="N634" t="s">
        <v>79</v>
      </c>
      <c r="O634" t="s">
        <v>74</v>
      </c>
      <c r="P634" t="s">
        <v>74</v>
      </c>
      <c r="Q634" t="s">
        <v>74</v>
      </c>
      <c r="R634" t="s">
        <v>74</v>
      </c>
      <c r="S634" t="s">
        <v>74</v>
      </c>
      <c r="T634" t="s">
        <v>74</v>
      </c>
      <c r="U634" t="s">
        <v>12032</v>
      </c>
      <c r="V634" t="s">
        <v>12033</v>
      </c>
      <c r="W634" t="s">
        <v>12034</v>
      </c>
      <c r="X634" t="s">
        <v>12035</v>
      </c>
      <c r="Y634" t="s">
        <v>12036</v>
      </c>
      <c r="Z634" t="s">
        <v>74</v>
      </c>
      <c r="AA634" t="s">
        <v>12037</v>
      </c>
      <c r="AB634" t="s">
        <v>12038</v>
      </c>
      <c r="AC634" t="s">
        <v>12039</v>
      </c>
      <c r="AD634" t="s">
        <v>12040</v>
      </c>
      <c r="AE634" t="s">
        <v>12041</v>
      </c>
      <c r="AF634" t="s">
        <v>74</v>
      </c>
      <c r="AG634">
        <v>71</v>
      </c>
      <c r="AH634">
        <v>94</v>
      </c>
      <c r="AI634">
        <v>100</v>
      </c>
      <c r="AJ634">
        <v>1</v>
      </c>
      <c r="AK634">
        <v>26</v>
      </c>
      <c r="AL634" t="s">
        <v>1463</v>
      </c>
      <c r="AM634" t="s">
        <v>1464</v>
      </c>
      <c r="AN634" t="s">
        <v>1465</v>
      </c>
      <c r="AO634" t="s">
        <v>11516</v>
      </c>
      <c r="AP634" t="s">
        <v>11517</v>
      </c>
      <c r="AQ634" t="s">
        <v>74</v>
      </c>
      <c r="AR634" t="s">
        <v>11518</v>
      </c>
      <c r="AS634" t="s">
        <v>11519</v>
      </c>
      <c r="AT634" t="s">
        <v>74</v>
      </c>
      <c r="AU634">
        <v>2014</v>
      </c>
      <c r="AV634">
        <v>7</v>
      </c>
      <c r="AW634">
        <v>8</v>
      </c>
      <c r="AX634" t="s">
        <v>74</v>
      </c>
      <c r="AY634" t="s">
        <v>74</v>
      </c>
      <c r="AZ634" t="s">
        <v>74</v>
      </c>
      <c r="BA634" t="s">
        <v>74</v>
      </c>
      <c r="BB634">
        <v>2421</v>
      </c>
      <c r="BC634">
        <v>2435</v>
      </c>
      <c r="BD634" t="s">
        <v>74</v>
      </c>
      <c r="BE634" t="s">
        <v>12042</v>
      </c>
      <c r="BF634" t="str">
        <f>HYPERLINK("http://dx.doi.org/10.5194/amt-7-2421-2014","http://dx.doi.org/10.5194/amt-7-2421-2014")</f>
        <v>http://dx.doi.org/10.5194/amt-7-2421-2014</v>
      </c>
      <c r="BG634" t="s">
        <v>74</v>
      </c>
      <c r="BH634" t="s">
        <v>74</v>
      </c>
      <c r="BI634">
        <v>15</v>
      </c>
      <c r="BJ634" t="s">
        <v>1391</v>
      </c>
      <c r="BK634" t="s">
        <v>101</v>
      </c>
      <c r="BL634" t="s">
        <v>1391</v>
      </c>
      <c r="BM634" t="s">
        <v>12043</v>
      </c>
      <c r="BN634" t="s">
        <v>74</v>
      </c>
      <c r="BO634" t="s">
        <v>6156</v>
      </c>
      <c r="BP634" t="s">
        <v>74</v>
      </c>
      <c r="BQ634" t="s">
        <v>74</v>
      </c>
      <c r="BR634" t="s">
        <v>104</v>
      </c>
      <c r="BS634" t="s">
        <v>12044</v>
      </c>
      <c r="BT634" t="str">
        <f>HYPERLINK("https%3A%2F%2Fwww.webofscience.com%2Fwos%2Fwoscc%2Ffull-record%2FWOS:000341605200004","View Full Record in Web of Science")</f>
        <v>View Full Record in Web of Science</v>
      </c>
    </row>
    <row r="635" spans="1:72" x14ac:dyDescent="0.15">
      <c r="A635" t="s">
        <v>72</v>
      </c>
      <c r="B635" t="s">
        <v>12045</v>
      </c>
      <c r="C635" t="s">
        <v>74</v>
      </c>
      <c r="D635" t="s">
        <v>74</v>
      </c>
      <c r="E635" t="s">
        <v>74</v>
      </c>
      <c r="F635" t="s">
        <v>12046</v>
      </c>
      <c r="G635" t="s">
        <v>74</v>
      </c>
      <c r="H635" t="s">
        <v>74</v>
      </c>
      <c r="I635" t="s">
        <v>12047</v>
      </c>
      <c r="J635" t="s">
        <v>12048</v>
      </c>
      <c r="K635" t="s">
        <v>74</v>
      </c>
      <c r="L635" t="s">
        <v>74</v>
      </c>
      <c r="M635" t="s">
        <v>78</v>
      </c>
      <c r="N635" t="s">
        <v>79</v>
      </c>
      <c r="O635" t="s">
        <v>74</v>
      </c>
      <c r="P635" t="s">
        <v>74</v>
      </c>
      <c r="Q635" t="s">
        <v>74</v>
      </c>
      <c r="R635" t="s">
        <v>74</v>
      </c>
      <c r="S635" t="s">
        <v>74</v>
      </c>
      <c r="T635" t="s">
        <v>74</v>
      </c>
      <c r="U635" t="s">
        <v>12049</v>
      </c>
      <c r="V635" t="s">
        <v>12050</v>
      </c>
      <c r="W635" t="s">
        <v>12051</v>
      </c>
      <c r="X635" t="s">
        <v>12052</v>
      </c>
      <c r="Y635" t="s">
        <v>12053</v>
      </c>
      <c r="Z635" t="s">
        <v>12054</v>
      </c>
      <c r="AA635" t="s">
        <v>12055</v>
      </c>
      <c r="AB635" t="s">
        <v>12056</v>
      </c>
      <c r="AC635" t="s">
        <v>12057</v>
      </c>
      <c r="AD635" t="s">
        <v>12057</v>
      </c>
      <c r="AE635" t="s">
        <v>12058</v>
      </c>
      <c r="AF635" t="s">
        <v>74</v>
      </c>
      <c r="AG635">
        <v>46</v>
      </c>
      <c r="AH635">
        <v>25</v>
      </c>
      <c r="AI635">
        <v>26</v>
      </c>
      <c r="AJ635">
        <v>0</v>
      </c>
      <c r="AK635">
        <v>3</v>
      </c>
      <c r="AL635" t="s">
        <v>1463</v>
      </c>
      <c r="AM635" t="s">
        <v>1464</v>
      </c>
      <c r="AN635" t="s">
        <v>1465</v>
      </c>
      <c r="AO635" t="s">
        <v>12059</v>
      </c>
      <c r="AP635" t="s">
        <v>12060</v>
      </c>
      <c r="AQ635" t="s">
        <v>74</v>
      </c>
      <c r="AR635" t="s">
        <v>12061</v>
      </c>
      <c r="AS635" t="s">
        <v>12062</v>
      </c>
      <c r="AT635" t="s">
        <v>74</v>
      </c>
      <c r="AU635">
        <v>2014</v>
      </c>
      <c r="AV635">
        <v>7</v>
      </c>
      <c r="AW635">
        <v>4</v>
      </c>
      <c r="AX635" t="s">
        <v>74</v>
      </c>
      <c r="AY635" t="s">
        <v>74</v>
      </c>
      <c r="AZ635" t="s">
        <v>74</v>
      </c>
      <c r="BA635" t="s">
        <v>74</v>
      </c>
      <c r="BB635">
        <v>1451</v>
      </c>
      <c r="BC635">
        <v>1465</v>
      </c>
      <c r="BD635" t="s">
        <v>74</v>
      </c>
      <c r="BE635" t="s">
        <v>12063</v>
      </c>
      <c r="BF635" t="str">
        <f>HYPERLINK("http://dx.doi.org/10.5194/gmd-7-1451-2014","http://dx.doi.org/10.5194/gmd-7-1451-2014")</f>
        <v>http://dx.doi.org/10.5194/gmd-7-1451-2014</v>
      </c>
      <c r="BG635" t="s">
        <v>74</v>
      </c>
      <c r="BH635" t="s">
        <v>74</v>
      </c>
      <c r="BI635">
        <v>15</v>
      </c>
      <c r="BJ635" t="s">
        <v>952</v>
      </c>
      <c r="BK635" t="s">
        <v>101</v>
      </c>
      <c r="BL635" t="s">
        <v>597</v>
      </c>
      <c r="BM635" t="s">
        <v>12064</v>
      </c>
      <c r="BN635" t="s">
        <v>74</v>
      </c>
      <c r="BO635" t="s">
        <v>9228</v>
      </c>
      <c r="BP635" t="s">
        <v>74</v>
      </c>
      <c r="BQ635" t="s">
        <v>74</v>
      </c>
      <c r="BR635" t="s">
        <v>104</v>
      </c>
      <c r="BS635" t="s">
        <v>12065</v>
      </c>
      <c r="BT635" t="str">
        <f>HYPERLINK("https%3A%2F%2Fwww.webofscience.com%2Fwos%2Fwoscc%2Ffull-record%2FWOS:000341603900011","View Full Record in Web of Science")</f>
        <v>View Full Record in Web of Science</v>
      </c>
    </row>
    <row r="636" spans="1:72" x14ac:dyDescent="0.15">
      <c r="A636" t="s">
        <v>72</v>
      </c>
      <c r="B636" t="s">
        <v>12066</v>
      </c>
      <c r="C636" t="s">
        <v>74</v>
      </c>
      <c r="D636" t="s">
        <v>74</v>
      </c>
      <c r="E636" t="s">
        <v>74</v>
      </c>
      <c r="F636" t="s">
        <v>12067</v>
      </c>
      <c r="G636" t="s">
        <v>74</v>
      </c>
      <c r="H636" t="s">
        <v>74</v>
      </c>
      <c r="I636" t="s">
        <v>12068</v>
      </c>
      <c r="J636" t="s">
        <v>12048</v>
      </c>
      <c r="K636" t="s">
        <v>74</v>
      </c>
      <c r="L636" t="s">
        <v>74</v>
      </c>
      <c r="M636" t="s">
        <v>78</v>
      </c>
      <c r="N636" t="s">
        <v>79</v>
      </c>
      <c r="O636" t="s">
        <v>74</v>
      </c>
      <c r="P636" t="s">
        <v>74</v>
      </c>
      <c r="Q636" t="s">
        <v>74</v>
      </c>
      <c r="R636" t="s">
        <v>74</v>
      </c>
      <c r="S636" t="s">
        <v>74</v>
      </c>
      <c r="T636" t="s">
        <v>74</v>
      </c>
      <c r="U636" t="s">
        <v>12069</v>
      </c>
      <c r="V636" t="s">
        <v>12070</v>
      </c>
      <c r="W636" t="s">
        <v>12071</v>
      </c>
      <c r="X636" t="s">
        <v>12072</v>
      </c>
      <c r="Y636" t="s">
        <v>12073</v>
      </c>
      <c r="Z636" t="s">
        <v>12074</v>
      </c>
      <c r="AA636" t="s">
        <v>12075</v>
      </c>
      <c r="AB636" t="s">
        <v>12076</v>
      </c>
      <c r="AC636" t="s">
        <v>12077</v>
      </c>
      <c r="AD636" t="s">
        <v>12078</v>
      </c>
      <c r="AE636" t="s">
        <v>12079</v>
      </c>
      <c r="AF636" t="s">
        <v>74</v>
      </c>
      <c r="AG636">
        <v>53</v>
      </c>
      <c r="AH636">
        <v>10</v>
      </c>
      <c r="AI636">
        <v>12</v>
      </c>
      <c r="AJ636">
        <v>0</v>
      </c>
      <c r="AK636">
        <v>9</v>
      </c>
      <c r="AL636" t="s">
        <v>1463</v>
      </c>
      <c r="AM636" t="s">
        <v>1464</v>
      </c>
      <c r="AN636" t="s">
        <v>1465</v>
      </c>
      <c r="AO636" t="s">
        <v>12059</v>
      </c>
      <c r="AP636" t="s">
        <v>12060</v>
      </c>
      <c r="AQ636" t="s">
        <v>74</v>
      </c>
      <c r="AR636" t="s">
        <v>12061</v>
      </c>
      <c r="AS636" t="s">
        <v>12062</v>
      </c>
      <c r="AT636" t="s">
        <v>74</v>
      </c>
      <c r="AU636">
        <v>2014</v>
      </c>
      <c r="AV636">
        <v>7</v>
      </c>
      <c r="AW636">
        <v>4</v>
      </c>
      <c r="AX636" t="s">
        <v>74</v>
      </c>
      <c r="AY636" t="s">
        <v>74</v>
      </c>
      <c r="AZ636" t="s">
        <v>74</v>
      </c>
      <c r="BA636" t="s">
        <v>74</v>
      </c>
      <c r="BB636">
        <v>1803</v>
      </c>
      <c r="BC636">
        <v>1818</v>
      </c>
      <c r="BD636" t="s">
        <v>74</v>
      </c>
      <c r="BE636" t="s">
        <v>12080</v>
      </c>
      <c r="BF636" t="str">
        <f>HYPERLINK("http://dx.doi.org/10.5194/gmd-7-1803-2014","http://dx.doi.org/10.5194/gmd-7-1803-2014")</f>
        <v>http://dx.doi.org/10.5194/gmd-7-1803-2014</v>
      </c>
      <c r="BG636" t="s">
        <v>74</v>
      </c>
      <c r="BH636" t="s">
        <v>74</v>
      </c>
      <c r="BI636">
        <v>16</v>
      </c>
      <c r="BJ636" t="s">
        <v>952</v>
      </c>
      <c r="BK636" t="s">
        <v>101</v>
      </c>
      <c r="BL636" t="s">
        <v>597</v>
      </c>
      <c r="BM636" t="s">
        <v>12064</v>
      </c>
      <c r="BN636" t="s">
        <v>74</v>
      </c>
      <c r="BO636" t="s">
        <v>6156</v>
      </c>
      <c r="BP636" t="s">
        <v>74</v>
      </c>
      <c r="BQ636" t="s">
        <v>74</v>
      </c>
      <c r="BR636" t="s">
        <v>104</v>
      </c>
      <c r="BS636" t="s">
        <v>12081</v>
      </c>
      <c r="BT636" t="str">
        <f>HYPERLINK("https%3A%2F%2Fwww.webofscience.com%2Fwos%2Fwoscc%2Ffull-record%2FWOS:000341603900032","View Full Record in Web of Science")</f>
        <v>View Full Record in Web of Science</v>
      </c>
    </row>
    <row r="637" spans="1:72" x14ac:dyDescent="0.15">
      <c r="A637" t="s">
        <v>72</v>
      </c>
      <c r="B637" t="s">
        <v>12082</v>
      </c>
      <c r="C637" t="s">
        <v>74</v>
      </c>
      <c r="D637" t="s">
        <v>74</v>
      </c>
      <c r="E637" t="s">
        <v>74</v>
      </c>
      <c r="F637" t="s">
        <v>12083</v>
      </c>
      <c r="G637" t="s">
        <v>74</v>
      </c>
      <c r="H637" t="s">
        <v>74</v>
      </c>
      <c r="I637" t="s">
        <v>12084</v>
      </c>
      <c r="J637" t="s">
        <v>10804</v>
      </c>
      <c r="K637" t="s">
        <v>74</v>
      </c>
      <c r="L637" t="s">
        <v>74</v>
      </c>
      <c r="M637" t="s">
        <v>78</v>
      </c>
      <c r="N637" t="s">
        <v>79</v>
      </c>
      <c r="O637" t="s">
        <v>74</v>
      </c>
      <c r="P637" t="s">
        <v>74</v>
      </c>
      <c r="Q637" t="s">
        <v>74</v>
      </c>
      <c r="R637" t="s">
        <v>74</v>
      </c>
      <c r="S637" t="s">
        <v>74</v>
      </c>
      <c r="T637" t="s">
        <v>12085</v>
      </c>
      <c r="U637" t="s">
        <v>12086</v>
      </c>
      <c r="V637" t="s">
        <v>12087</v>
      </c>
      <c r="W637" t="s">
        <v>12088</v>
      </c>
      <c r="X637" t="s">
        <v>12089</v>
      </c>
      <c r="Y637" t="s">
        <v>12090</v>
      </c>
      <c r="Z637" t="s">
        <v>12091</v>
      </c>
      <c r="AA637" t="s">
        <v>12092</v>
      </c>
      <c r="AB637" t="s">
        <v>12093</v>
      </c>
      <c r="AC637" t="s">
        <v>12094</v>
      </c>
      <c r="AD637" t="s">
        <v>12095</v>
      </c>
      <c r="AE637" t="s">
        <v>12096</v>
      </c>
      <c r="AF637" t="s">
        <v>74</v>
      </c>
      <c r="AG637">
        <v>61</v>
      </c>
      <c r="AH637">
        <v>8</v>
      </c>
      <c r="AI637">
        <v>8</v>
      </c>
      <c r="AJ637">
        <v>0</v>
      </c>
      <c r="AK637">
        <v>16</v>
      </c>
      <c r="AL637" t="s">
        <v>12097</v>
      </c>
      <c r="AM637" t="s">
        <v>12098</v>
      </c>
      <c r="AN637" t="s">
        <v>12099</v>
      </c>
      <c r="AO637" t="s">
        <v>10817</v>
      </c>
      <c r="AP637" t="s">
        <v>74</v>
      </c>
      <c r="AQ637" t="s">
        <v>74</v>
      </c>
      <c r="AR637" t="s">
        <v>10818</v>
      </c>
      <c r="AS637" t="s">
        <v>10819</v>
      </c>
      <c r="AT637" t="s">
        <v>74</v>
      </c>
      <c r="AU637">
        <v>2014</v>
      </c>
      <c r="AV637">
        <v>66</v>
      </c>
      <c r="AW637" t="s">
        <v>74</v>
      </c>
      <c r="AX637" t="s">
        <v>74</v>
      </c>
      <c r="AY637" t="s">
        <v>74</v>
      </c>
      <c r="AZ637" t="s">
        <v>74</v>
      </c>
      <c r="BA637" t="s">
        <v>74</v>
      </c>
      <c r="BB637" t="s">
        <v>74</v>
      </c>
      <c r="BC637" t="s">
        <v>74</v>
      </c>
      <c r="BD637">
        <v>22872</v>
      </c>
      <c r="BE637" t="s">
        <v>12100</v>
      </c>
      <c r="BF637" t="str">
        <f>HYPERLINK("http://dx.doi.org/10.3402/tellusb.v66.22872","http://dx.doi.org/10.3402/tellusb.v66.22872")</f>
        <v>http://dx.doi.org/10.3402/tellusb.v66.22872</v>
      </c>
      <c r="BG637" t="s">
        <v>74</v>
      </c>
      <c r="BH637" t="s">
        <v>74</v>
      </c>
      <c r="BI637">
        <v>16</v>
      </c>
      <c r="BJ637" t="s">
        <v>1391</v>
      </c>
      <c r="BK637" t="s">
        <v>101</v>
      </c>
      <c r="BL637" t="s">
        <v>1391</v>
      </c>
      <c r="BM637" t="s">
        <v>12101</v>
      </c>
      <c r="BN637" t="s">
        <v>74</v>
      </c>
      <c r="BO637" t="s">
        <v>2318</v>
      </c>
      <c r="BP637" t="s">
        <v>74</v>
      </c>
      <c r="BQ637" t="s">
        <v>74</v>
      </c>
      <c r="BR637" t="s">
        <v>104</v>
      </c>
      <c r="BS637" t="s">
        <v>12102</v>
      </c>
      <c r="BT637" t="str">
        <f>HYPERLINK("https%3A%2F%2Fwww.webofscience.com%2Fwos%2Fwoscc%2Ffull-record%2FWOS:000341768000001","View Full Record in Web of Science")</f>
        <v>View Full Record in Web of Science</v>
      </c>
    </row>
    <row r="638" spans="1:72" x14ac:dyDescent="0.15">
      <c r="A638" t="s">
        <v>8774</v>
      </c>
      <c r="B638" t="s">
        <v>12103</v>
      </c>
      <c r="C638" t="s">
        <v>74</v>
      </c>
      <c r="D638" t="s">
        <v>12104</v>
      </c>
      <c r="E638" t="s">
        <v>74</v>
      </c>
      <c r="F638" t="s">
        <v>12105</v>
      </c>
      <c r="G638" t="s">
        <v>74</v>
      </c>
      <c r="H638" t="s">
        <v>74</v>
      </c>
      <c r="I638" t="s">
        <v>12106</v>
      </c>
      <c r="J638" t="s">
        <v>12107</v>
      </c>
      <c r="K638" t="s">
        <v>74</v>
      </c>
      <c r="L638" t="s">
        <v>74</v>
      </c>
      <c r="M638" t="s">
        <v>78</v>
      </c>
      <c r="N638" t="s">
        <v>8781</v>
      </c>
      <c r="O638" t="s">
        <v>12108</v>
      </c>
      <c r="P638" t="s">
        <v>12109</v>
      </c>
      <c r="Q638" t="s">
        <v>12110</v>
      </c>
      <c r="R638" t="s">
        <v>74</v>
      </c>
      <c r="S638" t="s">
        <v>74</v>
      </c>
      <c r="T638" t="s">
        <v>74</v>
      </c>
      <c r="U638" t="s">
        <v>12111</v>
      </c>
      <c r="V638" t="s">
        <v>12112</v>
      </c>
      <c r="W638" t="s">
        <v>12113</v>
      </c>
      <c r="X638" t="s">
        <v>12114</v>
      </c>
      <c r="Y638" t="s">
        <v>12115</v>
      </c>
      <c r="Z638" t="s">
        <v>74</v>
      </c>
      <c r="AA638" t="s">
        <v>74</v>
      </c>
      <c r="AB638" t="s">
        <v>12116</v>
      </c>
      <c r="AC638" t="s">
        <v>74</v>
      </c>
      <c r="AD638" t="s">
        <v>74</v>
      </c>
      <c r="AE638" t="s">
        <v>74</v>
      </c>
      <c r="AF638" t="s">
        <v>74</v>
      </c>
      <c r="AG638">
        <v>18</v>
      </c>
      <c r="AH638">
        <v>3</v>
      </c>
      <c r="AI638">
        <v>3</v>
      </c>
      <c r="AJ638">
        <v>0</v>
      </c>
      <c r="AK638">
        <v>6</v>
      </c>
      <c r="AL638" t="s">
        <v>8845</v>
      </c>
      <c r="AM638" t="s">
        <v>8846</v>
      </c>
      <c r="AN638" t="s">
        <v>8847</v>
      </c>
      <c r="AO638" t="s">
        <v>74</v>
      </c>
      <c r="AP638" t="s">
        <v>74</v>
      </c>
      <c r="AQ638" t="s">
        <v>12117</v>
      </c>
      <c r="AR638" t="s">
        <v>74</v>
      </c>
      <c r="AS638" t="s">
        <v>74</v>
      </c>
      <c r="AT638" t="s">
        <v>74</v>
      </c>
      <c r="AU638">
        <v>2014</v>
      </c>
      <c r="AV638" t="s">
        <v>74</v>
      </c>
      <c r="AW638" t="s">
        <v>74</v>
      </c>
      <c r="AX638" t="s">
        <v>74</v>
      </c>
      <c r="AY638" t="s">
        <v>74</v>
      </c>
      <c r="AZ638" t="s">
        <v>74</v>
      </c>
      <c r="BA638" t="s">
        <v>74</v>
      </c>
      <c r="BB638">
        <v>149</v>
      </c>
      <c r="BC638">
        <v>153</v>
      </c>
      <c r="BD638" t="s">
        <v>74</v>
      </c>
      <c r="BE638" t="s">
        <v>74</v>
      </c>
      <c r="BF638" t="s">
        <v>74</v>
      </c>
      <c r="BG638" t="s">
        <v>74</v>
      </c>
      <c r="BH638" t="s">
        <v>74</v>
      </c>
      <c r="BI638">
        <v>5</v>
      </c>
      <c r="BJ638" t="s">
        <v>12118</v>
      </c>
      <c r="BK638" t="s">
        <v>8799</v>
      </c>
      <c r="BL638" t="s">
        <v>12119</v>
      </c>
      <c r="BM638" t="s">
        <v>12120</v>
      </c>
      <c r="BN638" t="s">
        <v>74</v>
      </c>
      <c r="BO638" t="s">
        <v>74</v>
      </c>
      <c r="BP638" t="s">
        <v>74</v>
      </c>
      <c r="BQ638" t="s">
        <v>74</v>
      </c>
      <c r="BR638" t="s">
        <v>104</v>
      </c>
      <c r="BS638" t="s">
        <v>12121</v>
      </c>
      <c r="BT638" t="str">
        <f>HYPERLINK("https%3A%2F%2Fwww.webofscience.com%2Fwos%2Fwoscc%2Ffull-record%2FWOS:000341268700026","View Full Record in Web of Science")</f>
        <v>View Full Record in Web of Science</v>
      </c>
    </row>
    <row r="639" spans="1:72" x14ac:dyDescent="0.15">
      <c r="A639" t="s">
        <v>72</v>
      </c>
      <c r="B639" t="s">
        <v>12122</v>
      </c>
      <c r="C639" t="s">
        <v>74</v>
      </c>
      <c r="D639" t="s">
        <v>74</v>
      </c>
      <c r="E639" t="s">
        <v>74</v>
      </c>
      <c r="F639" t="s">
        <v>12123</v>
      </c>
      <c r="G639" t="s">
        <v>74</v>
      </c>
      <c r="H639" t="s">
        <v>74</v>
      </c>
      <c r="I639" t="s">
        <v>12124</v>
      </c>
      <c r="J639" t="s">
        <v>10826</v>
      </c>
      <c r="K639" t="s">
        <v>74</v>
      </c>
      <c r="L639" t="s">
        <v>74</v>
      </c>
      <c r="M639" t="s">
        <v>78</v>
      </c>
      <c r="N639" t="s">
        <v>79</v>
      </c>
      <c r="O639" t="s">
        <v>74</v>
      </c>
      <c r="P639" t="s">
        <v>74</v>
      </c>
      <c r="Q639" t="s">
        <v>74</v>
      </c>
      <c r="R639" t="s">
        <v>74</v>
      </c>
      <c r="S639" t="s">
        <v>74</v>
      </c>
      <c r="T639" t="s">
        <v>12125</v>
      </c>
      <c r="U639" t="s">
        <v>12126</v>
      </c>
      <c r="V639" t="s">
        <v>12127</v>
      </c>
      <c r="W639" t="s">
        <v>12128</v>
      </c>
      <c r="X639" t="s">
        <v>12129</v>
      </c>
      <c r="Y639" t="s">
        <v>12130</v>
      </c>
      <c r="Z639" t="s">
        <v>12131</v>
      </c>
      <c r="AA639" t="s">
        <v>74</v>
      </c>
      <c r="AB639" t="s">
        <v>12132</v>
      </c>
      <c r="AC639" t="s">
        <v>12133</v>
      </c>
      <c r="AD639" t="s">
        <v>12134</v>
      </c>
      <c r="AE639" t="s">
        <v>12135</v>
      </c>
      <c r="AF639" t="s">
        <v>74</v>
      </c>
      <c r="AG639">
        <v>70</v>
      </c>
      <c r="AH639">
        <v>28</v>
      </c>
      <c r="AI639">
        <v>37</v>
      </c>
      <c r="AJ639">
        <v>0</v>
      </c>
      <c r="AK639">
        <v>55</v>
      </c>
      <c r="AL639" t="s">
        <v>10310</v>
      </c>
      <c r="AM639" t="s">
        <v>10311</v>
      </c>
      <c r="AN639" t="s">
        <v>10312</v>
      </c>
      <c r="AO639" t="s">
        <v>10838</v>
      </c>
      <c r="AP639" t="s">
        <v>10839</v>
      </c>
      <c r="AQ639" t="s">
        <v>74</v>
      </c>
      <c r="AR639" t="s">
        <v>10840</v>
      </c>
      <c r="AS639" t="s">
        <v>10841</v>
      </c>
      <c r="AT639" t="s">
        <v>74</v>
      </c>
      <c r="AU639">
        <v>2014</v>
      </c>
      <c r="AV639">
        <v>509</v>
      </c>
      <c r="AW639" t="s">
        <v>74</v>
      </c>
      <c r="AX639" t="s">
        <v>74</v>
      </c>
      <c r="AY639" t="s">
        <v>74</v>
      </c>
      <c r="AZ639" t="s">
        <v>74</v>
      </c>
      <c r="BA639" t="s">
        <v>74</v>
      </c>
      <c r="BB639">
        <v>39</v>
      </c>
      <c r="BC639">
        <v>55</v>
      </c>
      <c r="BD639" t="s">
        <v>74</v>
      </c>
      <c r="BE639" t="s">
        <v>12136</v>
      </c>
      <c r="BF639" t="str">
        <f>HYPERLINK("http://dx.doi.org/10.3354/meps10868","http://dx.doi.org/10.3354/meps10868")</f>
        <v>http://dx.doi.org/10.3354/meps10868</v>
      </c>
      <c r="BG639" t="s">
        <v>74</v>
      </c>
      <c r="BH639" t="s">
        <v>74</v>
      </c>
      <c r="BI639">
        <v>17</v>
      </c>
      <c r="BJ639" t="s">
        <v>10843</v>
      </c>
      <c r="BK639" t="s">
        <v>101</v>
      </c>
      <c r="BL639" t="s">
        <v>10844</v>
      </c>
      <c r="BM639" t="s">
        <v>12137</v>
      </c>
      <c r="BN639" t="s">
        <v>74</v>
      </c>
      <c r="BO639" t="s">
        <v>6867</v>
      </c>
      <c r="BP639" t="s">
        <v>74</v>
      </c>
      <c r="BQ639" t="s">
        <v>74</v>
      </c>
      <c r="BR639" t="s">
        <v>104</v>
      </c>
      <c r="BS639" t="s">
        <v>12138</v>
      </c>
      <c r="BT639" t="str">
        <f>HYPERLINK("https%3A%2F%2Fwww.webofscience.com%2Fwos%2Fwoscc%2Ffull-record%2FWOS:000341570100004","View Full Record in Web of Science")</f>
        <v>View Full Record in Web of Science</v>
      </c>
    </row>
    <row r="640" spans="1:72" x14ac:dyDescent="0.15">
      <c r="A640" t="s">
        <v>72</v>
      </c>
      <c r="B640" t="s">
        <v>12139</v>
      </c>
      <c r="C640" t="s">
        <v>74</v>
      </c>
      <c r="D640" t="s">
        <v>74</v>
      </c>
      <c r="E640" t="s">
        <v>74</v>
      </c>
      <c r="F640" t="s">
        <v>12140</v>
      </c>
      <c r="G640" t="s">
        <v>74</v>
      </c>
      <c r="H640" t="s">
        <v>74</v>
      </c>
      <c r="I640" t="s">
        <v>12141</v>
      </c>
      <c r="J640" t="s">
        <v>12142</v>
      </c>
      <c r="K640" t="s">
        <v>74</v>
      </c>
      <c r="L640" t="s">
        <v>74</v>
      </c>
      <c r="M640" t="s">
        <v>78</v>
      </c>
      <c r="N640" t="s">
        <v>79</v>
      </c>
      <c r="O640" t="s">
        <v>74</v>
      </c>
      <c r="P640" t="s">
        <v>74</v>
      </c>
      <c r="Q640" t="s">
        <v>74</v>
      </c>
      <c r="R640" t="s">
        <v>74</v>
      </c>
      <c r="S640" t="s">
        <v>74</v>
      </c>
      <c r="T640" t="s">
        <v>12143</v>
      </c>
      <c r="U640" t="s">
        <v>12144</v>
      </c>
      <c r="V640" t="s">
        <v>12145</v>
      </c>
      <c r="W640" t="s">
        <v>12146</v>
      </c>
      <c r="X640" t="s">
        <v>12147</v>
      </c>
      <c r="Y640" t="s">
        <v>12148</v>
      </c>
      <c r="Z640" t="s">
        <v>12149</v>
      </c>
      <c r="AA640" t="s">
        <v>74</v>
      </c>
      <c r="AB640" t="s">
        <v>74</v>
      </c>
      <c r="AC640" t="s">
        <v>74</v>
      </c>
      <c r="AD640" t="s">
        <v>74</v>
      </c>
      <c r="AE640" t="s">
        <v>74</v>
      </c>
      <c r="AF640" t="s">
        <v>74</v>
      </c>
      <c r="AG640">
        <v>63</v>
      </c>
      <c r="AH640">
        <v>12</v>
      </c>
      <c r="AI640">
        <v>13</v>
      </c>
      <c r="AJ640">
        <v>1</v>
      </c>
      <c r="AK640">
        <v>29</v>
      </c>
      <c r="AL640" t="s">
        <v>12150</v>
      </c>
      <c r="AM640" t="s">
        <v>10539</v>
      </c>
      <c r="AN640" t="s">
        <v>12151</v>
      </c>
      <c r="AO640" t="s">
        <v>12152</v>
      </c>
      <c r="AP640" t="s">
        <v>12153</v>
      </c>
      <c r="AQ640" t="s">
        <v>74</v>
      </c>
      <c r="AR640" t="s">
        <v>12154</v>
      </c>
      <c r="AS640" t="s">
        <v>12155</v>
      </c>
      <c r="AT640" t="s">
        <v>74</v>
      </c>
      <c r="AU640">
        <v>2014</v>
      </c>
      <c r="AV640">
        <v>58</v>
      </c>
      <c r="AW640">
        <v>2</v>
      </c>
      <c r="AX640" t="s">
        <v>74</v>
      </c>
      <c r="AY640" t="s">
        <v>74</v>
      </c>
      <c r="AZ640" t="s">
        <v>74</v>
      </c>
      <c r="BA640" t="s">
        <v>74</v>
      </c>
      <c r="BB640">
        <v>263</v>
      </c>
      <c r="BC640">
        <v>268</v>
      </c>
      <c r="BD640" t="s">
        <v>74</v>
      </c>
      <c r="BE640" t="s">
        <v>12156</v>
      </c>
      <c r="BF640" t="str">
        <f>HYPERLINK("http://dx.doi.org/10.7306/gq.1143","http://dx.doi.org/10.7306/gq.1143")</f>
        <v>http://dx.doi.org/10.7306/gq.1143</v>
      </c>
      <c r="BG640" t="s">
        <v>74</v>
      </c>
      <c r="BH640" t="s">
        <v>74</v>
      </c>
      <c r="BI640">
        <v>6</v>
      </c>
      <c r="BJ640" t="s">
        <v>597</v>
      </c>
      <c r="BK640" t="s">
        <v>101</v>
      </c>
      <c r="BL640" t="s">
        <v>597</v>
      </c>
      <c r="BM640" t="s">
        <v>12157</v>
      </c>
      <c r="BN640" t="s">
        <v>74</v>
      </c>
      <c r="BO640" t="s">
        <v>200</v>
      </c>
      <c r="BP640" t="s">
        <v>74</v>
      </c>
      <c r="BQ640" t="s">
        <v>74</v>
      </c>
      <c r="BR640" t="s">
        <v>104</v>
      </c>
      <c r="BS640" t="s">
        <v>12158</v>
      </c>
      <c r="BT640" t="str">
        <f>HYPERLINK("https%3A%2F%2Fwww.webofscience.com%2Fwos%2Fwoscc%2Ffull-record%2FWOS:000341063800005","View Full Record in Web of Science")</f>
        <v>View Full Record in Web of Science</v>
      </c>
    </row>
    <row r="641" spans="1:72" x14ac:dyDescent="0.15">
      <c r="A641" t="s">
        <v>72</v>
      </c>
      <c r="B641" t="s">
        <v>12159</v>
      </c>
      <c r="C641" t="s">
        <v>74</v>
      </c>
      <c r="D641" t="s">
        <v>74</v>
      </c>
      <c r="E641" t="s">
        <v>74</v>
      </c>
      <c r="F641" t="s">
        <v>12160</v>
      </c>
      <c r="G641" t="s">
        <v>74</v>
      </c>
      <c r="H641" t="s">
        <v>74</v>
      </c>
      <c r="I641" t="s">
        <v>12161</v>
      </c>
      <c r="J641" t="s">
        <v>10199</v>
      </c>
      <c r="K641" t="s">
        <v>74</v>
      </c>
      <c r="L641" t="s">
        <v>74</v>
      </c>
      <c r="M641" t="s">
        <v>1424</v>
      </c>
      <c r="N641" t="s">
        <v>79</v>
      </c>
      <c r="O641" t="s">
        <v>74</v>
      </c>
      <c r="P641" t="s">
        <v>74</v>
      </c>
      <c r="Q641" t="s">
        <v>74</v>
      </c>
      <c r="R641" t="s">
        <v>74</v>
      </c>
      <c r="S641" t="s">
        <v>74</v>
      </c>
      <c r="T641" t="s">
        <v>12162</v>
      </c>
      <c r="U641" t="s">
        <v>74</v>
      </c>
      <c r="V641" t="s">
        <v>12163</v>
      </c>
      <c r="W641" t="s">
        <v>12164</v>
      </c>
      <c r="X641" t="s">
        <v>12165</v>
      </c>
      <c r="Y641" t="s">
        <v>12166</v>
      </c>
      <c r="Z641" t="s">
        <v>12167</v>
      </c>
      <c r="AA641" t="s">
        <v>74</v>
      </c>
      <c r="AB641" t="s">
        <v>12168</v>
      </c>
      <c r="AC641" t="s">
        <v>74</v>
      </c>
      <c r="AD641" t="s">
        <v>74</v>
      </c>
      <c r="AE641" t="s">
        <v>74</v>
      </c>
      <c r="AF641" t="s">
        <v>74</v>
      </c>
      <c r="AG641">
        <v>48</v>
      </c>
      <c r="AH641">
        <v>1</v>
      </c>
      <c r="AI641">
        <v>2</v>
      </c>
      <c r="AJ641">
        <v>3</v>
      </c>
      <c r="AK641">
        <v>13</v>
      </c>
      <c r="AL641" t="s">
        <v>10206</v>
      </c>
      <c r="AM641" t="s">
        <v>10207</v>
      </c>
      <c r="AN641" t="s">
        <v>10208</v>
      </c>
      <c r="AO641" t="s">
        <v>10209</v>
      </c>
      <c r="AP641" t="s">
        <v>74</v>
      </c>
      <c r="AQ641" t="s">
        <v>74</v>
      </c>
      <c r="AR641" t="s">
        <v>10199</v>
      </c>
      <c r="AS641" t="s">
        <v>10210</v>
      </c>
      <c r="AT641" t="s">
        <v>74</v>
      </c>
      <c r="AU641">
        <v>2014</v>
      </c>
      <c r="AV641">
        <v>42</v>
      </c>
      <c r="AW641">
        <v>1</v>
      </c>
      <c r="AX641" t="s">
        <v>74</v>
      </c>
      <c r="AY641" t="s">
        <v>74</v>
      </c>
      <c r="AZ641" t="s">
        <v>74</v>
      </c>
      <c r="BA641" t="s">
        <v>74</v>
      </c>
      <c r="BB641">
        <v>17</v>
      </c>
      <c r="BC641">
        <v>31</v>
      </c>
      <c r="BD641" t="s">
        <v>74</v>
      </c>
      <c r="BE641" t="s">
        <v>12169</v>
      </c>
      <c r="BF641" t="str">
        <f>HYPERLINK("http://dx.doi.org/10.4067/S0718-22442014000100002","http://dx.doi.org/10.4067/S0718-22442014000100002")</f>
        <v>http://dx.doi.org/10.4067/S0718-22442014000100002</v>
      </c>
      <c r="BG641" t="s">
        <v>74</v>
      </c>
      <c r="BH641" t="s">
        <v>74</v>
      </c>
      <c r="BI641">
        <v>15</v>
      </c>
      <c r="BJ641" t="s">
        <v>10212</v>
      </c>
      <c r="BK641" t="s">
        <v>8725</v>
      </c>
      <c r="BL641" t="s">
        <v>10212</v>
      </c>
      <c r="BM641" t="s">
        <v>12170</v>
      </c>
      <c r="BN641" t="s">
        <v>74</v>
      </c>
      <c r="BO641" t="s">
        <v>6156</v>
      </c>
      <c r="BP641" t="s">
        <v>74</v>
      </c>
      <c r="BQ641" t="s">
        <v>74</v>
      </c>
      <c r="BR641" t="s">
        <v>104</v>
      </c>
      <c r="BS641" t="s">
        <v>12171</v>
      </c>
      <c r="BT641" t="str">
        <f>HYPERLINK("https%3A%2F%2Fwww.webofscience.com%2Fwos%2Fwoscc%2Ffull-record%2FWOS:000340694700002","View Full Record in Web of Science")</f>
        <v>View Full Record in Web of Science</v>
      </c>
    </row>
    <row r="642" spans="1:72" x14ac:dyDescent="0.15">
      <c r="A642" t="s">
        <v>9250</v>
      </c>
      <c r="B642" t="s">
        <v>12172</v>
      </c>
      <c r="C642" t="s">
        <v>74</v>
      </c>
      <c r="D642" t="s">
        <v>12173</v>
      </c>
      <c r="E642" t="s">
        <v>74</v>
      </c>
      <c r="F642" t="s">
        <v>12174</v>
      </c>
      <c r="G642" t="s">
        <v>74</v>
      </c>
      <c r="H642" t="s">
        <v>74</v>
      </c>
      <c r="I642" t="s">
        <v>12175</v>
      </c>
      <c r="J642" t="s">
        <v>12176</v>
      </c>
      <c r="K642" t="s">
        <v>12177</v>
      </c>
      <c r="L642" t="s">
        <v>74</v>
      </c>
      <c r="M642" t="s">
        <v>78</v>
      </c>
      <c r="N642" t="s">
        <v>8809</v>
      </c>
      <c r="O642" t="s">
        <v>74</v>
      </c>
      <c r="P642" t="s">
        <v>74</v>
      </c>
      <c r="Q642" t="s">
        <v>74</v>
      </c>
      <c r="R642" t="s">
        <v>74</v>
      </c>
      <c r="S642" t="s">
        <v>74</v>
      </c>
      <c r="T642" t="s">
        <v>74</v>
      </c>
      <c r="U642" t="s">
        <v>12178</v>
      </c>
      <c r="V642" t="s">
        <v>12179</v>
      </c>
      <c r="W642" t="s">
        <v>12180</v>
      </c>
      <c r="X642" t="s">
        <v>12181</v>
      </c>
      <c r="Y642" t="s">
        <v>12182</v>
      </c>
      <c r="Z642" t="s">
        <v>12183</v>
      </c>
      <c r="AA642" t="s">
        <v>12184</v>
      </c>
      <c r="AB642" t="s">
        <v>12185</v>
      </c>
      <c r="AC642" t="s">
        <v>12186</v>
      </c>
      <c r="AD642" t="s">
        <v>10620</v>
      </c>
      <c r="AE642" t="s">
        <v>74</v>
      </c>
      <c r="AF642" t="s">
        <v>74</v>
      </c>
      <c r="AG642">
        <v>43</v>
      </c>
      <c r="AH642">
        <v>21</v>
      </c>
      <c r="AI642">
        <v>25</v>
      </c>
      <c r="AJ642">
        <v>3</v>
      </c>
      <c r="AK642">
        <v>16</v>
      </c>
      <c r="AL642" t="s">
        <v>11353</v>
      </c>
      <c r="AM642" t="s">
        <v>11354</v>
      </c>
      <c r="AN642" t="s">
        <v>11355</v>
      </c>
      <c r="AO642" t="s">
        <v>12187</v>
      </c>
      <c r="AP642" t="s">
        <v>74</v>
      </c>
      <c r="AQ642" t="s">
        <v>12188</v>
      </c>
      <c r="AR642" t="s">
        <v>12189</v>
      </c>
      <c r="AS642" t="s">
        <v>12190</v>
      </c>
      <c r="AT642" t="s">
        <v>74</v>
      </c>
      <c r="AU642">
        <v>2014</v>
      </c>
      <c r="AV642">
        <v>395</v>
      </c>
      <c r="AW642" t="s">
        <v>74</v>
      </c>
      <c r="AX642" t="s">
        <v>74</v>
      </c>
      <c r="AY642" t="s">
        <v>74</v>
      </c>
      <c r="AZ642" t="s">
        <v>74</v>
      </c>
      <c r="BA642" t="s">
        <v>74</v>
      </c>
      <c r="BB642">
        <v>255</v>
      </c>
      <c r="BC642">
        <v>263</v>
      </c>
      <c r="BD642" t="s">
        <v>74</v>
      </c>
      <c r="BE642" t="s">
        <v>12191</v>
      </c>
      <c r="BF642" t="str">
        <f>HYPERLINK("http://dx.doi.org/10.1144/SP395.10","http://dx.doi.org/10.1144/SP395.10")</f>
        <v>http://dx.doi.org/10.1144/SP395.10</v>
      </c>
      <c r="BG642" t="s">
        <v>74</v>
      </c>
      <c r="BH642" t="s">
        <v>74</v>
      </c>
      <c r="BI642">
        <v>9</v>
      </c>
      <c r="BJ642" t="s">
        <v>597</v>
      </c>
      <c r="BK642" t="s">
        <v>8850</v>
      </c>
      <c r="BL642" t="s">
        <v>597</v>
      </c>
      <c r="BM642" t="s">
        <v>12192</v>
      </c>
      <c r="BN642" t="s">
        <v>74</v>
      </c>
      <c r="BO642" t="s">
        <v>2501</v>
      </c>
      <c r="BP642" t="s">
        <v>74</v>
      </c>
      <c r="BQ642" t="s">
        <v>74</v>
      </c>
      <c r="BR642" t="s">
        <v>104</v>
      </c>
      <c r="BS642" t="s">
        <v>12193</v>
      </c>
      <c r="BT642" t="str">
        <f>HYPERLINK("https%3A%2F%2Fwww.webofscience.com%2Fwos%2Fwoscc%2Ffull-record%2FWOS:000340169900015","View Full Record in Web of Science")</f>
        <v>View Full Record in Web of Science</v>
      </c>
    </row>
    <row r="643" spans="1:72" x14ac:dyDescent="0.15">
      <c r="A643" t="s">
        <v>72</v>
      </c>
      <c r="B643" t="s">
        <v>12194</v>
      </c>
      <c r="C643" t="s">
        <v>74</v>
      </c>
      <c r="D643" t="s">
        <v>74</v>
      </c>
      <c r="E643" t="s">
        <v>74</v>
      </c>
      <c r="F643" t="s">
        <v>12195</v>
      </c>
      <c r="G643" t="s">
        <v>74</v>
      </c>
      <c r="H643" t="s">
        <v>74</v>
      </c>
      <c r="I643" t="s">
        <v>12196</v>
      </c>
      <c r="J643" t="s">
        <v>10866</v>
      </c>
      <c r="K643" t="s">
        <v>74</v>
      </c>
      <c r="L643" t="s">
        <v>74</v>
      </c>
      <c r="M643" t="s">
        <v>78</v>
      </c>
      <c r="N643" t="s">
        <v>79</v>
      </c>
      <c r="O643" t="s">
        <v>74</v>
      </c>
      <c r="P643" t="s">
        <v>74</v>
      </c>
      <c r="Q643" t="s">
        <v>74</v>
      </c>
      <c r="R643" t="s">
        <v>74</v>
      </c>
      <c r="S643" t="s">
        <v>74</v>
      </c>
      <c r="T643" t="s">
        <v>12197</v>
      </c>
      <c r="U643" t="s">
        <v>12198</v>
      </c>
      <c r="V643" t="s">
        <v>12199</v>
      </c>
      <c r="W643" t="s">
        <v>12200</v>
      </c>
      <c r="X643" t="s">
        <v>5675</v>
      </c>
      <c r="Y643" t="s">
        <v>12201</v>
      </c>
      <c r="Z643" t="s">
        <v>12202</v>
      </c>
      <c r="AA643" t="s">
        <v>12203</v>
      </c>
      <c r="AB643" t="s">
        <v>12204</v>
      </c>
      <c r="AC643" t="s">
        <v>12205</v>
      </c>
      <c r="AD643" t="s">
        <v>12206</v>
      </c>
      <c r="AE643" t="s">
        <v>12207</v>
      </c>
      <c r="AF643" t="s">
        <v>74</v>
      </c>
      <c r="AG643">
        <v>25</v>
      </c>
      <c r="AH643">
        <v>7</v>
      </c>
      <c r="AI643">
        <v>7</v>
      </c>
      <c r="AJ643">
        <v>1</v>
      </c>
      <c r="AK643">
        <v>16</v>
      </c>
      <c r="AL643" t="s">
        <v>10875</v>
      </c>
      <c r="AM643" t="s">
        <v>8793</v>
      </c>
      <c r="AN643" t="s">
        <v>12208</v>
      </c>
      <c r="AO643" t="s">
        <v>10877</v>
      </c>
      <c r="AP643" t="s">
        <v>10878</v>
      </c>
      <c r="AQ643" t="s">
        <v>74</v>
      </c>
      <c r="AR643" t="s">
        <v>10866</v>
      </c>
      <c r="AS643" t="s">
        <v>10879</v>
      </c>
      <c r="AT643" t="s">
        <v>74</v>
      </c>
      <c r="AU643">
        <v>2014</v>
      </c>
      <c r="AV643" t="s">
        <v>74</v>
      </c>
      <c r="AW643">
        <v>434</v>
      </c>
      <c r="AX643" t="s">
        <v>74</v>
      </c>
      <c r="AY643" t="s">
        <v>74</v>
      </c>
      <c r="AZ643" t="s">
        <v>74</v>
      </c>
      <c r="BA643" t="s">
        <v>74</v>
      </c>
      <c r="BB643">
        <v>1</v>
      </c>
      <c r="BC643">
        <v>15</v>
      </c>
      <c r="BD643" t="s">
        <v>74</v>
      </c>
      <c r="BE643" t="s">
        <v>12209</v>
      </c>
      <c r="BF643" t="str">
        <f>HYPERLINK("http://dx.doi.org/10.3897/zookeys.434.7622","http://dx.doi.org/10.3897/zookeys.434.7622")</f>
        <v>http://dx.doi.org/10.3897/zookeys.434.7622</v>
      </c>
      <c r="BG643" t="s">
        <v>74</v>
      </c>
      <c r="BH643" t="s">
        <v>74</v>
      </c>
      <c r="BI643">
        <v>15</v>
      </c>
      <c r="BJ643" t="s">
        <v>384</v>
      </c>
      <c r="BK643" t="s">
        <v>101</v>
      </c>
      <c r="BL643" t="s">
        <v>384</v>
      </c>
      <c r="BM643" t="s">
        <v>12210</v>
      </c>
      <c r="BN643">
        <v>25152677</v>
      </c>
      <c r="BO643" t="s">
        <v>12211</v>
      </c>
      <c r="BP643" t="s">
        <v>74</v>
      </c>
      <c r="BQ643" t="s">
        <v>74</v>
      </c>
      <c r="BR643" t="s">
        <v>104</v>
      </c>
      <c r="BS643" t="s">
        <v>12212</v>
      </c>
      <c r="BT643" t="str">
        <f>HYPERLINK("https%3A%2F%2Fwww.webofscience.com%2Fwos%2Fwoscc%2Ffull-record%2FWOS:000340678700001","View Full Record in Web of Science")</f>
        <v>View Full Record in Web of Science</v>
      </c>
    </row>
    <row r="644" spans="1:72" x14ac:dyDescent="0.15">
      <c r="A644" t="s">
        <v>72</v>
      </c>
      <c r="B644" t="s">
        <v>12213</v>
      </c>
      <c r="C644" t="s">
        <v>74</v>
      </c>
      <c r="D644" t="s">
        <v>74</v>
      </c>
      <c r="E644" t="s">
        <v>74</v>
      </c>
      <c r="F644" t="s">
        <v>12214</v>
      </c>
      <c r="G644" t="s">
        <v>74</v>
      </c>
      <c r="H644" t="s">
        <v>74</v>
      </c>
      <c r="I644" t="s">
        <v>12215</v>
      </c>
      <c r="J644" t="s">
        <v>12216</v>
      </c>
      <c r="K644" t="s">
        <v>74</v>
      </c>
      <c r="L644" t="s">
        <v>74</v>
      </c>
      <c r="M644" t="s">
        <v>78</v>
      </c>
      <c r="N644" t="s">
        <v>79</v>
      </c>
      <c r="O644" t="s">
        <v>74</v>
      </c>
      <c r="P644" t="s">
        <v>74</v>
      </c>
      <c r="Q644" t="s">
        <v>74</v>
      </c>
      <c r="R644" t="s">
        <v>74</v>
      </c>
      <c r="S644" t="s">
        <v>74</v>
      </c>
      <c r="T644" t="s">
        <v>12217</v>
      </c>
      <c r="U644" t="s">
        <v>12218</v>
      </c>
      <c r="V644" t="s">
        <v>12219</v>
      </c>
      <c r="W644" t="s">
        <v>12220</v>
      </c>
      <c r="X644" t="s">
        <v>12221</v>
      </c>
      <c r="Y644" t="s">
        <v>12222</v>
      </c>
      <c r="Z644" t="s">
        <v>12223</v>
      </c>
      <c r="AA644" t="s">
        <v>74</v>
      </c>
      <c r="AB644" t="s">
        <v>12224</v>
      </c>
      <c r="AC644" t="s">
        <v>12225</v>
      </c>
      <c r="AD644" t="s">
        <v>12225</v>
      </c>
      <c r="AE644" t="s">
        <v>12226</v>
      </c>
      <c r="AF644" t="s">
        <v>74</v>
      </c>
      <c r="AG644">
        <v>35</v>
      </c>
      <c r="AH644">
        <v>5</v>
      </c>
      <c r="AI644">
        <v>7</v>
      </c>
      <c r="AJ644">
        <v>2</v>
      </c>
      <c r="AK644">
        <v>23</v>
      </c>
      <c r="AL644" t="s">
        <v>12227</v>
      </c>
      <c r="AM644" t="s">
        <v>12228</v>
      </c>
      <c r="AN644" t="s">
        <v>12229</v>
      </c>
      <c r="AO644" t="s">
        <v>12230</v>
      </c>
      <c r="AP644" t="s">
        <v>12231</v>
      </c>
      <c r="AQ644" t="s">
        <v>74</v>
      </c>
      <c r="AR644" t="s">
        <v>12232</v>
      </c>
      <c r="AS644" t="s">
        <v>12233</v>
      </c>
      <c r="AT644" t="s">
        <v>74</v>
      </c>
      <c r="AU644">
        <v>2014</v>
      </c>
      <c r="AV644">
        <v>36</v>
      </c>
      <c r="AW644">
        <v>2</v>
      </c>
      <c r="AX644" t="s">
        <v>74</v>
      </c>
      <c r="AY644" t="s">
        <v>74</v>
      </c>
      <c r="AZ644" t="s">
        <v>74</v>
      </c>
      <c r="BA644" t="s">
        <v>74</v>
      </c>
      <c r="BB644">
        <v>269</v>
      </c>
      <c r="BC644">
        <v>278</v>
      </c>
      <c r="BD644" t="s">
        <v>74</v>
      </c>
      <c r="BE644" t="s">
        <v>12234</v>
      </c>
      <c r="BF644" t="str">
        <f>HYPERLINK("http://dx.doi.org/10.2989/1814232X.2014.928652","http://dx.doi.org/10.2989/1814232X.2014.928652")</f>
        <v>http://dx.doi.org/10.2989/1814232X.2014.928652</v>
      </c>
      <c r="BG644" t="s">
        <v>74</v>
      </c>
      <c r="BH644" t="s">
        <v>74</v>
      </c>
      <c r="BI644">
        <v>10</v>
      </c>
      <c r="BJ644" t="s">
        <v>1028</v>
      </c>
      <c r="BK644" t="s">
        <v>101</v>
      </c>
      <c r="BL644" t="s">
        <v>1028</v>
      </c>
      <c r="BM644" t="s">
        <v>12235</v>
      </c>
      <c r="BN644" t="s">
        <v>74</v>
      </c>
      <c r="BO644" t="s">
        <v>74</v>
      </c>
      <c r="BP644" t="s">
        <v>74</v>
      </c>
      <c r="BQ644" t="s">
        <v>74</v>
      </c>
      <c r="BR644" t="s">
        <v>104</v>
      </c>
      <c r="BS644" t="s">
        <v>12236</v>
      </c>
      <c r="BT644" t="str">
        <f>HYPERLINK("https%3A%2F%2Fwww.webofscience.com%2Fwos%2Fwoscc%2Ffull-record%2FWOS:000340268200012","View Full Record in Web of Science")</f>
        <v>View Full Record in Web of Science</v>
      </c>
    </row>
    <row r="645" spans="1:72" x14ac:dyDescent="0.15">
      <c r="A645" t="s">
        <v>72</v>
      </c>
      <c r="B645" t="s">
        <v>12237</v>
      </c>
      <c r="C645" t="s">
        <v>74</v>
      </c>
      <c r="D645" t="s">
        <v>74</v>
      </c>
      <c r="E645" t="s">
        <v>74</v>
      </c>
      <c r="F645" t="s">
        <v>12238</v>
      </c>
      <c r="G645" t="s">
        <v>74</v>
      </c>
      <c r="H645" t="s">
        <v>74</v>
      </c>
      <c r="I645" t="s">
        <v>12239</v>
      </c>
      <c r="J645" t="s">
        <v>10690</v>
      </c>
      <c r="K645" t="s">
        <v>74</v>
      </c>
      <c r="L645" t="s">
        <v>74</v>
      </c>
      <c r="M645" t="s">
        <v>1424</v>
      </c>
      <c r="N645" t="s">
        <v>79</v>
      </c>
      <c r="O645" t="s">
        <v>74</v>
      </c>
      <c r="P645" t="s">
        <v>74</v>
      </c>
      <c r="Q645" t="s">
        <v>74</v>
      </c>
      <c r="R645" t="s">
        <v>74</v>
      </c>
      <c r="S645" t="s">
        <v>74</v>
      </c>
      <c r="T645" t="s">
        <v>12240</v>
      </c>
      <c r="U645" t="s">
        <v>12241</v>
      </c>
      <c r="V645" t="s">
        <v>12242</v>
      </c>
      <c r="W645" t="s">
        <v>12243</v>
      </c>
      <c r="X645" t="s">
        <v>12244</v>
      </c>
      <c r="Y645" t="s">
        <v>12245</v>
      </c>
      <c r="Z645" t="s">
        <v>12246</v>
      </c>
      <c r="AA645" t="s">
        <v>74</v>
      </c>
      <c r="AB645" t="s">
        <v>12247</v>
      </c>
      <c r="AC645" t="s">
        <v>74</v>
      </c>
      <c r="AD645" t="s">
        <v>74</v>
      </c>
      <c r="AE645" t="s">
        <v>74</v>
      </c>
      <c r="AF645" t="s">
        <v>74</v>
      </c>
      <c r="AG645">
        <v>27</v>
      </c>
      <c r="AH645">
        <v>11</v>
      </c>
      <c r="AI645">
        <v>11</v>
      </c>
      <c r="AJ645">
        <v>3</v>
      </c>
      <c r="AK645">
        <v>48</v>
      </c>
      <c r="AL645" t="s">
        <v>10700</v>
      </c>
      <c r="AM645" t="s">
        <v>10701</v>
      </c>
      <c r="AN645" t="s">
        <v>10702</v>
      </c>
      <c r="AO645" t="s">
        <v>10703</v>
      </c>
      <c r="AP645" t="s">
        <v>74</v>
      </c>
      <c r="AQ645" t="s">
        <v>74</v>
      </c>
      <c r="AR645" t="s">
        <v>10690</v>
      </c>
      <c r="AS645" t="s">
        <v>10704</v>
      </c>
      <c r="AT645" t="s">
        <v>74</v>
      </c>
      <c r="AU645">
        <v>2014</v>
      </c>
      <c r="AV645">
        <v>35</v>
      </c>
      <c r="AW645">
        <v>2</v>
      </c>
      <c r="AX645" t="s">
        <v>74</v>
      </c>
      <c r="AY645" t="s">
        <v>74</v>
      </c>
      <c r="AZ645" t="s">
        <v>74</v>
      </c>
      <c r="BA645" t="s">
        <v>74</v>
      </c>
      <c r="BB645">
        <v>235</v>
      </c>
      <c r="BC645">
        <v>239</v>
      </c>
      <c r="BD645" t="s">
        <v>74</v>
      </c>
      <c r="BE645" t="s">
        <v>12248</v>
      </c>
      <c r="BF645" t="str">
        <f>HYPERLINK("http://dx.doi.org/10.4067/S0717-92002014000200011","http://dx.doi.org/10.4067/S0717-92002014000200011")</f>
        <v>http://dx.doi.org/10.4067/S0717-92002014000200011</v>
      </c>
      <c r="BG645" t="s">
        <v>74</v>
      </c>
      <c r="BH645" t="s">
        <v>74</v>
      </c>
      <c r="BI645">
        <v>5</v>
      </c>
      <c r="BJ645" t="s">
        <v>10706</v>
      </c>
      <c r="BK645" t="s">
        <v>101</v>
      </c>
      <c r="BL645" t="s">
        <v>10707</v>
      </c>
      <c r="BM645" t="s">
        <v>12249</v>
      </c>
      <c r="BN645" t="s">
        <v>74</v>
      </c>
      <c r="BO645" t="s">
        <v>9228</v>
      </c>
      <c r="BP645" t="s">
        <v>74</v>
      </c>
      <c r="BQ645" t="s">
        <v>74</v>
      </c>
      <c r="BR645" t="s">
        <v>104</v>
      </c>
      <c r="BS645" t="s">
        <v>12250</v>
      </c>
      <c r="BT645" t="str">
        <f>HYPERLINK("https%3A%2F%2Fwww.webofscience.com%2Fwos%2Fwoscc%2Ffull-record%2FWOS:000340231600011","View Full Record in Web of Science")</f>
        <v>View Full Record in Web of Science</v>
      </c>
    </row>
    <row r="646" spans="1:72" x14ac:dyDescent="0.15">
      <c r="A646" t="s">
        <v>72</v>
      </c>
      <c r="B646" t="s">
        <v>12251</v>
      </c>
      <c r="C646" t="s">
        <v>74</v>
      </c>
      <c r="D646" t="s">
        <v>74</v>
      </c>
      <c r="E646" t="s">
        <v>74</v>
      </c>
      <c r="F646" t="s">
        <v>12252</v>
      </c>
      <c r="G646" t="s">
        <v>74</v>
      </c>
      <c r="H646" t="s">
        <v>74</v>
      </c>
      <c r="I646" t="s">
        <v>12253</v>
      </c>
      <c r="J646" t="s">
        <v>8754</v>
      </c>
      <c r="K646" t="s">
        <v>74</v>
      </c>
      <c r="L646" t="s">
        <v>74</v>
      </c>
      <c r="M646" t="s">
        <v>78</v>
      </c>
      <c r="N646" t="s">
        <v>79</v>
      </c>
      <c r="O646" t="s">
        <v>74</v>
      </c>
      <c r="P646" t="s">
        <v>74</v>
      </c>
      <c r="Q646" t="s">
        <v>74</v>
      </c>
      <c r="R646" t="s">
        <v>74</v>
      </c>
      <c r="S646" t="s">
        <v>74</v>
      </c>
      <c r="T646" t="s">
        <v>12254</v>
      </c>
      <c r="U646" t="s">
        <v>12255</v>
      </c>
      <c r="V646" t="s">
        <v>12256</v>
      </c>
      <c r="W646" t="s">
        <v>12257</v>
      </c>
      <c r="X646" t="s">
        <v>12258</v>
      </c>
      <c r="Y646" t="s">
        <v>12259</v>
      </c>
      <c r="Z646" t="s">
        <v>12260</v>
      </c>
      <c r="AA646" t="s">
        <v>7435</v>
      </c>
      <c r="AB646" t="s">
        <v>12261</v>
      </c>
      <c r="AC646" t="s">
        <v>12262</v>
      </c>
      <c r="AD646" t="s">
        <v>12263</v>
      </c>
      <c r="AE646" t="s">
        <v>12264</v>
      </c>
      <c r="AF646" t="s">
        <v>74</v>
      </c>
      <c r="AG646">
        <v>58</v>
      </c>
      <c r="AH646">
        <v>15</v>
      </c>
      <c r="AI646">
        <v>17</v>
      </c>
      <c r="AJ646">
        <v>0</v>
      </c>
      <c r="AK646">
        <v>29</v>
      </c>
      <c r="AL646" t="s">
        <v>5746</v>
      </c>
      <c r="AM646" t="s">
        <v>5747</v>
      </c>
      <c r="AN646" t="s">
        <v>5748</v>
      </c>
      <c r="AO646" t="s">
        <v>8767</v>
      </c>
      <c r="AP646" t="s">
        <v>8768</v>
      </c>
      <c r="AQ646" t="s">
        <v>74</v>
      </c>
      <c r="AR646" t="s">
        <v>8769</v>
      </c>
      <c r="AS646" t="s">
        <v>8770</v>
      </c>
      <c r="AT646" t="s">
        <v>74</v>
      </c>
      <c r="AU646">
        <v>2014</v>
      </c>
      <c r="AV646">
        <v>29</v>
      </c>
      <c r="AW646">
        <v>4</v>
      </c>
      <c r="AX646" t="s">
        <v>74</v>
      </c>
      <c r="AY646" t="s">
        <v>74</v>
      </c>
      <c r="AZ646" t="s">
        <v>74</v>
      </c>
      <c r="BA646" t="s">
        <v>74</v>
      </c>
      <c r="BB646">
        <v>399</v>
      </c>
      <c r="BC646">
        <v>409</v>
      </c>
      <c r="BD646" t="s">
        <v>74</v>
      </c>
      <c r="BE646" t="s">
        <v>12265</v>
      </c>
      <c r="BF646" t="str">
        <f>HYPERLINK("http://dx.doi.org/10.1080/0269249X.2014.894945","http://dx.doi.org/10.1080/0269249X.2014.894945")</f>
        <v>http://dx.doi.org/10.1080/0269249X.2014.894945</v>
      </c>
      <c r="BG646" t="s">
        <v>74</v>
      </c>
      <c r="BH646" t="s">
        <v>74</v>
      </c>
      <c r="BI646">
        <v>11</v>
      </c>
      <c r="BJ646" t="s">
        <v>1028</v>
      </c>
      <c r="BK646" t="s">
        <v>101</v>
      </c>
      <c r="BL646" t="s">
        <v>1028</v>
      </c>
      <c r="BM646" t="s">
        <v>12266</v>
      </c>
      <c r="BN646" t="s">
        <v>74</v>
      </c>
      <c r="BO646" t="s">
        <v>74</v>
      </c>
      <c r="BP646" t="s">
        <v>74</v>
      </c>
      <c r="BQ646" t="s">
        <v>74</v>
      </c>
      <c r="BR646" t="s">
        <v>104</v>
      </c>
      <c r="BS646" t="s">
        <v>12267</v>
      </c>
      <c r="BT646" t="str">
        <f>HYPERLINK("https%3A%2F%2Fwww.webofscience.com%2Fwos%2Fwoscc%2Ffull-record%2FWOS:000340134900007","View Full Record in Web of Science")</f>
        <v>View Full Record in Web of Science</v>
      </c>
    </row>
    <row r="647" spans="1:72" x14ac:dyDescent="0.15">
      <c r="A647" t="s">
        <v>72</v>
      </c>
      <c r="B647" t="s">
        <v>12268</v>
      </c>
      <c r="C647" t="s">
        <v>74</v>
      </c>
      <c r="D647" t="s">
        <v>74</v>
      </c>
      <c r="E647" t="s">
        <v>74</v>
      </c>
      <c r="F647" t="s">
        <v>12269</v>
      </c>
      <c r="G647" t="s">
        <v>74</v>
      </c>
      <c r="H647" t="s">
        <v>74</v>
      </c>
      <c r="I647" t="s">
        <v>12270</v>
      </c>
      <c r="J647" t="s">
        <v>12271</v>
      </c>
      <c r="K647" t="s">
        <v>74</v>
      </c>
      <c r="L647" t="s">
        <v>74</v>
      </c>
      <c r="M647" t="s">
        <v>78</v>
      </c>
      <c r="N647" t="s">
        <v>79</v>
      </c>
      <c r="O647" t="s">
        <v>74</v>
      </c>
      <c r="P647" t="s">
        <v>74</v>
      </c>
      <c r="Q647" t="s">
        <v>74</v>
      </c>
      <c r="R647" t="s">
        <v>74</v>
      </c>
      <c r="S647" t="s">
        <v>74</v>
      </c>
      <c r="T647" t="s">
        <v>12272</v>
      </c>
      <c r="U647" t="s">
        <v>12273</v>
      </c>
      <c r="V647" t="s">
        <v>12274</v>
      </c>
      <c r="W647" t="s">
        <v>12275</v>
      </c>
      <c r="X647" t="s">
        <v>12276</v>
      </c>
      <c r="Y647" t="s">
        <v>12277</v>
      </c>
      <c r="Z647" t="s">
        <v>12278</v>
      </c>
      <c r="AA647" t="s">
        <v>12279</v>
      </c>
      <c r="AB647" t="s">
        <v>12280</v>
      </c>
      <c r="AC647" t="s">
        <v>12281</v>
      </c>
      <c r="AD647" t="s">
        <v>12281</v>
      </c>
      <c r="AE647" t="s">
        <v>12282</v>
      </c>
      <c r="AF647" t="s">
        <v>74</v>
      </c>
      <c r="AG647">
        <v>36</v>
      </c>
      <c r="AH647">
        <v>3</v>
      </c>
      <c r="AI647">
        <v>3</v>
      </c>
      <c r="AJ647">
        <v>0</v>
      </c>
      <c r="AK647">
        <v>7</v>
      </c>
      <c r="AL647" t="s">
        <v>5746</v>
      </c>
      <c r="AM647" t="s">
        <v>5747</v>
      </c>
      <c r="AN647" t="s">
        <v>5748</v>
      </c>
      <c r="AO647" t="s">
        <v>12283</v>
      </c>
      <c r="AP647" t="s">
        <v>12284</v>
      </c>
      <c r="AQ647" t="s">
        <v>74</v>
      </c>
      <c r="AR647" t="s">
        <v>12285</v>
      </c>
      <c r="AS647" t="s">
        <v>12286</v>
      </c>
      <c r="AT647" t="s">
        <v>74</v>
      </c>
      <c r="AU647">
        <v>2014</v>
      </c>
      <c r="AV647">
        <v>59</v>
      </c>
      <c r="AW647">
        <v>2</v>
      </c>
      <c r="AX647" t="s">
        <v>74</v>
      </c>
      <c r="AY647" t="s">
        <v>74</v>
      </c>
      <c r="AZ647" t="s">
        <v>74</v>
      </c>
      <c r="BA647" t="s">
        <v>74</v>
      </c>
      <c r="BB647">
        <v>297</v>
      </c>
      <c r="BC647">
        <v>312</v>
      </c>
      <c r="BD647" t="s">
        <v>74</v>
      </c>
      <c r="BE647" t="s">
        <v>12287</v>
      </c>
      <c r="BF647" t="str">
        <f>HYPERLINK("http://dx.doi.org/10.1080/14498596.2014.913271","http://dx.doi.org/10.1080/14498596.2014.913271")</f>
        <v>http://dx.doi.org/10.1080/14498596.2014.913271</v>
      </c>
      <c r="BG647" t="s">
        <v>74</v>
      </c>
      <c r="BH647" t="s">
        <v>74</v>
      </c>
      <c r="BI647">
        <v>16</v>
      </c>
      <c r="BJ647" t="s">
        <v>12288</v>
      </c>
      <c r="BK647" t="s">
        <v>101</v>
      </c>
      <c r="BL647" t="s">
        <v>12289</v>
      </c>
      <c r="BM647" t="s">
        <v>12290</v>
      </c>
      <c r="BN647" t="s">
        <v>74</v>
      </c>
      <c r="BO647" t="s">
        <v>74</v>
      </c>
      <c r="BP647" t="s">
        <v>74</v>
      </c>
      <c r="BQ647" t="s">
        <v>74</v>
      </c>
      <c r="BR647" t="s">
        <v>104</v>
      </c>
      <c r="BS647" t="s">
        <v>12291</v>
      </c>
      <c r="BT647" t="str">
        <f>HYPERLINK("https%3A%2F%2Fwww.webofscience.com%2Fwos%2Fwoscc%2Ffull-record%2FWOS:000340123700011","View Full Record in Web of Science")</f>
        <v>View Full Record in Web of Science</v>
      </c>
    </row>
    <row r="648" spans="1:72" x14ac:dyDescent="0.15">
      <c r="A648" t="s">
        <v>8803</v>
      </c>
      <c r="B648" t="s">
        <v>12292</v>
      </c>
      <c r="C648" t="s">
        <v>12292</v>
      </c>
      <c r="D648" t="s">
        <v>74</v>
      </c>
      <c r="E648" t="s">
        <v>74</v>
      </c>
      <c r="F648" t="s">
        <v>12293</v>
      </c>
      <c r="G648" t="s">
        <v>12292</v>
      </c>
      <c r="H648" t="s">
        <v>74</v>
      </c>
      <c r="I648" t="s">
        <v>12294</v>
      </c>
      <c r="J648" t="s">
        <v>12295</v>
      </c>
      <c r="K648" t="s">
        <v>74</v>
      </c>
      <c r="L648" t="s">
        <v>74</v>
      </c>
      <c r="M648" t="s">
        <v>78</v>
      </c>
      <c r="N648" t="s">
        <v>8809</v>
      </c>
      <c r="O648" t="s">
        <v>74</v>
      </c>
      <c r="P648" t="s">
        <v>74</v>
      </c>
      <c r="Q648" t="s">
        <v>74</v>
      </c>
      <c r="R648" t="s">
        <v>74</v>
      </c>
      <c r="S648" t="s">
        <v>74</v>
      </c>
      <c r="T648" t="s">
        <v>74</v>
      </c>
      <c r="U648" t="s">
        <v>74</v>
      </c>
      <c r="V648" t="s">
        <v>74</v>
      </c>
      <c r="W648" t="s">
        <v>12296</v>
      </c>
      <c r="X648" t="s">
        <v>12297</v>
      </c>
      <c r="Y648" t="s">
        <v>12298</v>
      </c>
      <c r="Z648" t="s">
        <v>74</v>
      </c>
      <c r="AA648" t="s">
        <v>12299</v>
      </c>
      <c r="AB648" t="s">
        <v>74</v>
      </c>
      <c r="AC648" t="s">
        <v>74</v>
      </c>
      <c r="AD648" t="s">
        <v>74</v>
      </c>
      <c r="AE648" t="s">
        <v>74</v>
      </c>
      <c r="AF648" t="s">
        <v>74</v>
      </c>
      <c r="AG648">
        <v>0</v>
      </c>
      <c r="AH648">
        <v>24</v>
      </c>
      <c r="AI648">
        <v>31</v>
      </c>
      <c r="AJ648">
        <v>0</v>
      </c>
      <c r="AK648">
        <v>3</v>
      </c>
      <c r="AL648" t="s">
        <v>91</v>
      </c>
      <c r="AM648" t="s">
        <v>1948</v>
      </c>
      <c r="AN648" t="s">
        <v>12300</v>
      </c>
      <c r="AO648" t="s">
        <v>74</v>
      </c>
      <c r="AP648" t="s">
        <v>74</v>
      </c>
      <c r="AQ648" t="s">
        <v>12301</v>
      </c>
      <c r="AR648" t="s">
        <v>74</v>
      </c>
      <c r="AS648" t="s">
        <v>74</v>
      </c>
      <c r="AT648" t="s">
        <v>74</v>
      </c>
      <c r="AU648">
        <v>2014</v>
      </c>
      <c r="AV648" t="s">
        <v>74</v>
      </c>
      <c r="AW648" t="s">
        <v>74</v>
      </c>
      <c r="AX648" t="s">
        <v>74</v>
      </c>
      <c r="AY648" t="s">
        <v>74</v>
      </c>
      <c r="AZ648" t="s">
        <v>74</v>
      </c>
      <c r="BA648" t="s">
        <v>74</v>
      </c>
      <c r="BB648">
        <v>1</v>
      </c>
      <c r="BC648">
        <v>47</v>
      </c>
      <c r="BD648" t="s">
        <v>74</v>
      </c>
      <c r="BE648" t="s">
        <v>74</v>
      </c>
      <c r="BF648" t="s">
        <v>74</v>
      </c>
      <c r="BG648" t="s">
        <v>12302</v>
      </c>
      <c r="BH648" t="s">
        <v>74</v>
      </c>
      <c r="BI648">
        <v>47</v>
      </c>
      <c r="BJ648" t="s">
        <v>12303</v>
      </c>
      <c r="BK648" t="s">
        <v>8850</v>
      </c>
      <c r="BL648" t="s">
        <v>12303</v>
      </c>
      <c r="BM648" t="s">
        <v>12304</v>
      </c>
      <c r="BN648" t="s">
        <v>74</v>
      </c>
      <c r="BO648" t="s">
        <v>74</v>
      </c>
      <c r="BP648" t="s">
        <v>74</v>
      </c>
      <c r="BQ648" t="s">
        <v>74</v>
      </c>
      <c r="BR648" t="s">
        <v>104</v>
      </c>
      <c r="BS648" t="s">
        <v>12305</v>
      </c>
      <c r="BT648" t="str">
        <f>HYPERLINK("https%3A%2F%2Fwww.webofscience.com%2Fwos%2Fwoscc%2Ffull-record%2FWOS:000339956300002","View Full Record in Web of Science")</f>
        <v>View Full Record in Web of Science</v>
      </c>
    </row>
    <row r="649" spans="1:72" x14ac:dyDescent="0.15">
      <c r="A649" t="s">
        <v>8803</v>
      </c>
      <c r="B649" t="s">
        <v>12292</v>
      </c>
      <c r="C649" t="s">
        <v>12292</v>
      </c>
      <c r="D649" t="s">
        <v>74</v>
      </c>
      <c r="E649" t="s">
        <v>74</v>
      </c>
      <c r="F649" t="s">
        <v>12293</v>
      </c>
      <c r="G649" t="s">
        <v>12292</v>
      </c>
      <c r="H649" t="s">
        <v>74</v>
      </c>
      <c r="I649" t="s">
        <v>12306</v>
      </c>
      <c r="J649" t="s">
        <v>12295</v>
      </c>
      <c r="K649" t="s">
        <v>74</v>
      </c>
      <c r="L649" t="s">
        <v>74</v>
      </c>
      <c r="M649" t="s">
        <v>78</v>
      </c>
      <c r="N649" t="s">
        <v>8809</v>
      </c>
      <c r="O649" t="s">
        <v>74</v>
      </c>
      <c r="P649" t="s">
        <v>74</v>
      </c>
      <c r="Q649" t="s">
        <v>74</v>
      </c>
      <c r="R649" t="s">
        <v>74</v>
      </c>
      <c r="S649" t="s">
        <v>74</v>
      </c>
      <c r="T649" t="s">
        <v>74</v>
      </c>
      <c r="U649" t="s">
        <v>74</v>
      </c>
      <c r="V649" t="s">
        <v>74</v>
      </c>
      <c r="W649" t="s">
        <v>12296</v>
      </c>
      <c r="X649" t="s">
        <v>12297</v>
      </c>
      <c r="Y649" t="s">
        <v>12298</v>
      </c>
      <c r="Z649" t="s">
        <v>74</v>
      </c>
      <c r="AA649" t="s">
        <v>12299</v>
      </c>
      <c r="AB649" t="s">
        <v>74</v>
      </c>
      <c r="AC649" t="s">
        <v>74</v>
      </c>
      <c r="AD649" t="s">
        <v>74</v>
      </c>
      <c r="AE649" t="s">
        <v>74</v>
      </c>
      <c r="AF649" t="s">
        <v>74</v>
      </c>
      <c r="AG649">
        <v>0</v>
      </c>
      <c r="AH649">
        <v>0</v>
      </c>
      <c r="AI649">
        <v>0</v>
      </c>
      <c r="AJ649">
        <v>0</v>
      </c>
      <c r="AK649">
        <v>8</v>
      </c>
      <c r="AL649" t="s">
        <v>91</v>
      </c>
      <c r="AM649" t="s">
        <v>1948</v>
      </c>
      <c r="AN649" t="s">
        <v>12300</v>
      </c>
      <c r="AO649" t="s">
        <v>74</v>
      </c>
      <c r="AP649" t="s">
        <v>74</v>
      </c>
      <c r="AQ649" t="s">
        <v>12301</v>
      </c>
      <c r="AR649" t="s">
        <v>74</v>
      </c>
      <c r="AS649" t="s">
        <v>74</v>
      </c>
      <c r="AT649" t="s">
        <v>74</v>
      </c>
      <c r="AU649">
        <v>2014</v>
      </c>
      <c r="AV649" t="s">
        <v>74</v>
      </c>
      <c r="AW649" t="s">
        <v>74</v>
      </c>
      <c r="AX649" t="s">
        <v>74</v>
      </c>
      <c r="AY649" t="s">
        <v>74</v>
      </c>
      <c r="AZ649" t="s">
        <v>74</v>
      </c>
      <c r="BA649" t="s">
        <v>74</v>
      </c>
      <c r="BB649">
        <v>48</v>
      </c>
      <c r="BC649">
        <v>99</v>
      </c>
      <c r="BD649" t="s">
        <v>74</v>
      </c>
      <c r="BE649" t="s">
        <v>74</v>
      </c>
      <c r="BF649" t="s">
        <v>74</v>
      </c>
      <c r="BG649" t="s">
        <v>12302</v>
      </c>
      <c r="BH649" t="s">
        <v>74</v>
      </c>
      <c r="BI649">
        <v>52</v>
      </c>
      <c r="BJ649" t="s">
        <v>12303</v>
      </c>
      <c r="BK649" t="s">
        <v>8850</v>
      </c>
      <c r="BL649" t="s">
        <v>12303</v>
      </c>
      <c r="BM649" t="s">
        <v>12304</v>
      </c>
      <c r="BN649" t="s">
        <v>74</v>
      </c>
      <c r="BO649" t="s">
        <v>74</v>
      </c>
      <c r="BP649" t="s">
        <v>74</v>
      </c>
      <c r="BQ649" t="s">
        <v>74</v>
      </c>
      <c r="BR649" t="s">
        <v>104</v>
      </c>
      <c r="BS649" t="s">
        <v>12307</v>
      </c>
      <c r="BT649" t="str">
        <f>HYPERLINK("https%3A%2F%2Fwww.webofscience.com%2Fwos%2Fwoscc%2Ffull-record%2FWOS:000339956300003","View Full Record in Web of Science")</f>
        <v>View Full Record in Web of Science</v>
      </c>
    </row>
    <row r="650" spans="1:72" x14ac:dyDescent="0.15">
      <c r="A650" t="s">
        <v>8803</v>
      </c>
      <c r="B650" t="s">
        <v>12292</v>
      </c>
      <c r="C650" t="s">
        <v>12292</v>
      </c>
      <c r="D650" t="s">
        <v>74</v>
      </c>
      <c r="E650" t="s">
        <v>74</v>
      </c>
      <c r="F650" t="s">
        <v>12293</v>
      </c>
      <c r="G650" t="s">
        <v>12292</v>
      </c>
      <c r="H650" t="s">
        <v>74</v>
      </c>
      <c r="I650" t="s">
        <v>12308</v>
      </c>
      <c r="J650" t="s">
        <v>12295</v>
      </c>
      <c r="K650" t="s">
        <v>74</v>
      </c>
      <c r="L650" t="s">
        <v>74</v>
      </c>
      <c r="M650" t="s">
        <v>78</v>
      </c>
      <c r="N650" t="s">
        <v>8809</v>
      </c>
      <c r="O650" t="s">
        <v>74</v>
      </c>
      <c r="P650" t="s">
        <v>74</v>
      </c>
      <c r="Q650" t="s">
        <v>74</v>
      </c>
      <c r="R650" t="s">
        <v>74</v>
      </c>
      <c r="S650" t="s">
        <v>74</v>
      </c>
      <c r="T650" t="s">
        <v>74</v>
      </c>
      <c r="U650" t="s">
        <v>74</v>
      </c>
      <c r="V650" t="s">
        <v>74</v>
      </c>
      <c r="W650" t="s">
        <v>12296</v>
      </c>
      <c r="X650" t="s">
        <v>12297</v>
      </c>
      <c r="Y650" t="s">
        <v>12298</v>
      </c>
      <c r="Z650" t="s">
        <v>74</v>
      </c>
      <c r="AA650" t="s">
        <v>12299</v>
      </c>
      <c r="AB650" t="s">
        <v>74</v>
      </c>
      <c r="AC650" t="s">
        <v>74</v>
      </c>
      <c r="AD650" t="s">
        <v>74</v>
      </c>
      <c r="AE650" t="s">
        <v>74</v>
      </c>
      <c r="AF650" t="s">
        <v>74</v>
      </c>
      <c r="AG650">
        <v>0</v>
      </c>
      <c r="AH650">
        <v>1</v>
      </c>
      <c r="AI650">
        <v>1</v>
      </c>
      <c r="AJ650">
        <v>0</v>
      </c>
      <c r="AK650">
        <v>1</v>
      </c>
      <c r="AL650" t="s">
        <v>91</v>
      </c>
      <c r="AM650" t="s">
        <v>1948</v>
      </c>
      <c r="AN650" t="s">
        <v>12300</v>
      </c>
      <c r="AO650" t="s">
        <v>74</v>
      </c>
      <c r="AP650" t="s">
        <v>74</v>
      </c>
      <c r="AQ650" t="s">
        <v>12301</v>
      </c>
      <c r="AR650" t="s">
        <v>74</v>
      </c>
      <c r="AS650" t="s">
        <v>74</v>
      </c>
      <c r="AT650" t="s">
        <v>74</v>
      </c>
      <c r="AU650">
        <v>2014</v>
      </c>
      <c r="AV650" t="s">
        <v>74</v>
      </c>
      <c r="AW650" t="s">
        <v>74</v>
      </c>
      <c r="AX650" t="s">
        <v>74</v>
      </c>
      <c r="AY650" t="s">
        <v>74</v>
      </c>
      <c r="AZ650" t="s">
        <v>74</v>
      </c>
      <c r="BA650" t="s">
        <v>74</v>
      </c>
      <c r="BB650">
        <v>100</v>
      </c>
      <c r="BC650">
        <v>135</v>
      </c>
      <c r="BD650" t="s">
        <v>74</v>
      </c>
      <c r="BE650" t="s">
        <v>74</v>
      </c>
      <c r="BF650" t="s">
        <v>74</v>
      </c>
      <c r="BG650" t="s">
        <v>12302</v>
      </c>
      <c r="BH650" t="s">
        <v>74</v>
      </c>
      <c r="BI650">
        <v>36</v>
      </c>
      <c r="BJ650" t="s">
        <v>12303</v>
      </c>
      <c r="BK650" t="s">
        <v>8850</v>
      </c>
      <c r="BL650" t="s">
        <v>12303</v>
      </c>
      <c r="BM650" t="s">
        <v>12304</v>
      </c>
      <c r="BN650" t="s">
        <v>74</v>
      </c>
      <c r="BO650" t="s">
        <v>74</v>
      </c>
      <c r="BP650" t="s">
        <v>74</v>
      </c>
      <c r="BQ650" t="s">
        <v>74</v>
      </c>
      <c r="BR650" t="s">
        <v>104</v>
      </c>
      <c r="BS650" t="s">
        <v>12309</v>
      </c>
      <c r="BT650" t="str">
        <f>HYPERLINK("https%3A%2F%2Fwww.webofscience.com%2Fwos%2Fwoscc%2Ffull-record%2FWOS:000339956300004","View Full Record in Web of Science")</f>
        <v>View Full Record in Web of Science</v>
      </c>
    </row>
    <row r="651" spans="1:72" x14ac:dyDescent="0.15">
      <c r="A651" t="s">
        <v>8803</v>
      </c>
      <c r="B651" t="s">
        <v>12292</v>
      </c>
      <c r="C651" t="s">
        <v>12292</v>
      </c>
      <c r="D651" t="s">
        <v>74</v>
      </c>
      <c r="E651" t="s">
        <v>74</v>
      </c>
      <c r="F651" t="s">
        <v>12293</v>
      </c>
      <c r="G651" t="s">
        <v>12292</v>
      </c>
      <c r="H651" t="s">
        <v>74</v>
      </c>
      <c r="I651" t="s">
        <v>12310</v>
      </c>
      <c r="J651" t="s">
        <v>12295</v>
      </c>
      <c r="K651" t="s">
        <v>74</v>
      </c>
      <c r="L651" t="s">
        <v>74</v>
      </c>
      <c r="M651" t="s">
        <v>78</v>
      </c>
      <c r="N651" t="s">
        <v>8809</v>
      </c>
      <c r="O651" t="s">
        <v>74</v>
      </c>
      <c r="P651" t="s">
        <v>74</v>
      </c>
      <c r="Q651" t="s">
        <v>74</v>
      </c>
      <c r="R651" t="s">
        <v>74</v>
      </c>
      <c r="S651" t="s">
        <v>74</v>
      </c>
      <c r="T651" t="s">
        <v>74</v>
      </c>
      <c r="U651" t="s">
        <v>74</v>
      </c>
      <c r="V651" t="s">
        <v>74</v>
      </c>
      <c r="W651" t="s">
        <v>12296</v>
      </c>
      <c r="X651" t="s">
        <v>12297</v>
      </c>
      <c r="Y651" t="s">
        <v>12298</v>
      </c>
      <c r="Z651" t="s">
        <v>74</v>
      </c>
      <c r="AA651" t="s">
        <v>12299</v>
      </c>
      <c r="AB651" t="s">
        <v>74</v>
      </c>
      <c r="AC651" t="s">
        <v>74</v>
      </c>
      <c r="AD651" t="s">
        <v>74</v>
      </c>
      <c r="AE651" t="s">
        <v>74</v>
      </c>
      <c r="AF651" t="s">
        <v>74</v>
      </c>
      <c r="AG651">
        <v>0</v>
      </c>
      <c r="AH651">
        <v>0</v>
      </c>
      <c r="AI651">
        <v>0</v>
      </c>
      <c r="AJ651">
        <v>0</v>
      </c>
      <c r="AK651">
        <v>2</v>
      </c>
      <c r="AL651" t="s">
        <v>91</v>
      </c>
      <c r="AM651" t="s">
        <v>1948</v>
      </c>
      <c r="AN651" t="s">
        <v>12300</v>
      </c>
      <c r="AO651" t="s">
        <v>74</v>
      </c>
      <c r="AP651" t="s">
        <v>74</v>
      </c>
      <c r="AQ651" t="s">
        <v>12301</v>
      </c>
      <c r="AR651" t="s">
        <v>74</v>
      </c>
      <c r="AS651" t="s">
        <v>74</v>
      </c>
      <c r="AT651" t="s">
        <v>74</v>
      </c>
      <c r="AU651">
        <v>2014</v>
      </c>
      <c r="AV651" t="s">
        <v>74</v>
      </c>
      <c r="AW651" t="s">
        <v>74</v>
      </c>
      <c r="AX651" t="s">
        <v>74</v>
      </c>
      <c r="AY651" t="s">
        <v>74</v>
      </c>
      <c r="AZ651" t="s">
        <v>74</v>
      </c>
      <c r="BA651" t="s">
        <v>74</v>
      </c>
      <c r="BB651">
        <v>136</v>
      </c>
      <c r="BC651">
        <v>175</v>
      </c>
      <c r="BD651" t="s">
        <v>74</v>
      </c>
      <c r="BE651" t="s">
        <v>74</v>
      </c>
      <c r="BF651" t="s">
        <v>74</v>
      </c>
      <c r="BG651" t="s">
        <v>12302</v>
      </c>
      <c r="BH651" t="s">
        <v>74</v>
      </c>
      <c r="BI651">
        <v>40</v>
      </c>
      <c r="BJ651" t="s">
        <v>12303</v>
      </c>
      <c r="BK651" t="s">
        <v>8850</v>
      </c>
      <c r="BL651" t="s">
        <v>12303</v>
      </c>
      <c r="BM651" t="s">
        <v>12304</v>
      </c>
      <c r="BN651" t="s">
        <v>74</v>
      </c>
      <c r="BO651" t="s">
        <v>74</v>
      </c>
      <c r="BP651" t="s">
        <v>74</v>
      </c>
      <c r="BQ651" t="s">
        <v>74</v>
      </c>
      <c r="BR651" t="s">
        <v>104</v>
      </c>
      <c r="BS651" t="s">
        <v>12311</v>
      </c>
      <c r="BT651" t="str">
        <f>HYPERLINK("https%3A%2F%2Fwww.webofscience.com%2Fwos%2Fwoscc%2Ffull-record%2FWOS:000339956300005","View Full Record in Web of Science")</f>
        <v>View Full Record in Web of Science</v>
      </c>
    </row>
    <row r="652" spans="1:72" x14ac:dyDescent="0.15">
      <c r="A652" t="s">
        <v>8803</v>
      </c>
      <c r="B652" t="s">
        <v>12292</v>
      </c>
      <c r="C652" t="s">
        <v>12292</v>
      </c>
      <c r="D652" t="s">
        <v>74</v>
      </c>
      <c r="E652" t="s">
        <v>74</v>
      </c>
      <c r="F652" t="s">
        <v>12293</v>
      </c>
      <c r="G652" t="s">
        <v>12292</v>
      </c>
      <c r="H652" t="s">
        <v>74</v>
      </c>
      <c r="I652" t="s">
        <v>12312</v>
      </c>
      <c r="J652" t="s">
        <v>12295</v>
      </c>
      <c r="K652" t="s">
        <v>74</v>
      </c>
      <c r="L652" t="s">
        <v>74</v>
      </c>
      <c r="M652" t="s">
        <v>78</v>
      </c>
      <c r="N652" t="s">
        <v>8809</v>
      </c>
      <c r="O652" t="s">
        <v>74</v>
      </c>
      <c r="P652" t="s">
        <v>74</v>
      </c>
      <c r="Q652" t="s">
        <v>74</v>
      </c>
      <c r="R652" t="s">
        <v>74</v>
      </c>
      <c r="S652" t="s">
        <v>74</v>
      </c>
      <c r="T652" t="s">
        <v>74</v>
      </c>
      <c r="U652" t="s">
        <v>74</v>
      </c>
      <c r="V652" t="s">
        <v>74</v>
      </c>
      <c r="W652" t="s">
        <v>12296</v>
      </c>
      <c r="X652" t="s">
        <v>12297</v>
      </c>
      <c r="Y652" t="s">
        <v>12298</v>
      </c>
      <c r="Z652" t="s">
        <v>74</v>
      </c>
      <c r="AA652" t="s">
        <v>12299</v>
      </c>
      <c r="AB652" t="s">
        <v>74</v>
      </c>
      <c r="AC652" t="s">
        <v>74</v>
      </c>
      <c r="AD652" t="s">
        <v>74</v>
      </c>
      <c r="AE652" t="s">
        <v>74</v>
      </c>
      <c r="AF652" t="s">
        <v>74</v>
      </c>
      <c r="AG652">
        <v>0</v>
      </c>
      <c r="AH652">
        <v>5</v>
      </c>
      <c r="AI652">
        <v>5</v>
      </c>
      <c r="AJ652">
        <v>0</v>
      </c>
      <c r="AK652">
        <v>10</v>
      </c>
      <c r="AL652" t="s">
        <v>91</v>
      </c>
      <c r="AM652" t="s">
        <v>1948</v>
      </c>
      <c r="AN652" t="s">
        <v>12300</v>
      </c>
      <c r="AO652" t="s">
        <v>74</v>
      </c>
      <c r="AP652" t="s">
        <v>74</v>
      </c>
      <c r="AQ652" t="s">
        <v>12301</v>
      </c>
      <c r="AR652" t="s">
        <v>74</v>
      </c>
      <c r="AS652" t="s">
        <v>74</v>
      </c>
      <c r="AT652" t="s">
        <v>74</v>
      </c>
      <c r="AU652">
        <v>2014</v>
      </c>
      <c r="AV652" t="s">
        <v>74</v>
      </c>
      <c r="AW652" t="s">
        <v>74</v>
      </c>
      <c r="AX652" t="s">
        <v>74</v>
      </c>
      <c r="AY652" t="s">
        <v>74</v>
      </c>
      <c r="AZ652" t="s">
        <v>74</v>
      </c>
      <c r="BA652" t="s">
        <v>74</v>
      </c>
      <c r="BB652">
        <v>176</v>
      </c>
      <c r="BC652">
        <v>237</v>
      </c>
      <c r="BD652" t="s">
        <v>74</v>
      </c>
      <c r="BE652" t="s">
        <v>74</v>
      </c>
      <c r="BF652" t="s">
        <v>74</v>
      </c>
      <c r="BG652" t="s">
        <v>12302</v>
      </c>
      <c r="BH652" t="s">
        <v>74</v>
      </c>
      <c r="BI652">
        <v>62</v>
      </c>
      <c r="BJ652" t="s">
        <v>12303</v>
      </c>
      <c r="BK652" t="s">
        <v>8850</v>
      </c>
      <c r="BL652" t="s">
        <v>12303</v>
      </c>
      <c r="BM652" t="s">
        <v>12304</v>
      </c>
      <c r="BN652" t="s">
        <v>74</v>
      </c>
      <c r="BO652" t="s">
        <v>74</v>
      </c>
      <c r="BP652" t="s">
        <v>74</v>
      </c>
      <c r="BQ652" t="s">
        <v>74</v>
      </c>
      <c r="BR652" t="s">
        <v>104</v>
      </c>
      <c r="BS652" t="s">
        <v>12313</v>
      </c>
      <c r="BT652" t="str">
        <f>HYPERLINK("https%3A%2F%2Fwww.webofscience.com%2Fwos%2Fwoscc%2Ffull-record%2FWOS:000339956300006","View Full Record in Web of Science")</f>
        <v>View Full Record in Web of Science</v>
      </c>
    </row>
    <row r="653" spans="1:72" x14ac:dyDescent="0.15">
      <c r="A653" t="s">
        <v>8803</v>
      </c>
      <c r="B653" t="s">
        <v>12292</v>
      </c>
      <c r="C653" t="s">
        <v>12292</v>
      </c>
      <c r="D653" t="s">
        <v>74</v>
      </c>
      <c r="E653" t="s">
        <v>74</v>
      </c>
      <c r="F653" t="s">
        <v>12293</v>
      </c>
      <c r="G653" t="s">
        <v>12292</v>
      </c>
      <c r="H653" t="s">
        <v>74</v>
      </c>
      <c r="I653" t="s">
        <v>12314</v>
      </c>
      <c r="J653" t="s">
        <v>12295</v>
      </c>
      <c r="K653" t="s">
        <v>74</v>
      </c>
      <c r="L653" t="s">
        <v>74</v>
      </c>
      <c r="M653" t="s">
        <v>78</v>
      </c>
      <c r="N653" t="s">
        <v>8809</v>
      </c>
      <c r="O653" t="s">
        <v>74</v>
      </c>
      <c r="P653" t="s">
        <v>74</v>
      </c>
      <c r="Q653" t="s">
        <v>74</v>
      </c>
      <c r="R653" t="s">
        <v>74</v>
      </c>
      <c r="S653" t="s">
        <v>74</v>
      </c>
      <c r="T653" t="s">
        <v>74</v>
      </c>
      <c r="U653" t="s">
        <v>74</v>
      </c>
      <c r="V653" t="s">
        <v>74</v>
      </c>
      <c r="W653" t="s">
        <v>12296</v>
      </c>
      <c r="X653" t="s">
        <v>12297</v>
      </c>
      <c r="Y653" t="s">
        <v>12298</v>
      </c>
      <c r="Z653" t="s">
        <v>74</v>
      </c>
      <c r="AA653" t="s">
        <v>12299</v>
      </c>
      <c r="AB653" t="s">
        <v>74</v>
      </c>
      <c r="AC653" t="s">
        <v>74</v>
      </c>
      <c r="AD653" t="s">
        <v>74</v>
      </c>
      <c r="AE653" t="s">
        <v>74</v>
      </c>
      <c r="AF653" t="s">
        <v>74</v>
      </c>
      <c r="AG653">
        <v>0</v>
      </c>
      <c r="AH653">
        <v>24</v>
      </c>
      <c r="AI653">
        <v>27</v>
      </c>
      <c r="AJ653">
        <v>0</v>
      </c>
      <c r="AK653">
        <v>3</v>
      </c>
      <c r="AL653" t="s">
        <v>91</v>
      </c>
      <c r="AM653" t="s">
        <v>1948</v>
      </c>
      <c r="AN653" t="s">
        <v>12300</v>
      </c>
      <c r="AO653" t="s">
        <v>74</v>
      </c>
      <c r="AP653" t="s">
        <v>74</v>
      </c>
      <c r="AQ653" t="s">
        <v>12301</v>
      </c>
      <c r="AR653" t="s">
        <v>74</v>
      </c>
      <c r="AS653" t="s">
        <v>74</v>
      </c>
      <c r="AT653" t="s">
        <v>74</v>
      </c>
      <c r="AU653">
        <v>2014</v>
      </c>
      <c r="AV653" t="s">
        <v>74</v>
      </c>
      <c r="AW653" t="s">
        <v>74</v>
      </c>
      <c r="AX653" t="s">
        <v>74</v>
      </c>
      <c r="AY653" t="s">
        <v>74</v>
      </c>
      <c r="AZ653" t="s">
        <v>74</v>
      </c>
      <c r="BA653" t="s">
        <v>74</v>
      </c>
      <c r="BB653">
        <v>238</v>
      </c>
      <c r="BC653">
        <v>293</v>
      </c>
      <c r="BD653" t="s">
        <v>74</v>
      </c>
      <c r="BE653" t="s">
        <v>74</v>
      </c>
      <c r="BF653" t="s">
        <v>74</v>
      </c>
      <c r="BG653" t="s">
        <v>12302</v>
      </c>
      <c r="BH653" t="s">
        <v>74</v>
      </c>
      <c r="BI653">
        <v>56</v>
      </c>
      <c r="BJ653" t="s">
        <v>12303</v>
      </c>
      <c r="BK653" t="s">
        <v>8850</v>
      </c>
      <c r="BL653" t="s">
        <v>12303</v>
      </c>
      <c r="BM653" t="s">
        <v>12304</v>
      </c>
      <c r="BN653" t="s">
        <v>74</v>
      </c>
      <c r="BO653" t="s">
        <v>74</v>
      </c>
      <c r="BP653" t="s">
        <v>74</v>
      </c>
      <c r="BQ653" t="s">
        <v>74</v>
      </c>
      <c r="BR653" t="s">
        <v>104</v>
      </c>
      <c r="BS653" t="s">
        <v>12315</v>
      </c>
      <c r="BT653" t="str">
        <f>HYPERLINK("https%3A%2F%2Fwww.webofscience.com%2Fwos%2Fwoscc%2Ffull-record%2FWOS:000339956300007","View Full Record in Web of Science")</f>
        <v>View Full Record in Web of Science</v>
      </c>
    </row>
    <row r="654" spans="1:72" x14ac:dyDescent="0.15">
      <c r="A654" t="s">
        <v>8803</v>
      </c>
      <c r="B654" t="s">
        <v>12292</v>
      </c>
      <c r="C654" t="s">
        <v>12292</v>
      </c>
      <c r="D654" t="s">
        <v>74</v>
      </c>
      <c r="E654" t="s">
        <v>74</v>
      </c>
      <c r="F654" t="s">
        <v>12293</v>
      </c>
      <c r="G654" t="s">
        <v>12292</v>
      </c>
      <c r="H654" t="s">
        <v>74</v>
      </c>
      <c r="I654" t="s">
        <v>12316</v>
      </c>
      <c r="J654" t="s">
        <v>12295</v>
      </c>
      <c r="K654" t="s">
        <v>74</v>
      </c>
      <c r="L654" t="s">
        <v>74</v>
      </c>
      <c r="M654" t="s">
        <v>78</v>
      </c>
      <c r="N654" t="s">
        <v>8809</v>
      </c>
      <c r="O654" t="s">
        <v>74</v>
      </c>
      <c r="P654" t="s">
        <v>74</v>
      </c>
      <c r="Q654" t="s">
        <v>74</v>
      </c>
      <c r="R654" t="s">
        <v>74</v>
      </c>
      <c r="S654" t="s">
        <v>74</v>
      </c>
      <c r="T654" t="s">
        <v>74</v>
      </c>
      <c r="U654" t="s">
        <v>74</v>
      </c>
      <c r="V654" t="s">
        <v>74</v>
      </c>
      <c r="W654" t="s">
        <v>12296</v>
      </c>
      <c r="X654" t="s">
        <v>12297</v>
      </c>
      <c r="Y654" t="s">
        <v>12298</v>
      </c>
      <c r="Z654" t="s">
        <v>74</v>
      </c>
      <c r="AA654" t="s">
        <v>12299</v>
      </c>
      <c r="AB654" t="s">
        <v>74</v>
      </c>
      <c r="AC654" t="s">
        <v>74</v>
      </c>
      <c r="AD654" t="s">
        <v>74</v>
      </c>
      <c r="AE654" t="s">
        <v>74</v>
      </c>
      <c r="AF654" t="s">
        <v>74</v>
      </c>
      <c r="AG654">
        <v>0</v>
      </c>
      <c r="AH654">
        <v>8</v>
      </c>
      <c r="AI654">
        <v>10</v>
      </c>
      <c r="AJ654">
        <v>0</v>
      </c>
      <c r="AK654">
        <v>4</v>
      </c>
      <c r="AL654" t="s">
        <v>91</v>
      </c>
      <c r="AM654" t="s">
        <v>1948</v>
      </c>
      <c r="AN654" t="s">
        <v>12300</v>
      </c>
      <c r="AO654" t="s">
        <v>74</v>
      </c>
      <c r="AP654" t="s">
        <v>74</v>
      </c>
      <c r="AQ654" t="s">
        <v>12301</v>
      </c>
      <c r="AR654" t="s">
        <v>74</v>
      </c>
      <c r="AS654" t="s">
        <v>74</v>
      </c>
      <c r="AT654" t="s">
        <v>74</v>
      </c>
      <c r="AU654">
        <v>2014</v>
      </c>
      <c r="AV654" t="s">
        <v>74</v>
      </c>
      <c r="AW654" t="s">
        <v>74</v>
      </c>
      <c r="AX654" t="s">
        <v>74</v>
      </c>
      <c r="AY654" t="s">
        <v>74</v>
      </c>
      <c r="AZ654" t="s">
        <v>74</v>
      </c>
      <c r="BA654" t="s">
        <v>74</v>
      </c>
      <c r="BB654">
        <v>294</v>
      </c>
      <c r="BC654">
        <v>348</v>
      </c>
      <c r="BD654" t="s">
        <v>74</v>
      </c>
      <c r="BE654" t="s">
        <v>74</v>
      </c>
      <c r="BF654" t="s">
        <v>74</v>
      </c>
      <c r="BG654" t="s">
        <v>12302</v>
      </c>
      <c r="BH654" t="s">
        <v>74</v>
      </c>
      <c r="BI654">
        <v>55</v>
      </c>
      <c r="BJ654" t="s">
        <v>12303</v>
      </c>
      <c r="BK654" t="s">
        <v>8850</v>
      </c>
      <c r="BL654" t="s">
        <v>12303</v>
      </c>
      <c r="BM654" t="s">
        <v>12304</v>
      </c>
      <c r="BN654" t="s">
        <v>74</v>
      </c>
      <c r="BO654" t="s">
        <v>74</v>
      </c>
      <c r="BP654" t="s">
        <v>74</v>
      </c>
      <c r="BQ654" t="s">
        <v>74</v>
      </c>
      <c r="BR654" t="s">
        <v>104</v>
      </c>
      <c r="BS654" t="s">
        <v>12317</v>
      </c>
      <c r="BT654" t="str">
        <f>HYPERLINK("https%3A%2F%2Fwww.webofscience.com%2Fwos%2Fwoscc%2Ffull-record%2FWOS:000339956300008","View Full Record in Web of Science")</f>
        <v>View Full Record in Web of Science</v>
      </c>
    </row>
    <row r="655" spans="1:72" x14ac:dyDescent="0.15">
      <c r="A655" t="s">
        <v>8803</v>
      </c>
      <c r="B655" t="s">
        <v>12292</v>
      </c>
      <c r="C655" t="s">
        <v>12292</v>
      </c>
      <c r="D655" t="s">
        <v>74</v>
      </c>
      <c r="E655" t="s">
        <v>74</v>
      </c>
      <c r="F655" t="s">
        <v>12293</v>
      </c>
      <c r="G655" t="s">
        <v>12292</v>
      </c>
      <c r="H655" t="s">
        <v>74</v>
      </c>
      <c r="I655" t="s">
        <v>12318</v>
      </c>
      <c r="J655" t="s">
        <v>12295</v>
      </c>
      <c r="K655" t="s">
        <v>74</v>
      </c>
      <c r="L655" t="s">
        <v>74</v>
      </c>
      <c r="M655" t="s">
        <v>78</v>
      </c>
      <c r="N655" t="s">
        <v>8809</v>
      </c>
      <c r="O655" t="s">
        <v>74</v>
      </c>
      <c r="P655" t="s">
        <v>74</v>
      </c>
      <c r="Q655" t="s">
        <v>74</v>
      </c>
      <c r="R655" t="s">
        <v>74</v>
      </c>
      <c r="S655" t="s">
        <v>74</v>
      </c>
      <c r="T655" t="s">
        <v>74</v>
      </c>
      <c r="U655" t="s">
        <v>74</v>
      </c>
      <c r="V655" t="s">
        <v>74</v>
      </c>
      <c r="W655" t="s">
        <v>12296</v>
      </c>
      <c r="X655" t="s">
        <v>12297</v>
      </c>
      <c r="Y655" t="s">
        <v>12298</v>
      </c>
      <c r="Z655" t="s">
        <v>74</v>
      </c>
      <c r="AA655" t="s">
        <v>12299</v>
      </c>
      <c r="AB655" t="s">
        <v>74</v>
      </c>
      <c r="AC655" t="s">
        <v>74</v>
      </c>
      <c r="AD655" t="s">
        <v>74</v>
      </c>
      <c r="AE655" t="s">
        <v>74</v>
      </c>
      <c r="AF655" t="s">
        <v>74</v>
      </c>
      <c r="AG655">
        <v>0</v>
      </c>
      <c r="AH655">
        <v>2</v>
      </c>
      <c r="AI655">
        <v>2</v>
      </c>
      <c r="AJ655">
        <v>0</v>
      </c>
      <c r="AK655">
        <v>3</v>
      </c>
      <c r="AL655" t="s">
        <v>91</v>
      </c>
      <c r="AM655" t="s">
        <v>1948</v>
      </c>
      <c r="AN655" t="s">
        <v>12300</v>
      </c>
      <c r="AO655" t="s">
        <v>74</v>
      </c>
      <c r="AP655" t="s">
        <v>74</v>
      </c>
      <c r="AQ655" t="s">
        <v>12301</v>
      </c>
      <c r="AR655" t="s">
        <v>74</v>
      </c>
      <c r="AS655" t="s">
        <v>74</v>
      </c>
      <c r="AT655" t="s">
        <v>74</v>
      </c>
      <c r="AU655">
        <v>2014</v>
      </c>
      <c r="AV655" t="s">
        <v>74</v>
      </c>
      <c r="AW655" t="s">
        <v>74</v>
      </c>
      <c r="AX655" t="s">
        <v>74</v>
      </c>
      <c r="AY655" t="s">
        <v>74</v>
      </c>
      <c r="AZ655" t="s">
        <v>74</v>
      </c>
      <c r="BA655" t="s">
        <v>74</v>
      </c>
      <c r="BB655">
        <v>349</v>
      </c>
      <c r="BC655">
        <v>373</v>
      </c>
      <c r="BD655" t="s">
        <v>74</v>
      </c>
      <c r="BE655" t="s">
        <v>74</v>
      </c>
      <c r="BF655" t="s">
        <v>74</v>
      </c>
      <c r="BG655" t="s">
        <v>12302</v>
      </c>
      <c r="BH655" t="s">
        <v>74</v>
      </c>
      <c r="BI655">
        <v>25</v>
      </c>
      <c r="BJ655" t="s">
        <v>12303</v>
      </c>
      <c r="BK655" t="s">
        <v>8850</v>
      </c>
      <c r="BL655" t="s">
        <v>12303</v>
      </c>
      <c r="BM655" t="s">
        <v>12304</v>
      </c>
      <c r="BN655" t="s">
        <v>74</v>
      </c>
      <c r="BO655" t="s">
        <v>74</v>
      </c>
      <c r="BP655" t="s">
        <v>74</v>
      </c>
      <c r="BQ655" t="s">
        <v>74</v>
      </c>
      <c r="BR655" t="s">
        <v>104</v>
      </c>
      <c r="BS655" t="s">
        <v>12319</v>
      </c>
      <c r="BT655" t="str">
        <f>HYPERLINK("https%3A%2F%2Fwww.webofscience.com%2Fwos%2Fwoscc%2Ffull-record%2FWOS:000339956300009","View Full Record in Web of Science")</f>
        <v>View Full Record in Web of Science</v>
      </c>
    </row>
    <row r="656" spans="1:72" x14ac:dyDescent="0.15">
      <c r="A656" t="s">
        <v>8803</v>
      </c>
      <c r="B656" t="s">
        <v>12292</v>
      </c>
      <c r="C656" t="s">
        <v>12292</v>
      </c>
      <c r="D656" t="s">
        <v>74</v>
      </c>
      <c r="E656" t="s">
        <v>74</v>
      </c>
      <c r="F656" t="s">
        <v>12293</v>
      </c>
      <c r="G656" t="s">
        <v>12292</v>
      </c>
      <c r="H656" t="s">
        <v>74</v>
      </c>
      <c r="I656" t="s">
        <v>12320</v>
      </c>
      <c r="J656" t="s">
        <v>12295</v>
      </c>
      <c r="K656" t="s">
        <v>74</v>
      </c>
      <c r="L656" t="s">
        <v>74</v>
      </c>
      <c r="M656" t="s">
        <v>78</v>
      </c>
      <c r="N656" t="s">
        <v>8809</v>
      </c>
      <c r="O656" t="s">
        <v>74</v>
      </c>
      <c r="P656" t="s">
        <v>74</v>
      </c>
      <c r="Q656" t="s">
        <v>74</v>
      </c>
      <c r="R656" t="s">
        <v>74</v>
      </c>
      <c r="S656" t="s">
        <v>74</v>
      </c>
      <c r="T656" t="s">
        <v>74</v>
      </c>
      <c r="U656" t="s">
        <v>74</v>
      </c>
      <c r="V656" t="s">
        <v>74</v>
      </c>
      <c r="W656" t="s">
        <v>12296</v>
      </c>
      <c r="X656" t="s">
        <v>12297</v>
      </c>
      <c r="Y656" t="s">
        <v>12298</v>
      </c>
      <c r="Z656" t="s">
        <v>74</v>
      </c>
      <c r="AA656" t="s">
        <v>12299</v>
      </c>
      <c r="AB656" t="s">
        <v>74</v>
      </c>
      <c r="AC656" t="s">
        <v>74</v>
      </c>
      <c r="AD656" t="s">
        <v>74</v>
      </c>
      <c r="AE656" t="s">
        <v>74</v>
      </c>
      <c r="AF656" t="s">
        <v>74</v>
      </c>
      <c r="AG656">
        <v>0</v>
      </c>
      <c r="AH656">
        <v>1</v>
      </c>
      <c r="AI656">
        <v>1</v>
      </c>
      <c r="AJ656">
        <v>0</v>
      </c>
      <c r="AK656">
        <v>4</v>
      </c>
      <c r="AL656" t="s">
        <v>91</v>
      </c>
      <c r="AM656" t="s">
        <v>1948</v>
      </c>
      <c r="AN656" t="s">
        <v>12300</v>
      </c>
      <c r="AO656" t="s">
        <v>74</v>
      </c>
      <c r="AP656" t="s">
        <v>74</v>
      </c>
      <c r="AQ656" t="s">
        <v>12301</v>
      </c>
      <c r="AR656" t="s">
        <v>74</v>
      </c>
      <c r="AS656" t="s">
        <v>74</v>
      </c>
      <c r="AT656" t="s">
        <v>74</v>
      </c>
      <c r="AU656">
        <v>2014</v>
      </c>
      <c r="AV656" t="s">
        <v>74</v>
      </c>
      <c r="AW656" t="s">
        <v>74</v>
      </c>
      <c r="AX656" t="s">
        <v>74</v>
      </c>
      <c r="AY656" t="s">
        <v>74</v>
      </c>
      <c r="AZ656" t="s">
        <v>74</v>
      </c>
      <c r="BA656" t="s">
        <v>74</v>
      </c>
      <c r="BB656">
        <v>374</v>
      </c>
      <c r="BC656">
        <v>412</v>
      </c>
      <c r="BD656" t="s">
        <v>74</v>
      </c>
      <c r="BE656" t="s">
        <v>74</v>
      </c>
      <c r="BF656" t="s">
        <v>74</v>
      </c>
      <c r="BG656" t="s">
        <v>12302</v>
      </c>
      <c r="BH656" t="s">
        <v>74</v>
      </c>
      <c r="BI656">
        <v>39</v>
      </c>
      <c r="BJ656" t="s">
        <v>12303</v>
      </c>
      <c r="BK656" t="s">
        <v>8850</v>
      </c>
      <c r="BL656" t="s">
        <v>12303</v>
      </c>
      <c r="BM656" t="s">
        <v>12304</v>
      </c>
      <c r="BN656" t="s">
        <v>74</v>
      </c>
      <c r="BO656" t="s">
        <v>74</v>
      </c>
      <c r="BP656" t="s">
        <v>74</v>
      </c>
      <c r="BQ656" t="s">
        <v>74</v>
      </c>
      <c r="BR656" t="s">
        <v>104</v>
      </c>
      <c r="BS656" t="s">
        <v>12321</v>
      </c>
      <c r="BT656" t="str">
        <f>HYPERLINK("https%3A%2F%2Fwww.webofscience.com%2Fwos%2Fwoscc%2Ffull-record%2FWOS:000339956300010","View Full Record in Web of Science")</f>
        <v>View Full Record in Web of Science</v>
      </c>
    </row>
    <row r="657" spans="1:72" x14ac:dyDescent="0.15">
      <c r="A657" t="s">
        <v>8803</v>
      </c>
      <c r="B657" t="s">
        <v>12292</v>
      </c>
      <c r="C657" t="s">
        <v>12292</v>
      </c>
      <c r="D657" t="s">
        <v>74</v>
      </c>
      <c r="E657" t="s">
        <v>74</v>
      </c>
      <c r="F657" t="s">
        <v>12293</v>
      </c>
      <c r="G657" t="s">
        <v>12292</v>
      </c>
      <c r="H657" t="s">
        <v>74</v>
      </c>
      <c r="I657" t="s">
        <v>12322</v>
      </c>
      <c r="J657" t="s">
        <v>12295</v>
      </c>
      <c r="K657" t="s">
        <v>74</v>
      </c>
      <c r="L657" t="s">
        <v>74</v>
      </c>
      <c r="M657" t="s">
        <v>78</v>
      </c>
      <c r="N657" t="s">
        <v>8809</v>
      </c>
      <c r="O657" t="s">
        <v>74</v>
      </c>
      <c r="P657" t="s">
        <v>74</v>
      </c>
      <c r="Q657" t="s">
        <v>74</v>
      </c>
      <c r="R657" t="s">
        <v>74</v>
      </c>
      <c r="S657" t="s">
        <v>74</v>
      </c>
      <c r="T657" t="s">
        <v>74</v>
      </c>
      <c r="U657" t="s">
        <v>74</v>
      </c>
      <c r="V657" t="s">
        <v>74</v>
      </c>
      <c r="W657" t="s">
        <v>12296</v>
      </c>
      <c r="X657" t="s">
        <v>12297</v>
      </c>
      <c r="Y657" t="s">
        <v>12298</v>
      </c>
      <c r="Z657" t="s">
        <v>74</v>
      </c>
      <c r="AA657" t="s">
        <v>12299</v>
      </c>
      <c r="AB657" t="s">
        <v>74</v>
      </c>
      <c r="AC657" t="s">
        <v>74</v>
      </c>
      <c r="AD657" t="s">
        <v>74</v>
      </c>
      <c r="AE657" t="s">
        <v>74</v>
      </c>
      <c r="AF657" t="s">
        <v>74</v>
      </c>
      <c r="AG657">
        <v>0</v>
      </c>
      <c r="AH657">
        <v>1</v>
      </c>
      <c r="AI657">
        <v>1</v>
      </c>
      <c r="AJ657">
        <v>0</v>
      </c>
      <c r="AK657">
        <v>5</v>
      </c>
      <c r="AL657" t="s">
        <v>91</v>
      </c>
      <c r="AM657" t="s">
        <v>1948</v>
      </c>
      <c r="AN657" t="s">
        <v>12300</v>
      </c>
      <c r="AO657" t="s">
        <v>74</v>
      </c>
      <c r="AP657" t="s">
        <v>74</v>
      </c>
      <c r="AQ657" t="s">
        <v>12301</v>
      </c>
      <c r="AR657" t="s">
        <v>74</v>
      </c>
      <c r="AS657" t="s">
        <v>74</v>
      </c>
      <c r="AT657" t="s">
        <v>74</v>
      </c>
      <c r="AU657">
        <v>2014</v>
      </c>
      <c r="AV657" t="s">
        <v>74</v>
      </c>
      <c r="AW657" t="s">
        <v>74</v>
      </c>
      <c r="AX657" t="s">
        <v>74</v>
      </c>
      <c r="AY657" t="s">
        <v>74</v>
      </c>
      <c r="AZ657" t="s">
        <v>74</v>
      </c>
      <c r="BA657" t="s">
        <v>74</v>
      </c>
      <c r="BB657">
        <v>413</v>
      </c>
      <c r="BC657">
        <v>439</v>
      </c>
      <c r="BD657" t="s">
        <v>74</v>
      </c>
      <c r="BE657" t="s">
        <v>74</v>
      </c>
      <c r="BF657" t="s">
        <v>74</v>
      </c>
      <c r="BG657" t="s">
        <v>12302</v>
      </c>
      <c r="BH657" t="s">
        <v>74</v>
      </c>
      <c r="BI657">
        <v>27</v>
      </c>
      <c r="BJ657" t="s">
        <v>12303</v>
      </c>
      <c r="BK657" t="s">
        <v>8850</v>
      </c>
      <c r="BL657" t="s">
        <v>12303</v>
      </c>
      <c r="BM657" t="s">
        <v>12304</v>
      </c>
      <c r="BN657" t="s">
        <v>74</v>
      </c>
      <c r="BO657" t="s">
        <v>74</v>
      </c>
      <c r="BP657" t="s">
        <v>74</v>
      </c>
      <c r="BQ657" t="s">
        <v>74</v>
      </c>
      <c r="BR657" t="s">
        <v>104</v>
      </c>
      <c r="BS657" t="s">
        <v>12323</v>
      </c>
      <c r="BT657" t="str">
        <f>HYPERLINK("https%3A%2F%2Fwww.webofscience.com%2Fwos%2Fwoscc%2Ffull-record%2FWOS:000339956300011","View Full Record in Web of Science")</f>
        <v>View Full Record in Web of Science</v>
      </c>
    </row>
    <row r="658" spans="1:72" x14ac:dyDescent="0.15">
      <c r="A658" t="s">
        <v>72</v>
      </c>
      <c r="B658" t="s">
        <v>12324</v>
      </c>
      <c r="C658" t="s">
        <v>74</v>
      </c>
      <c r="D658" t="s">
        <v>74</v>
      </c>
      <c r="E658" t="s">
        <v>74</v>
      </c>
      <c r="F658" t="s">
        <v>12325</v>
      </c>
      <c r="G658" t="s">
        <v>74</v>
      </c>
      <c r="H658" t="s">
        <v>74</v>
      </c>
      <c r="I658" t="s">
        <v>12326</v>
      </c>
      <c r="J658" t="s">
        <v>11305</v>
      </c>
      <c r="K658" t="s">
        <v>74</v>
      </c>
      <c r="L658" t="s">
        <v>74</v>
      </c>
      <c r="M658" t="s">
        <v>78</v>
      </c>
      <c r="N658" t="s">
        <v>79</v>
      </c>
      <c r="O658" t="s">
        <v>74</v>
      </c>
      <c r="P658" t="s">
        <v>74</v>
      </c>
      <c r="Q658" t="s">
        <v>74</v>
      </c>
      <c r="R658" t="s">
        <v>74</v>
      </c>
      <c r="S658" t="s">
        <v>74</v>
      </c>
      <c r="T658" t="s">
        <v>74</v>
      </c>
      <c r="U658" t="s">
        <v>12327</v>
      </c>
      <c r="V658" t="s">
        <v>12328</v>
      </c>
      <c r="W658" t="s">
        <v>12329</v>
      </c>
      <c r="X658" t="s">
        <v>5675</v>
      </c>
      <c r="Y658" t="s">
        <v>12330</v>
      </c>
      <c r="Z658" t="s">
        <v>12331</v>
      </c>
      <c r="AA658" t="s">
        <v>12332</v>
      </c>
      <c r="AB658" t="s">
        <v>12333</v>
      </c>
      <c r="AC658" t="s">
        <v>74</v>
      </c>
      <c r="AD658" t="s">
        <v>74</v>
      </c>
      <c r="AE658" t="s">
        <v>74</v>
      </c>
      <c r="AF658" t="s">
        <v>74</v>
      </c>
      <c r="AG658">
        <v>78</v>
      </c>
      <c r="AH658">
        <v>18</v>
      </c>
      <c r="AI658">
        <v>18</v>
      </c>
      <c r="AJ658">
        <v>2</v>
      </c>
      <c r="AK658">
        <v>5</v>
      </c>
      <c r="AL658" t="s">
        <v>1463</v>
      </c>
      <c r="AM658" t="s">
        <v>1464</v>
      </c>
      <c r="AN658" t="s">
        <v>1465</v>
      </c>
      <c r="AO658" t="s">
        <v>11316</v>
      </c>
      <c r="AP658" t="s">
        <v>11317</v>
      </c>
      <c r="AQ658" t="s">
        <v>74</v>
      </c>
      <c r="AR658" t="s">
        <v>11305</v>
      </c>
      <c r="AS658" t="s">
        <v>11318</v>
      </c>
      <c r="AT658" t="s">
        <v>74</v>
      </c>
      <c r="AU658">
        <v>2014</v>
      </c>
      <c r="AV658">
        <v>11</v>
      </c>
      <c r="AW658">
        <v>14</v>
      </c>
      <c r="AX658" t="s">
        <v>74</v>
      </c>
      <c r="AY658" t="s">
        <v>74</v>
      </c>
      <c r="AZ658" t="s">
        <v>74</v>
      </c>
      <c r="BA658" t="s">
        <v>74</v>
      </c>
      <c r="BB658">
        <v>3797</v>
      </c>
      <c r="BC658">
        <v>3817</v>
      </c>
      <c r="BD658" t="s">
        <v>74</v>
      </c>
      <c r="BE658" t="s">
        <v>12334</v>
      </c>
      <c r="BF658" t="str">
        <f>HYPERLINK("http://dx.doi.org/10.5194/bg-11-3797-2014","http://dx.doi.org/10.5194/bg-11-3797-2014")</f>
        <v>http://dx.doi.org/10.5194/bg-11-3797-2014</v>
      </c>
      <c r="BG658" t="s">
        <v>74</v>
      </c>
      <c r="BH658" t="s">
        <v>74</v>
      </c>
      <c r="BI658">
        <v>21</v>
      </c>
      <c r="BJ658" t="s">
        <v>2923</v>
      </c>
      <c r="BK658" t="s">
        <v>101</v>
      </c>
      <c r="BL658" t="s">
        <v>357</v>
      </c>
      <c r="BM658" t="s">
        <v>12335</v>
      </c>
      <c r="BN658" t="s">
        <v>74</v>
      </c>
      <c r="BO658" t="s">
        <v>11909</v>
      </c>
      <c r="BP658" t="s">
        <v>74</v>
      </c>
      <c r="BQ658" t="s">
        <v>74</v>
      </c>
      <c r="BR658" t="s">
        <v>104</v>
      </c>
      <c r="BS658" t="s">
        <v>12336</v>
      </c>
      <c r="BT658" t="str">
        <f>HYPERLINK("https%3A%2F%2Fwww.webofscience.com%2Fwos%2Fwoscc%2Ffull-record%2FWOS:000339895600006","View Full Record in Web of Science")</f>
        <v>View Full Record in Web of Science</v>
      </c>
    </row>
    <row r="659" spans="1:72" x14ac:dyDescent="0.15">
      <c r="A659" t="s">
        <v>72</v>
      </c>
      <c r="B659" t="s">
        <v>12337</v>
      </c>
      <c r="C659" t="s">
        <v>74</v>
      </c>
      <c r="D659" t="s">
        <v>74</v>
      </c>
      <c r="E659" t="s">
        <v>74</v>
      </c>
      <c r="F659" t="s">
        <v>12338</v>
      </c>
      <c r="G659" t="s">
        <v>74</v>
      </c>
      <c r="H659" t="s">
        <v>74</v>
      </c>
      <c r="I659" t="s">
        <v>12339</v>
      </c>
      <c r="J659" t="s">
        <v>12340</v>
      </c>
      <c r="K659" t="s">
        <v>74</v>
      </c>
      <c r="L659" t="s">
        <v>74</v>
      </c>
      <c r="M659" t="s">
        <v>78</v>
      </c>
      <c r="N659" t="s">
        <v>79</v>
      </c>
      <c r="O659" t="s">
        <v>74</v>
      </c>
      <c r="P659" t="s">
        <v>74</v>
      </c>
      <c r="Q659" t="s">
        <v>74</v>
      </c>
      <c r="R659" t="s">
        <v>74</v>
      </c>
      <c r="S659" t="s">
        <v>74</v>
      </c>
      <c r="T659" t="s">
        <v>12341</v>
      </c>
      <c r="U659" t="s">
        <v>12342</v>
      </c>
      <c r="V659" t="s">
        <v>12343</v>
      </c>
      <c r="W659" t="s">
        <v>12344</v>
      </c>
      <c r="X659" t="s">
        <v>12345</v>
      </c>
      <c r="Y659" t="s">
        <v>12346</v>
      </c>
      <c r="Z659" t="s">
        <v>12347</v>
      </c>
      <c r="AA659" t="s">
        <v>12348</v>
      </c>
      <c r="AB659" t="s">
        <v>12349</v>
      </c>
      <c r="AC659" t="s">
        <v>12350</v>
      </c>
      <c r="AD659" t="s">
        <v>12351</v>
      </c>
      <c r="AE659" t="s">
        <v>12352</v>
      </c>
      <c r="AF659" t="s">
        <v>74</v>
      </c>
      <c r="AG659">
        <v>46</v>
      </c>
      <c r="AH659">
        <v>5</v>
      </c>
      <c r="AI659">
        <v>5</v>
      </c>
      <c r="AJ659">
        <v>0</v>
      </c>
      <c r="AK659">
        <v>2</v>
      </c>
      <c r="AL659" t="s">
        <v>5746</v>
      </c>
      <c r="AM659" t="s">
        <v>5747</v>
      </c>
      <c r="AN659" t="s">
        <v>5748</v>
      </c>
      <c r="AO659" t="s">
        <v>12353</v>
      </c>
      <c r="AP659" t="s">
        <v>12354</v>
      </c>
      <c r="AQ659" t="s">
        <v>74</v>
      </c>
      <c r="AR659" t="s">
        <v>12355</v>
      </c>
      <c r="AS659" t="s">
        <v>12356</v>
      </c>
      <c r="AT659" t="s">
        <v>74</v>
      </c>
      <c r="AU659">
        <v>2014</v>
      </c>
      <c r="AV659">
        <v>108</v>
      </c>
      <c r="AW659">
        <v>4</v>
      </c>
      <c r="AX659" t="s">
        <v>74</v>
      </c>
      <c r="AY659" t="s">
        <v>74</v>
      </c>
      <c r="AZ659" t="s">
        <v>74</v>
      </c>
      <c r="BA659" t="s">
        <v>74</v>
      </c>
      <c r="BB659">
        <v>363</v>
      </c>
      <c r="BC659">
        <v>386</v>
      </c>
      <c r="BD659" t="s">
        <v>74</v>
      </c>
      <c r="BE659" t="s">
        <v>12357</v>
      </c>
      <c r="BF659" t="str">
        <f>HYPERLINK("http://dx.doi.org/10.1080/03091929.2014.891023","http://dx.doi.org/10.1080/03091929.2014.891023")</f>
        <v>http://dx.doi.org/10.1080/03091929.2014.891023</v>
      </c>
      <c r="BG659" t="s">
        <v>74</v>
      </c>
      <c r="BH659" t="s">
        <v>74</v>
      </c>
      <c r="BI659">
        <v>24</v>
      </c>
      <c r="BJ659" t="s">
        <v>12358</v>
      </c>
      <c r="BK659" t="s">
        <v>101</v>
      </c>
      <c r="BL659" t="s">
        <v>12358</v>
      </c>
      <c r="BM659" t="s">
        <v>12359</v>
      </c>
      <c r="BN659" t="s">
        <v>74</v>
      </c>
      <c r="BO659" t="s">
        <v>74</v>
      </c>
      <c r="BP659" t="s">
        <v>74</v>
      </c>
      <c r="BQ659" t="s">
        <v>74</v>
      </c>
      <c r="BR659" t="s">
        <v>104</v>
      </c>
      <c r="BS659" t="s">
        <v>12360</v>
      </c>
      <c r="BT659" t="str">
        <f>HYPERLINK("https%3A%2F%2Fwww.webofscience.com%2Fwos%2Fwoscc%2Ffull-record%2FWOS:000340094500001","View Full Record in Web of Science")</f>
        <v>View Full Record in Web of Science</v>
      </c>
    </row>
    <row r="660" spans="1:72" x14ac:dyDescent="0.15">
      <c r="A660" t="s">
        <v>72</v>
      </c>
      <c r="B660" t="s">
        <v>5343</v>
      </c>
      <c r="C660" t="s">
        <v>74</v>
      </c>
      <c r="D660" t="s">
        <v>74</v>
      </c>
      <c r="E660" t="s">
        <v>74</v>
      </c>
      <c r="F660" t="s">
        <v>5344</v>
      </c>
      <c r="G660" t="s">
        <v>74</v>
      </c>
      <c r="H660" t="s">
        <v>74</v>
      </c>
      <c r="I660" t="s">
        <v>12361</v>
      </c>
      <c r="J660" t="s">
        <v>12362</v>
      </c>
      <c r="K660" t="s">
        <v>74</v>
      </c>
      <c r="L660" t="s">
        <v>74</v>
      </c>
      <c r="M660" t="s">
        <v>78</v>
      </c>
      <c r="N660" t="s">
        <v>79</v>
      </c>
      <c r="O660" t="s">
        <v>74</v>
      </c>
      <c r="P660" t="s">
        <v>74</v>
      </c>
      <c r="Q660" t="s">
        <v>74</v>
      </c>
      <c r="R660" t="s">
        <v>74</v>
      </c>
      <c r="S660" t="s">
        <v>74</v>
      </c>
      <c r="T660" t="s">
        <v>74</v>
      </c>
      <c r="U660" t="s">
        <v>12363</v>
      </c>
      <c r="V660" t="s">
        <v>12364</v>
      </c>
      <c r="W660" t="s">
        <v>5350</v>
      </c>
      <c r="X660" t="s">
        <v>5351</v>
      </c>
      <c r="Y660" t="s">
        <v>5352</v>
      </c>
      <c r="Z660" t="s">
        <v>5353</v>
      </c>
      <c r="AA660" t="s">
        <v>74</v>
      </c>
      <c r="AB660" t="s">
        <v>74</v>
      </c>
      <c r="AC660" t="s">
        <v>12365</v>
      </c>
      <c r="AD660" t="s">
        <v>12366</v>
      </c>
      <c r="AE660" t="s">
        <v>12367</v>
      </c>
      <c r="AF660" t="s">
        <v>74</v>
      </c>
      <c r="AG660">
        <v>21</v>
      </c>
      <c r="AH660">
        <v>4</v>
      </c>
      <c r="AI660">
        <v>4</v>
      </c>
      <c r="AJ660">
        <v>1</v>
      </c>
      <c r="AK660">
        <v>11</v>
      </c>
      <c r="AL660" t="s">
        <v>12368</v>
      </c>
      <c r="AM660" t="s">
        <v>704</v>
      </c>
      <c r="AN660" t="s">
        <v>12369</v>
      </c>
      <c r="AO660" t="s">
        <v>12370</v>
      </c>
      <c r="AP660" t="s">
        <v>12371</v>
      </c>
      <c r="AQ660" t="s">
        <v>74</v>
      </c>
      <c r="AR660" t="s">
        <v>12372</v>
      </c>
      <c r="AS660" t="s">
        <v>12373</v>
      </c>
      <c r="AT660" t="s">
        <v>74</v>
      </c>
      <c r="AU660">
        <v>2014</v>
      </c>
      <c r="AV660">
        <v>2014</v>
      </c>
      <c r="AW660" t="s">
        <v>74</v>
      </c>
      <c r="AX660" t="s">
        <v>74</v>
      </c>
      <c r="AY660" t="s">
        <v>74</v>
      </c>
      <c r="AZ660" t="s">
        <v>74</v>
      </c>
      <c r="BA660" t="s">
        <v>74</v>
      </c>
      <c r="BB660" t="s">
        <v>74</v>
      </c>
      <c r="BC660" t="s">
        <v>74</v>
      </c>
      <c r="BD660">
        <v>540379</v>
      </c>
      <c r="BE660" t="s">
        <v>12374</v>
      </c>
      <c r="BF660" t="str">
        <f>HYPERLINK("http://dx.doi.org/10.1155/2014/540379","http://dx.doi.org/10.1155/2014/540379")</f>
        <v>http://dx.doi.org/10.1155/2014/540379</v>
      </c>
      <c r="BG660" t="s">
        <v>74</v>
      </c>
      <c r="BH660" t="s">
        <v>74</v>
      </c>
      <c r="BI660">
        <v>13</v>
      </c>
      <c r="BJ660" t="s">
        <v>12375</v>
      </c>
      <c r="BK660" t="s">
        <v>101</v>
      </c>
      <c r="BL660" t="s">
        <v>12376</v>
      </c>
      <c r="BM660" t="s">
        <v>12377</v>
      </c>
      <c r="BN660" t="s">
        <v>74</v>
      </c>
      <c r="BO660" t="s">
        <v>9228</v>
      </c>
      <c r="BP660" t="s">
        <v>74</v>
      </c>
      <c r="BQ660" t="s">
        <v>74</v>
      </c>
      <c r="BR660" t="s">
        <v>104</v>
      </c>
      <c r="BS660" t="s">
        <v>12378</v>
      </c>
      <c r="BT660" t="str">
        <f>HYPERLINK("https%3A%2F%2Fwww.webofscience.com%2Fwos%2Fwoscc%2Ffull-record%2FWOS:000339827000001","View Full Record in Web of Science")</f>
        <v>View Full Record in Web of Science</v>
      </c>
    </row>
    <row r="661" spans="1:72" x14ac:dyDescent="0.15">
      <c r="A661" t="s">
        <v>72</v>
      </c>
      <c r="B661" t="s">
        <v>12379</v>
      </c>
      <c r="C661" t="s">
        <v>74</v>
      </c>
      <c r="D661" t="s">
        <v>74</v>
      </c>
      <c r="E661" t="s">
        <v>74</v>
      </c>
      <c r="F661" t="s">
        <v>12380</v>
      </c>
      <c r="G661" t="s">
        <v>74</v>
      </c>
      <c r="H661" t="s">
        <v>74</v>
      </c>
      <c r="I661" t="s">
        <v>12381</v>
      </c>
      <c r="J661" t="s">
        <v>10713</v>
      </c>
      <c r="K661" t="s">
        <v>74</v>
      </c>
      <c r="L661" t="s">
        <v>74</v>
      </c>
      <c r="M661" t="s">
        <v>78</v>
      </c>
      <c r="N661" t="s">
        <v>79</v>
      </c>
      <c r="O661" t="s">
        <v>74</v>
      </c>
      <c r="P661" t="s">
        <v>74</v>
      </c>
      <c r="Q661" t="s">
        <v>74</v>
      </c>
      <c r="R661" t="s">
        <v>74</v>
      </c>
      <c r="S661" t="s">
        <v>74</v>
      </c>
      <c r="T661" t="s">
        <v>12382</v>
      </c>
      <c r="U661" t="s">
        <v>12383</v>
      </c>
      <c r="V661" t="s">
        <v>12384</v>
      </c>
      <c r="W661" t="s">
        <v>12385</v>
      </c>
      <c r="X661" t="s">
        <v>12386</v>
      </c>
      <c r="Y661" t="s">
        <v>12387</v>
      </c>
      <c r="Z661" t="s">
        <v>12388</v>
      </c>
      <c r="AA661" t="s">
        <v>12389</v>
      </c>
      <c r="AB661" t="s">
        <v>12390</v>
      </c>
      <c r="AC661" t="s">
        <v>12391</v>
      </c>
      <c r="AD661" t="s">
        <v>12392</v>
      </c>
      <c r="AE661" t="s">
        <v>12393</v>
      </c>
      <c r="AF661" t="s">
        <v>74</v>
      </c>
      <c r="AG661">
        <v>65</v>
      </c>
      <c r="AH661">
        <v>3</v>
      </c>
      <c r="AI661">
        <v>3</v>
      </c>
      <c r="AJ661">
        <v>0</v>
      </c>
      <c r="AK661">
        <v>11</v>
      </c>
      <c r="AL661" t="s">
        <v>10723</v>
      </c>
      <c r="AM661" t="s">
        <v>10724</v>
      </c>
      <c r="AN661" t="s">
        <v>10725</v>
      </c>
      <c r="AO661" t="s">
        <v>10726</v>
      </c>
      <c r="AP661" t="s">
        <v>10727</v>
      </c>
      <c r="AQ661" t="s">
        <v>74</v>
      </c>
      <c r="AR661" t="s">
        <v>10728</v>
      </c>
      <c r="AS661" t="s">
        <v>10729</v>
      </c>
      <c r="AT661" t="s">
        <v>74</v>
      </c>
      <c r="AU661">
        <v>2014</v>
      </c>
      <c r="AV661">
        <v>35</v>
      </c>
      <c r="AW661">
        <v>2</v>
      </c>
      <c r="AX661" t="s">
        <v>74</v>
      </c>
      <c r="AY661" t="s">
        <v>74</v>
      </c>
      <c r="AZ661" t="s">
        <v>74</v>
      </c>
      <c r="BA661" t="s">
        <v>74</v>
      </c>
      <c r="BB661">
        <v>261</v>
      </c>
      <c r="BC661">
        <v>278</v>
      </c>
      <c r="BD661" t="s">
        <v>74</v>
      </c>
      <c r="BE661" t="s">
        <v>12394</v>
      </c>
      <c r="BF661" t="str">
        <f>HYPERLINK("http://dx.doi.org/10.2478/popore-2014-0017","http://dx.doi.org/10.2478/popore-2014-0017")</f>
        <v>http://dx.doi.org/10.2478/popore-2014-0017</v>
      </c>
      <c r="BG661" t="s">
        <v>74</v>
      </c>
      <c r="BH661" t="s">
        <v>74</v>
      </c>
      <c r="BI661">
        <v>18</v>
      </c>
      <c r="BJ661" t="s">
        <v>2923</v>
      </c>
      <c r="BK661" t="s">
        <v>101</v>
      </c>
      <c r="BL661" t="s">
        <v>357</v>
      </c>
      <c r="BM661" t="s">
        <v>12395</v>
      </c>
      <c r="BN661" t="s">
        <v>74</v>
      </c>
      <c r="BO661" t="s">
        <v>270</v>
      </c>
      <c r="BP661" t="s">
        <v>74</v>
      </c>
      <c r="BQ661" t="s">
        <v>74</v>
      </c>
      <c r="BR661" t="s">
        <v>104</v>
      </c>
      <c r="BS661" t="s">
        <v>12396</v>
      </c>
      <c r="BT661" t="str">
        <f>HYPERLINK("https%3A%2F%2Fwww.webofscience.com%2Fwos%2Fwoscc%2Ffull-record%2FWOS:000339783900007","View Full Record in Web of Science")</f>
        <v>View Full Record in Web of Science</v>
      </c>
    </row>
    <row r="662" spans="1:72" x14ac:dyDescent="0.15">
      <c r="A662" t="s">
        <v>9250</v>
      </c>
      <c r="B662" t="s">
        <v>12397</v>
      </c>
      <c r="C662" t="s">
        <v>74</v>
      </c>
      <c r="D662" t="s">
        <v>12398</v>
      </c>
      <c r="E662" t="s">
        <v>74</v>
      </c>
      <c r="F662" t="s">
        <v>12399</v>
      </c>
      <c r="G662" t="s">
        <v>74</v>
      </c>
      <c r="H662" t="s">
        <v>74</v>
      </c>
      <c r="I662" t="s">
        <v>12400</v>
      </c>
      <c r="J662" t="s">
        <v>12401</v>
      </c>
      <c r="K662" t="s">
        <v>12402</v>
      </c>
      <c r="L662" t="s">
        <v>74</v>
      </c>
      <c r="M662" t="s">
        <v>78</v>
      </c>
      <c r="N662" t="s">
        <v>8809</v>
      </c>
      <c r="O662" t="s">
        <v>74</v>
      </c>
      <c r="P662" t="s">
        <v>74</v>
      </c>
      <c r="Q662" t="s">
        <v>74</v>
      </c>
      <c r="R662" t="s">
        <v>74</v>
      </c>
      <c r="S662" t="s">
        <v>74</v>
      </c>
      <c r="T662" t="s">
        <v>74</v>
      </c>
      <c r="U662" t="s">
        <v>12403</v>
      </c>
      <c r="V662" t="s">
        <v>74</v>
      </c>
      <c r="W662" t="s">
        <v>12404</v>
      </c>
      <c r="X662" t="s">
        <v>12405</v>
      </c>
      <c r="Y662" t="s">
        <v>12406</v>
      </c>
      <c r="Z662" t="s">
        <v>12407</v>
      </c>
      <c r="AA662" t="s">
        <v>12408</v>
      </c>
      <c r="AB662" t="s">
        <v>12409</v>
      </c>
      <c r="AC662" t="s">
        <v>74</v>
      </c>
      <c r="AD662" t="s">
        <v>74</v>
      </c>
      <c r="AE662" t="s">
        <v>74</v>
      </c>
      <c r="AF662" t="s">
        <v>74</v>
      </c>
      <c r="AG662">
        <v>69</v>
      </c>
      <c r="AH662">
        <v>2</v>
      </c>
      <c r="AI662">
        <v>2</v>
      </c>
      <c r="AJ662">
        <v>1</v>
      </c>
      <c r="AK662">
        <v>8</v>
      </c>
      <c r="AL662" t="s">
        <v>652</v>
      </c>
      <c r="AM662" t="s">
        <v>653</v>
      </c>
      <c r="AN662" t="s">
        <v>12410</v>
      </c>
      <c r="AO662" t="s">
        <v>12411</v>
      </c>
      <c r="AP662" t="s">
        <v>74</v>
      </c>
      <c r="AQ662" t="s">
        <v>12412</v>
      </c>
      <c r="AR662" t="s">
        <v>12413</v>
      </c>
      <c r="AS662" t="s">
        <v>12414</v>
      </c>
      <c r="AT662" t="s">
        <v>74</v>
      </c>
      <c r="AU662">
        <v>2014</v>
      </c>
      <c r="AV662">
        <v>26</v>
      </c>
      <c r="AW662" t="s">
        <v>74</v>
      </c>
      <c r="AX662" t="s">
        <v>74</v>
      </c>
      <c r="AY662" t="s">
        <v>74</v>
      </c>
      <c r="AZ662" t="s">
        <v>74</v>
      </c>
      <c r="BA662" t="s">
        <v>74</v>
      </c>
      <c r="BB662">
        <v>231</v>
      </c>
      <c r="BC662">
        <v>250</v>
      </c>
      <c r="BD662" t="s">
        <v>74</v>
      </c>
      <c r="BE662" t="s">
        <v>12415</v>
      </c>
      <c r="BF662" t="str">
        <f>HYPERLINK("http://dx.doi.org/10.1016/B978-0-444-63249-4.00010-5","http://dx.doi.org/10.1016/B978-0-444-63249-4.00010-5")</f>
        <v>http://dx.doi.org/10.1016/B978-0-444-63249-4.00010-5</v>
      </c>
      <c r="BG662" t="s">
        <v>74</v>
      </c>
      <c r="BH662" t="s">
        <v>74</v>
      </c>
      <c r="BI662">
        <v>20</v>
      </c>
      <c r="BJ662" t="s">
        <v>12416</v>
      </c>
      <c r="BK662" t="s">
        <v>8850</v>
      </c>
      <c r="BL662" t="s">
        <v>2115</v>
      </c>
      <c r="BM662" t="s">
        <v>12417</v>
      </c>
      <c r="BN662" t="s">
        <v>74</v>
      </c>
      <c r="BO662" t="s">
        <v>74</v>
      </c>
      <c r="BP662" t="s">
        <v>74</v>
      </c>
      <c r="BQ662" t="s">
        <v>74</v>
      </c>
      <c r="BR662" t="s">
        <v>104</v>
      </c>
      <c r="BS662" t="s">
        <v>12418</v>
      </c>
      <c r="BT662" t="str">
        <f>HYPERLINK("https%3A%2F%2Fwww.webofscience.com%2Fwos%2Fwoscc%2Ffull-record%2FWOS:000337757900009","View Full Record in Web of Science")</f>
        <v>View Full Record in Web of Science</v>
      </c>
    </row>
    <row r="663" spans="1:72" x14ac:dyDescent="0.15">
      <c r="A663" t="s">
        <v>72</v>
      </c>
      <c r="B663" t="s">
        <v>12419</v>
      </c>
      <c r="C663" t="s">
        <v>74</v>
      </c>
      <c r="D663" t="s">
        <v>74</v>
      </c>
      <c r="E663" t="s">
        <v>74</v>
      </c>
      <c r="F663" t="s">
        <v>12420</v>
      </c>
      <c r="G663" t="s">
        <v>74</v>
      </c>
      <c r="H663" t="s">
        <v>74</v>
      </c>
      <c r="I663" t="s">
        <v>12421</v>
      </c>
      <c r="J663" t="s">
        <v>12422</v>
      </c>
      <c r="K663" t="s">
        <v>74</v>
      </c>
      <c r="L663" t="s">
        <v>74</v>
      </c>
      <c r="M663" t="s">
        <v>78</v>
      </c>
      <c r="N663" t="s">
        <v>79</v>
      </c>
      <c r="O663" t="s">
        <v>74</v>
      </c>
      <c r="P663" t="s">
        <v>74</v>
      </c>
      <c r="Q663" t="s">
        <v>74</v>
      </c>
      <c r="R663" t="s">
        <v>74</v>
      </c>
      <c r="S663" t="s">
        <v>74</v>
      </c>
      <c r="T663" t="s">
        <v>12423</v>
      </c>
      <c r="U663" t="s">
        <v>12424</v>
      </c>
      <c r="V663" t="s">
        <v>12425</v>
      </c>
      <c r="W663" t="s">
        <v>12426</v>
      </c>
      <c r="X663" t="s">
        <v>12427</v>
      </c>
      <c r="Y663" t="s">
        <v>12428</v>
      </c>
      <c r="Z663" t="s">
        <v>12429</v>
      </c>
      <c r="AA663" t="s">
        <v>12430</v>
      </c>
      <c r="AB663" t="s">
        <v>12431</v>
      </c>
      <c r="AC663" t="s">
        <v>12432</v>
      </c>
      <c r="AD663" t="s">
        <v>12432</v>
      </c>
      <c r="AE663" t="s">
        <v>12433</v>
      </c>
      <c r="AF663" t="s">
        <v>74</v>
      </c>
      <c r="AG663">
        <v>28</v>
      </c>
      <c r="AH663">
        <v>10</v>
      </c>
      <c r="AI663">
        <v>10</v>
      </c>
      <c r="AJ663">
        <v>0</v>
      </c>
      <c r="AK663">
        <v>16</v>
      </c>
      <c r="AL663" t="s">
        <v>12434</v>
      </c>
      <c r="AM663" t="s">
        <v>8793</v>
      </c>
      <c r="AN663" t="s">
        <v>12435</v>
      </c>
      <c r="AO663" t="s">
        <v>12436</v>
      </c>
      <c r="AP663" t="s">
        <v>74</v>
      </c>
      <c r="AQ663" t="s">
        <v>74</v>
      </c>
      <c r="AR663" t="s">
        <v>12437</v>
      </c>
      <c r="AS663" t="s">
        <v>12438</v>
      </c>
      <c r="AT663" t="s">
        <v>74</v>
      </c>
      <c r="AU663">
        <v>2014</v>
      </c>
      <c r="AV663">
        <v>15</v>
      </c>
      <c r="AW663">
        <v>2</v>
      </c>
      <c r="AX663" t="s">
        <v>74</v>
      </c>
      <c r="AY663" t="s">
        <v>74</v>
      </c>
      <c r="AZ663" t="s">
        <v>74</v>
      </c>
      <c r="BA663" t="s">
        <v>74</v>
      </c>
      <c r="BB663">
        <v>526</v>
      </c>
      <c r="BC663">
        <v>536</v>
      </c>
      <c r="BD663" t="s">
        <v>74</v>
      </c>
      <c r="BE663" t="s">
        <v>74</v>
      </c>
      <c r="BF663" t="s">
        <v>74</v>
      </c>
      <c r="BG663" t="s">
        <v>74</v>
      </c>
      <c r="BH663" t="s">
        <v>74</v>
      </c>
      <c r="BI663">
        <v>11</v>
      </c>
      <c r="BJ663" t="s">
        <v>478</v>
      </c>
      <c r="BK663" t="s">
        <v>101</v>
      </c>
      <c r="BL663" t="s">
        <v>102</v>
      </c>
      <c r="BM663" t="s">
        <v>12439</v>
      </c>
      <c r="BN663" t="s">
        <v>74</v>
      </c>
      <c r="BO663" t="s">
        <v>74</v>
      </c>
      <c r="BP663" t="s">
        <v>74</v>
      </c>
      <c r="BQ663" t="s">
        <v>74</v>
      </c>
      <c r="BR663" t="s">
        <v>104</v>
      </c>
      <c r="BS663" t="s">
        <v>12440</v>
      </c>
      <c r="BT663" t="str">
        <f>HYPERLINK("https%3A%2F%2Fwww.webofscience.com%2Fwos%2Fwoscc%2Ffull-record%2FWOS:000339362500014","View Full Record in Web of Science")</f>
        <v>View Full Record in Web of Science</v>
      </c>
    </row>
    <row r="664" spans="1:72" x14ac:dyDescent="0.15">
      <c r="A664" t="s">
        <v>72</v>
      </c>
      <c r="B664" t="s">
        <v>12441</v>
      </c>
      <c r="C664" t="s">
        <v>74</v>
      </c>
      <c r="D664" t="s">
        <v>74</v>
      </c>
      <c r="E664" t="s">
        <v>74</v>
      </c>
      <c r="F664" t="s">
        <v>12442</v>
      </c>
      <c r="G664" t="s">
        <v>74</v>
      </c>
      <c r="H664" t="s">
        <v>74</v>
      </c>
      <c r="I664" t="s">
        <v>12443</v>
      </c>
      <c r="J664" t="s">
        <v>12444</v>
      </c>
      <c r="K664" t="s">
        <v>74</v>
      </c>
      <c r="L664" t="s">
        <v>74</v>
      </c>
      <c r="M664" t="s">
        <v>78</v>
      </c>
      <c r="N664" t="s">
        <v>79</v>
      </c>
      <c r="O664" t="s">
        <v>74</v>
      </c>
      <c r="P664" t="s">
        <v>74</v>
      </c>
      <c r="Q664" t="s">
        <v>74</v>
      </c>
      <c r="R664" t="s">
        <v>74</v>
      </c>
      <c r="S664" t="s">
        <v>74</v>
      </c>
      <c r="T664" t="s">
        <v>12445</v>
      </c>
      <c r="U664" t="s">
        <v>12446</v>
      </c>
      <c r="V664" t="s">
        <v>12447</v>
      </c>
      <c r="W664" t="s">
        <v>12448</v>
      </c>
      <c r="X664" t="s">
        <v>12449</v>
      </c>
      <c r="Y664" t="s">
        <v>12450</v>
      </c>
      <c r="Z664" t="s">
        <v>12451</v>
      </c>
      <c r="AA664" t="s">
        <v>74</v>
      </c>
      <c r="AB664" t="s">
        <v>74</v>
      </c>
      <c r="AC664" t="s">
        <v>12452</v>
      </c>
      <c r="AD664" t="s">
        <v>12453</v>
      </c>
      <c r="AE664" t="s">
        <v>12454</v>
      </c>
      <c r="AF664" t="s">
        <v>74</v>
      </c>
      <c r="AG664">
        <v>78</v>
      </c>
      <c r="AH664">
        <v>13</v>
      </c>
      <c r="AI664">
        <v>13</v>
      </c>
      <c r="AJ664">
        <v>0</v>
      </c>
      <c r="AK664">
        <v>5</v>
      </c>
      <c r="AL664" t="s">
        <v>12455</v>
      </c>
      <c r="AM664" t="s">
        <v>12456</v>
      </c>
      <c r="AN664" t="s">
        <v>12457</v>
      </c>
      <c r="AO664" t="s">
        <v>12458</v>
      </c>
      <c r="AP664" t="s">
        <v>74</v>
      </c>
      <c r="AQ664" t="s">
        <v>74</v>
      </c>
      <c r="AR664" t="s">
        <v>12444</v>
      </c>
      <c r="AS664" t="s">
        <v>12459</v>
      </c>
      <c r="AT664" t="s">
        <v>74</v>
      </c>
      <c r="AU664">
        <v>2014</v>
      </c>
      <c r="AV664" t="s">
        <v>74</v>
      </c>
      <c r="AW664" t="s">
        <v>74</v>
      </c>
      <c r="AX664" t="s">
        <v>74</v>
      </c>
      <c r="AY664">
        <v>143</v>
      </c>
      <c r="AZ664" t="s">
        <v>74</v>
      </c>
      <c r="BA664" t="s">
        <v>74</v>
      </c>
      <c r="BB664">
        <v>1</v>
      </c>
      <c r="BC664">
        <v>31</v>
      </c>
      <c r="BD664" t="s">
        <v>74</v>
      </c>
      <c r="BE664" t="s">
        <v>12460</v>
      </c>
      <c r="BF664" t="str">
        <f>HYPERLINK("http://dx.doi.org/10.1127/1438-9134/2014/001","http://dx.doi.org/10.1127/1438-9134/2014/001")</f>
        <v>http://dx.doi.org/10.1127/1438-9134/2014/001</v>
      </c>
      <c r="BG664" t="s">
        <v>74</v>
      </c>
      <c r="BH664" t="s">
        <v>74</v>
      </c>
      <c r="BI664">
        <v>31</v>
      </c>
      <c r="BJ664" t="s">
        <v>181</v>
      </c>
      <c r="BK664" t="s">
        <v>101</v>
      </c>
      <c r="BL664" t="s">
        <v>181</v>
      </c>
      <c r="BM664" t="s">
        <v>12461</v>
      </c>
      <c r="BN664" t="s">
        <v>74</v>
      </c>
      <c r="BO664" t="s">
        <v>74</v>
      </c>
      <c r="BP664" t="s">
        <v>74</v>
      </c>
      <c r="BQ664" t="s">
        <v>74</v>
      </c>
      <c r="BR664" t="s">
        <v>104</v>
      </c>
      <c r="BS664" t="s">
        <v>12462</v>
      </c>
      <c r="BT664" t="str">
        <f>HYPERLINK("https%3A%2F%2Fwww.webofscience.com%2Fwos%2Fwoscc%2Ffull-record%2FWOS:000339535600002","View Full Record in Web of Science")</f>
        <v>View Full Record in Web of Science</v>
      </c>
    </row>
    <row r="665" spans="1:72" x14ac:dyDescent="0.15">
      <c r="A665" t="s">
        <v>72</v>
      </c>
      <c r="B665" t="s">
        <v>12463</v>
      </c>
      <c r="C665" t="s">
        <v>74</v>
      </c>
      <c r="D665" t="s">
        <v>74</v>
      </c>
      <c r="E665" t="s">
        <v>74</v>
      </c>
      <c r="F665" t="s">
        <v>12464</v>
      </c>
      <c r="G665" t="s">
        <v>74</v>
      </c>
      <c r="H665" t="s">
        <v>74</v>
      </c>
      <c r="I665" t="s">
        <v>12465</v>
      </c>
      <c r="J665" t="s">
        <v>12444</v>
      </c>
      <c r="K665" t="s">
        <v>74</v>
      </c>
      <c r="L665" t="s">
        <v>74</v>
      </c>
      <c r="M665" t="s">
        <v>78</v>
      </c>
      <c r="N665" t="s">
        <v>79</v>
      </c>
      <c r="O665" t="s">
        <v>74</v>
      </c>
      <c r="P665" t="s">
        <v>74</v>
      </c>
      <c r="Q665" t="s">
        <v>74</v>
      </c>
      <c r="R665" t="s">
        <v>74</v>
      </c>
      <c r="S665" t="s">
        <v>74</v>
      </c>
      <c r="T665" t="s">
        <v>12466</v>
      </c>
      <c r="U665" t="s">
        <v>12467</v>
      </c>
      <c r="V665" t="s">
        <v>12468</v>
      </c>
      <c r="W665" t="s">
        <v>12469</v>
      </c>
      <c r="X665" t="s">
        <v>12470</v>
      </c>
      <c r="Y665" t="s">
        <v>12471</v>
      </c>
      <c r="Z665" t="s">
        <v>12472</v>
      </c>
      <c r="AA665" t="s">
        <v>12473</v>
      </c>
      <c r="AB665" t="s">
        <v>74</v>
      </c>
      <c r="AC665" t="s">
        <v>12474</v>
      </c>
      <c r="AD665" t="s">
        <v>12475</v>
      </c>
      <c r="AE665" t="s">
        <v>12476</v>
      </c>
      <c r="AF665" t="s">
        <v>74</v>
      </c>
      <c r="AG665">
        <v>80</v>
      </c>
      <c r="AH665">
        <v>5</v>
      </c>
      <c r="AI665">
        <v>5</v>
      </c>
      <c r="AJ665">
        <v>0</v>
      </c>
      <c r="AK665">
        <v>8</v>
      </c>
      <c r="AL665" t="s">
        <v>12455</v>
      </c>
      <c r="AM665" t="s">
        <v>12456</v>
      </c>
      <c r="AN665" t="s">
        <v>12457</v>
      </c>
      <c r="AO665" t="s">
        <v>12458</v>
      </c>
      <c r="AP665" t="s">
        <v>74</v>
      </c>
      <c r="AQ665" t="s">
        <v>74</v>
      </c>
      <c r="AR665" t="s">
        <v>12444</v>
      </c>
      <c r="AS665" t="s">
        <v>12459</v>
      </c>
      <c r="AT665" t="s">
        <v>74</v>
      </c>
      <c r="AU665">
        <v>2014</v>
      </c>
      <c r="AV665" t="s">
        <v>74</v>
      </c>
      <c r="AW665" t="s">
        <v>74</v>
      </c>
      <c r="AX665" t="s">
        <v>74</v>
      </c>
      <c r="AY665">
        <v>143</v>
      </c>
      <c r="AZ665" t="s">
        <v>74</v>
      </c>
      <c r="BA665" t="s">
        <v>74</v>
      </c>
      <c r="BB665">
        <v>337</v>
      </c>
      <c r="BC665">
        <v>368</v>
      </c>
      <c r="BD665" t="s">
        <v>74</v>
      </c>
      <c r="BE665" t="s">
        <v>12477</v>
      </c>
      <c r="BF665" t="str">
        <f>HYPERLINK("http://dx.doi.org/10.1127/1438-9431/2014/017","http://dx.doi.org/10.1127/1438-9431/2014/017")</f>
        <v>http://dx.doi.org/10.1127/1438-9431/2014/017</v>
      </c>
      <c r="BG665" t="s">
        <v>74</v>
      </c>
      <c r="BH665" t="s">
        <v>74</v>
      </c>
      <c r="BI665">
        <v>32</v>
      </c>
      <c r="BJ665" t="s">
        <v>181</v>
      </c>
      <c r="BK665" t="s">
        <v>101</v>
      </c>
      <c r="BL665" t="s">
        <v>181</v>
      </c>
      <c r="BM665" t="s">
        <v>12461</v>
      </c>
      <c r="BN665" t="s">
        <v>74</v>
      </c>
      <c r="BO665" t="s">
        <v>74</v>
      </c>
      <c r="BP665" t="s">
        <v>74</v>
      </c>
      <c r="BQ665" t="s">
        <v>74</v>
      </c>
      <c r="BR665" t="s">
        <v>104</v>
      </c>
      <c r="BS665" t="s">
        <v>12478</v>
      </c>
      <c r="BT665" t="str">
        <f>HYPERLINK("https%3A%2F%2Fwww.webofscience.com%2Fwos%2Fwoscc%2Ffull-record%2FWOS:000339535600018","View Full Record in Web of Science")</f>
        <v>View Full Record in Web of Science</v>
      </c>
    </row>
    <row r="666" spans="1:72" x14ac:dyDescent="0.15">
      <c r="A666" t="s">
        <v>72</v>
      </c>
      <c r="B666" t="s">
        <v>12479</v>
      </c>
      <c r="C666" t="s">
        <v>74</v>
      </c>
      <c r="D666" t="s">
        <v>74</v>
      </c>
      <c r="E666" t="s">
        <v>74</v>
      </c>
      <c r="F666" t="s">
        <v>12480</v>
      </c>
      <c r="G666" t="s">
        <v>74</v>
      </c>
      <c r="H666" t="s">
        <v>74</v>
      </c>
      <c r="I666" t="s">
        <v>12481</v>
      </c>
      <c r="J666" t="s">
        <v>12444</v>
      </c>
      <c r="K666" t="s">
        <v>74</v>
      </c>
      <c r="L666" t="s">
        <v>74</v>
      </c>
      <c r="M666" t="s">
        <v>78</v>
      </c>
      <c r="N666" t="s">
        <v>79</v>
      </c>
      <c r="O666" t="s">
        <v>74</v>
      </c>
      <c r="P666" t="s">
        <v>74</v>
      </c>
      <c r="Q666" t="s">
        <v>74</v>
      </c>
      <c r="R666" t="s">
        <v>74</v>
      </c>
      <c r="S666" t="s">
        <v>74</v>
      </c>
      <c r="T666" t="s">
        <v>12482</v>
      </c>
      <c r="U666" t="s">
        <v>12483</v>
      </c>
      <c r="V666" t="s">
        <v>12484</v>
      </c>
      <c r="W666" t="s">
        <v>12485</v>
      </c>
      <c r="X666" t="s">
        <v>12486</v>
      </c>
      <c r="Y666" t="s">
        <v>12487</v>
      </c>
      <c r="Z666" t="s">
        <v>12488</v>
      </c>
      <c r="AA666" t="s">
        <v>74</v>
      </c>
      <c r="AB666" t="s">
        <v>74</v>
      </c>
      <c r="AC666" t="s">
        <v>12489</v>
      </c>
      <c r="AD666" t="s">
        <v>12490</v>
      </c>
      <c r="AE666" t="s">
        <v>12491</v>
      </c>
      <c r="AF666" t="s">
        <v>74</v>
      </c>
      <c r="AG666">
        <v>39</v>
      </c>
      <c r="AH666">
        <v>1</v>
      </c>
      <c r="AI666">
        <v>1</v>
      </c>
      <c r="AJ666">
        <v>1</v>
      </c>
      <c r="AK666">
        <v>8</v>
      </c>
      <c r="AL666" t="s">
        <v>12455</v>
      </c>
      <c r="AM666" t="s">
        <v>12456</v>
      </c>
      <c r="AN666" t="s">
        <v>12457</v>
      </c>
      <c r="AO666" t="s">
        <v>12458</v>
      </c>
      <c r="AP666" t="s">
        <v>74</v>
      </c>
      <c r="AQ666" t="s">
        <v>74</v>
      </c>
      <c r="AR666" t="s">
        <v>12444</v>
      </c>
      <c r="AS666" t="s">
        <v>12459</v>
      </c>
      <c r="AT666" t="s">
        <v>74</v>
      </c>
      <c r="AU666">
        <v>2014</v>
      </c>
      <c r="AV666" t="s">
        <v>74</v>
      </c>
      <c r="AW666" t="s">
        <v>74</v>
      </c>
      <c r="AX666" t="s">
        <v>74</v>
      </c>
      <c r="AY666">
        <v>143</v>
      </c>
      <c r="AZ666" t="s">
        <v>74</v>
      </c>
      <c r="BA666" t="s">
        <v>74</v>
      </c>
      <c r="BB666">
        <v>421</v>
      </c>
      <c r="BC666">
        <v>448</v>
      </c>
      <c r="BD666" t="s">
        <v>74</v>
      </c>
      <c r="BE666" t="s">
        <v>12492</v>
      </c>
      <c r="BF666" t="str">
        <f>HYPERLINK("http://dx.doi.org/10.1127/1438-9134/2014/022","http://dx.doi.org/10.1127/1438-9134/2014/022")</f>
        <v>http://dx.doi.org/10.1127/1438-9134/2014/022</v>
      </c>
      <c r="BG666" t="s">
        <v>74</v>
      </c>
      <c r="BH666" t="s">
        <v>74</v>
      </c>
      <c r="BI666">
        <v>28</v>
      </c>
      <c r="BJ666" t="s">
        <v>181</v>
      </c>
      <c r="BK666" t="s">
        <v>101</v>
      </c>
      <c r="BL666" t="s">
        <v>181</v>
      </c>
      <c r="BM666" t="s">
        <v>12461</v>
      </c>
      <c r="BN666" t="s">
        <v>74</v>
      </c>
      <c r="BO666" t="s">
        <v>74</v>
      </c>
      <c r="BP666" t="s">
        <v>74</v>
      </c>
      <c r="BQ666" t="s">
        <v>74</v>
      </c>
      <c r="BR666" t="s">
        <v>104</v>
      </c>
      <c r="BS666" t="s">
        <v>12493</v>
      </c>
      <c r="BT666" t="str">
        <f>HYPERLINK("https%3A%2F%2Fwww.webofscience.com%2Fwos%2Fwoscc%2Ffull-record%2FWOS:000339535600023","View Full Record in Web of Science")</f>
        <v>View Full Record in Web of Science</v>
      </c>
    </row>
    <row r="667" spans="1:72" x14ac:dyDescent="0.15">
      <c r="A667" t="s">
        <v>8803</v>
      </c>
      <c r="B667" t="s">
        <v>12494</v>
      </c>
      <c r="C667" t="s">
        <v>74</v>
      </c>
      <c r="D667" t="s">
        <v>12495</v>
      </c>
      <c r="E667" t="s">
        <v>74</v>
      </c>
      <c r="F667" t="s">
        <v>12496</v>
      </c>
      <c r="G667" t="s">
        <v>74</v>
      </c>
      <c r="H667" t="s">
        <v>74</v>
      </c>
      <c r="I667" t="s">
        <v>12497</v>
      </c>
      <c r="J667" t="s">
        <v>12498</v>
      </c>
      <c r="K667" t="s">
        <v>74</v>
      </c>
      <c r="L667" t="s">
        <v>74</v>
      </c>
      <c r="M667" t="s">
        <v>78</v>
      </c>
      <c r="N667" t="s">
        <v>8809</v>
      </c>
      <c r="O667" t="s">
        <v>74</v>
      </c>
      <c r="P667" t="s">
        <v>74</v>
      </c>
      <c r="Q667" t="s">
        <v>74</v>
      </c>
      <c r="R667" t="s">
        <v>74</v>
      </c>
      <c r="S667" t="s">
        <v>74</v>
      </c>
      <c r="T667" t="s">
        <v>74</v>
      </c>
      <c r="U667" t="s">
        <v>74</v>
      </c>
      <c r="V667" t="s">
        <v>74</v>
      </c>
      <c r="W667" t="s">
        <v>12499</v>
      </c>
      <c r="X667" t="s">
        <v>12500</v>
      </c>
      <c r="Y667" t="s">
        <v>74</v>
      </c>
      <c r="Z667" t="s">
        <v>74</v>
      </c>
      <c r="AA667" t="s">
        <v>74</v>
      </c>
      <c r="AB667" t="s">
        <v>74</v>
      </c>
      <c r="AC667" t="s">
        <v>74</v>
      </c>
      <c r="AD667" t="s">
        <v>74</v>
      </c>
      <c r="AE667" t="s">
        <v>74</v>
      </c>
      <c r="AF667" t="s">
        <v>74</v>
      </c>
      <c r="AG667">
        <v>78</v>
      </c>
      <c r="AH667">
        <v>3</v>
      </c>
      <c r="AI667">
        <v>3</v>
      </c>
      <c r="AJ667">
        <v>0</v>
      </c>
      <c r="AK667">
        <v>2</v>
      </c>
      <c r="AL667" t="s">
        <v>11770</v>
      </c>
      <c r="AM667" t="s">
        <v>146</v>
      </c>
      <c r="AN667" t="s">
        <v>11771</v>
      </c>
      <c r="AO667" t="s">
        <v>74</v>
      </c>
      <c r="AP667" t="s">
        <v>74</v>
      </c>
      <c r="AQ667" t="s">
        <v>12501</v>
      </c>
      <c r="AR667" t="s">
        <v>74</v>
      </c>
      <c r="AS667" t="s">
        <v>74</v>
      </c>
      <c r="AT667" t="s">
        <v>74</v>
      </c>
      <c r="AU667">
        <v>2014</v>
      </c>
      <c r="AV667" t="s">
        <v>74</v>
      </c>
      <c r="AW667" t="s">
        <v>74</v>
      </c>
      <c r="AX667" t="s">
        <v>74</v>
      </c>
      <c r="AY667" t="s">
        <v>74</v>
      </c>
      <c r="AZ667" t="s">
        <v>74</v>
      </c>
      <c r="BA667" t="s">
        <v>74</v>
      </c>
      <c r="BB667">
        <v>179</v>
      </c>
      <c r="BC667">
        <v>212</v>
      </c>
      <c r="BD667" t="s">
        <v>74</v>
      </c>
      <c r="BE667" t="s">
        <v>74</v>
      </c>
      <c r="BF667" t="s">
        <v>74</v>
      </c>
      <c r="BG667" t="s">
        <v>74</v>
      </c>
      <c r="BH667" t="s">
        <v>74</v>
      </c>
      <c r="BI667">
        <v>34</v>
      </c>
      <c r="BJ667" t="s">
        <v>4318</v>
      </c>
      <c r="BK667" t="s">
        <v>8815</v>
      </c>
      <c r="BL667" t="s">
        <v>4319</v>
      </c>
      <c r="BM667" t="s">
        <v>12502</v>
      </c>
      <c r="BN667" t="s">
        <v>74</v>
      </c>
      <c r="BO667" t="s">
        <v>74</v>
      </c>
      <c r="BP667" t="s">
        <v>74</v>
      </c>
      <c r="BQ667" t="s">
        <v>74</v>
      </c>
      <c r="BR667" t="s">
        <v>104</v>
      </c>
      <c r="BS667" t="s">
        <v>12503</v>
      </c>
      <c r="BT667" t="str">
        <f>HYPERLINK("https%3A%2F%2Fwww.webofscience.com%2Fwos%2Fwoscc%2Ffull-record%2FWOS:000337361300010","View Full Record in Web of Science")</f>
        <v>View Full Record in Web of Science</v>
      </c>
    </row>
    <row r="668" spans="1:72" x14ac:dyDescent="0.15">
      <c r="A668" t="s">
        <v>8803</v>
      </c>
      <c r="B668" t="s">
        <v>12504</v>
      </c>
      <c r="C668" t="s">
        <v>74</v>
      </c>
      <c r="D668" t="s">
        <v>12495</v>
      </c>
      <c r="E668" t="s">
        <v>74</v>
      </c>
      <c r="F668" t="s">
        <v>12505</v>
      </c>
      <c r="G668" t="s">
        <v>74</v>
      </c>
      <c r="H668" t="s">
        <v>74</v>
      </c>
      <c r="I668" t="s">
        <v>12506</v>
      </c>
      <c r="J668" t="s">
        <v>12498</v>
      </c>
      <c r="K668" t="s">
        <v>74</v>
      </c>
      <c r="L668" t="s">
        <v>74</v>
      </c>
      <c r="M668" t="s">
        <v>78</v>
      </c>
      <c r="N668" t="s">
        <v>8809</v>
      </c>
      <c r="O668" t="s">
        <v>74</v>
      </c>
      <c r="P668" t="s">
        <v>74</v>
      </c>
      <c r="Q668" t="s">
        <v>74</v>
      </c>
      <c r="R668" t="s">
        <v>74</v>
      </c>
      <c r="S668" t="s">
        <v>74</v>
      </c>
      <c r="T668" t="s">
        <v>74</v>
      </c>
      <c r="U668" t="s">
        <v>12507</v>
      </c>
      <c r="V668" t="s">
        <v>74</v>
      </c>
      <c r="W668" t="s">
        <v>12508</v>
      </c>
      <c r="X668" t="s">
        <v>12509</v>
      </c>
      <c r="Y668" t="s">
        <v>74</v>
      </c>
      <c r="Z668" t="s">
        <v>74</v>
      </c>
      <c r="AA668" t="s">
        <v>74</v>
      </c>
      <c r="AB668" t="s">
        <v>74</v>
      </c>
      <c r="AC668" t="s">
        <v>74</v>
      </c>
      <c r="AD668" t="s">
        <v>74</v>
      </c>
      <c r="AE668" t="s">
        <v>74</v>
      </c>
      <c r="AF668" t="s">
        <v>74</v>
      </c>
      <c r="AG668">
        <v>53</v>
      </c>
      <c r="AH668">
        <v>0</v>
      </c>
      <c r="AI668">
        <v>0</v>
      </c>
      <c r="AJ668">
        <v>0</v>
      </c>
      <c r="AK668">
        <v>0</v>
      </c>
      <c r="AL668" t="s">
        <v>11770</v>
      </c>
      <c r="AM668" t="s">
        <v>146</v>
      </c>
      <c r="AN668" t="s">
        <v>11771</v>
      </c>
      <c r="AO668" t="s">
        <v>74</v>
      </c>
      <c r="AP668" t="s">
        <v>74</v>
      </c>
      <c r="AQ668" t="s">
        <v>12501</v>
      </c>
      <c r="AR668" t="s">
        <v>74</v>
      </c>
      <c r="AS668" t="s">
        <v>74</v>
      </c>
      <c r="AT668" t="s">
        <v>74</v>
      </c>
      <c r="AU668">
        <v>2014</v>
      </c>
      <c r="AV668" t="s">
        <v>74</v>
      </c>
      <c r="AW668" t="s">
        <v>74</v>
      </c>
      <c r="AX668" t="s">
        <v>74</v>
      </c>
      <c r="AY668" t="s">
        <v>74</v>
      </c>
      <c r="AZ668" t="s">
        <v>74</v>
      </c>
      <c r="BA668" t="s">
        <v>74</v>
      </c>
      <c r="BB668">
        <v>237</v>
      </c>
      <c r="BC668">
        <v>254</v>
      </c>
      <c r="BD668" t="s">
        <v>74</v>
      </c>
      <c r="BE668" t="s">
        <v>74</v>
      </c>
      <c r="BF668" t="s">
        <v>74</v>
      </c>
      <c r="BG668" t="s">
        <v>74</v>
      </c>
      <c r="BH668" t="s">
        <v>74</v>
      </c>
      <c r="BI668">
        <v>18</v>
      </c>
      <c r="BJ668" t="s">
        <v>4318</v>
      </c>
      <c r="BK668" t="s">
        <v>8815</v>
      </c>
      <c r="BL668" t="s">
        <v>4319</v>
      </c>
      <c r="BM668" t="s">
        <v>12502</v>
      </c>
      <c r="BN668" t="s">
        <v>74</v>
      </c>
      <c r="BO668" t="s">
        <v>74</v>
      </c>
      <c r="BP668" t="s">
        <v>74</v>
      </c>
      <c r="BQ668" t="s">
        <v>74</v>
      </c>
      <c r="BR668" t="s">
        <v>104</v>
      </c>
      <c r="BS668" t="s">
        <v>12510</v>
      </c>
      <c r="BT668" t="str">
        <f>HYPERLINK("https%3A%2F%2Fwww.webofscience.com%2Fwos%2Fwoscc%2Ffull-record%2FWOS:000337361300013","View Full Record in Web of Science")</f>
        <v>View Full Record in Web of Science</v>
      </c>
    </row>
    <row r="669" spans="1:72" x14ac:dyDescent="0.15">
      <c r="A669" t="s">
        <v>8803</v>
      </c>
      <c r="B669" t="s">
        <v>12511</v>
      </c>
      <c r="C669" t="s">
        <v>74</v>
      </c>
      <c r="D669" t="s">
        <v>12495</v>
      </c>
      <c r="E669" t="s">
        <v>74</v>
      </c>
      <c r="F669" t="s">
        <v>12512</v>
      </c>
      <c r="G669" t="s">
        <v>74</v>
      </c>
      <c r="H669" t="s">
        <v>74</v>
      </c>
      <c r="I669" t="s">
        <v>12513</v>
      </c>
      <c r="J669" t="s">
        <v>12498</v>
      </c>
      <c r="K669" t="s">
        <v>74</v>
      </c>
      <c r="L669" t="s">
        <v>74</v>
      </c>
      <c r="M669" t="s">
        <v>78</v>
      </c>
      <c r="N669" t="s">
        <v>8809</v>
      </c>
      <c r="O669" t="s">
        <v>74</v>
      </c>
      <c r="P669" t="s">
        <v>74</v>
      </c>
      <c r="Q669" t="s">
        <v>74</v>
      </c>
      <c r="R669" t="s">
        <v>74</v>
      </c>
      <c r="S669" t="s">
        <v>74</v>
      </c>
      <c r="T669" t="s">
        <v>74</v>
      </c>
      <c r="U669" t="s">
        <v>74</v>
      </c>
      <c r="V669" t="s">
        <v>74</v>
      </c>
      <c r="W669" t="s">
        <v>12514</v>
      </c>
      <c r="X669" t="s">
        <v>12515</v>
      </c>
      <c r="Y669" t="s">
        <v>74</v>
      </c>
      <c r="Z669" t="s">
        <v>74</v>
      </c>
      <c r="AA669" t="s">
        <v>74</v>
      </c>
      <c r="AB669" t="s">
        <v>74</v>
      </c>
      <c r="AC669" t="s">
        <v>74</v>
      </c>
      <c r="AD669" t="s">
        <v>74</v>
      </c>
      <c r="AE669" t="s">
        <v>74</v>
      </c>
      <c r="AF669" t="s">
        <v>74</v>
      </c>
      <c r="AG669">
        <v>32</v>
      </c>
      <c r="AH669">
        <v>1</v>
      </c>
      <c r="AI669">
        <v>1</v>
      </c>
      <c r="AJ669">
        <v>0</v>
      </c>
      <c r="AK669">
        <v>0</v>
      </c>
      <c r="AL669" t="s">
        <v>11770</v>
      </c>
      <c r="AM669" t="s">
        <v>146</v>
      </c>
      <c r="AN669" t="s">
        <v>11771</v>
      </c>
      <c r="AO669" t="s">
        <v>74</v>
      </c>
      <c r="AP669" t="s">
        <v>74</v>
      </c>
      <c r="AQ669" t="s">
        <v>12501</v>
      </c>
      <c r="AR669" t="s">
        <v>74</v>
      </c>
      <c r="AS669" t="s">
        <v>74</v>
      </c>
      <c r="AT669" t="s">
        <v>74</v>
      </c>
      <c r="AU669">
        <v>2014</v>
      </c>
      <c r="AV669" t="s">
        <v>74</v>
      </c>
      <c r="AW669" t="s">
        <v>74</v>
      </c>
      <c r="AX669" t="s">
        <v>74</v>
      </c>
      <c r="AY669" t="s">
        <v>74</v>
      </c>
      <c r="AZ669" t="s">
        <v>74</v>
      </c>
      <c r="BA669" t="s">
        <v>74</v>
      </c>
      <c r="BB669">
        <v>323</v>
      </c>
      <c r="BC669">
        <v>337</v>
      </c>
      <c r="BD669" t="s">
        <v>74</v>
      </c>
      <c r="BE669" t="s">
        <v>74</v>
      </c>
      <c r="BF669" t="s">
        <v>74</v>
      </c>
      <c r="BG669" t="s">
        <v>74</v>
      </c>
      <c r="BH669" t="s">
        <v>74</v>
      </c>
      <c r="BI669">
        <v>15</v>
      </c>
      <c r="BJ669" t="s">
        <v>4318</v>
      </c>
      <c r="BK669" t="s">
        <v>8815</v>
      </c>
      <c r="BL669" t="s">
        <v>4319</v>
      </c>
      <c r="BM669" t="s">
        <v>12502</v>
      </c>
      <c r="BN669" t="s">
        <v>74</v>
      </c>
      <c r="BO669" t="s">
        <v>74</v>
      </c>
      <c r="BP669" t="s">
        <v>74</v>
      </c>
      <c r="BQ669" t="s">
        <v>74</v>
      </c>
      <c r="BR669" t="s">
        <v>104</v>
      </c>
      <c r="BS669" t="s">
        <v>12516</v>
      </c>
      <c r="BT669" t="str">
        <f>HYPERLINK("https%3A%2F%2Fwww.webofscience.com%2Fwos%2Fwoscc%2Ffull-record%2FWOS:000337361300017","View Full Record in Web of Science")</f>
        <v>View Full Record in Web of Science</v>
      </c>
    </row>
    <row r="670" spans="1:72" x14ac:dyDescent="0.15">
      <c r="A670" t="s">
        <v>9250</v>
      </c>
      <c r="B670" t="s">
        <v>12517</v>
      </c>
      <c r="C670" t="s">
        <v>74</v>
      </c>
      <c r="D670" t="s">
        <v>12518</v>
      </c>
      <c r="E670" t="s">
        <v>74</v>
      </c>
      <c r="F670" t="s">
        <v>12519</v>
      </c>
      <c r="G670" t="s">
        <v>74</v>
      </c>
      <c r="H670" t="s">
        <v>74</v>
      </c>
      <c r="I670" t="s">
        <v>12520</v>
      </c>
      <c r="J670" t="s">
        <v>12521</v>
      </c>
      <c r="K670" t="s">
        <v>9861</v>
      </c>
      <c r="L670" t="s">
        <v>74</v>
      </c>
      <c r="M670" t="s">
        <v>78</v>
      </c>
      <c r="N670" t="s">
        <v>9862</v>
      </c>
      <c r="O670" t="s">
        <v>74</v>
      </c>
      <c r="P670" t="s">
        <v>74</v>
      </c>
      <c r="Q670" t="s">
        <v>74</v>
      </c>
      <c r="R670" t="s">
        <v>74</v>
      </c>
      <c r="S670" t="s">
        <v>74</v>
      </c>
      <c r="T670" t="s">
        <v>12522</v>
      </c>
      <c r="U670" t="s">
        <v>12523</v>
      </c>
      <c r="V670" t="s">
        <v>12524</v>
      </c>
      <c r="W670" t="s">
        <v>12525</v>
      </c>
      <c r="X670" t="s">
        <v>12526</v>
      </c>
      <c r="Y670" t="s">
        <v>12527</v>
      </c>
      <c r="Z670" t="s">
        <v>12528</v>
      </c>
      <c r="AA670" t="s">
        <v>12529</v>
      </c>
      <c r="AB670" t="s">
        <v>12530</v>
      </c>
      <c r="AC670" t="s">
        <v>74</v>
      </c>
      <c r="AD670" t="s">
        <v>74</v>
      </c>
      <c r="AE670" t="s">
        <v>74</v>
      </c>
      <c r="AF670" t="s">
        <v>74</v>
      </c>
      <c r="AG670">
        <v>385</v>
      </c>
      <c r="AH670">
        <v>33</v>
      </c>
      <c r="AI670">
        <v>41</v>
      </c>
      <c r="AJ670">
        <v>5</v>
      </c>
      <c r="AK670">
        <v>98</v>
      </c>
      <c r="AL670" t="s">
        <v>9870</v>
      </c>
      <c r="AM670" t="s">
        <v>6025</v>
      </c>
      <c r="AN670" t="s">
        <v>9871</v>
      </c>
      <c r="AO670" t="s">
        <v>9872</v>
      </c>
      <c r="AP670" t="s">
        <v>74</v>
      </c>
      <c r="AQ670" t="s">
        <v>12531</v>
      </c>
      <c r="AR670" t="s">
        <v>9874</v>
      </c>
      <c r="AS670" t="s">
        <v>9875</v>
      </c>
      <c r="AT670" t="s">
        <v>74</v>
      </c>
      <c r="AU670">
        <v>2014</v>
      </c>
      <c r="AV670">
        <v>67</v>
      </c>
      <c r="AW670" t="s">
        <v>74</v>
      </c>
      <c r="AX670" t="s">
        <v>74</v>
      </c>
      <c r="AY670" t="s">
        <v>74</v>
      </c>
      <c r="AZ670" t="s">
        <v>74</v>
      </c>
      <c r="BA670" t="s">
        <v>74</v>
      </c>
      <c r="BB670">
        <v>361</v>
      </c>
      <c r="BC670" t="s">
        <v>5223</v>
      </c>
      <c r="BD670" t="s">
        <v>74</v>
      </c>
      <c r="BE670" t="s">
        <v>12532</v>
      </c>
      <c r="BF670" t="str">
        <f>HYPERLINK("http://dx.doi.org/10.1016/B978-0-12-800287-2.00004-4","http://dx.doi.org/10.1016/B978-0-12-800287-2.00004-4")</f>
        <v>http://dx.doi.org/10.1016/B978-0-12-800287-2.00004-4</v>
      </c>
      <c r="BG670" t="s">
        <v>74</v>
      </c>
      <c r="BH670" t="s">
        <v>74</v>
      </c>
      <c r="BI670">
        <v>23</v>
      </c>
      <c r="BJ670" t="s">
        <v>1028</v>
      </c>
      <c r="BK670" t="s">
        <v>9877</v>
      </c>
      <c r="BL670" t="s">
        <v>1028</v>
      </c>
      <c r="BM670" t="s">
        <v>12533</v>
      </c>
      <c r="BN670">
        <v>24880797</v>
      </c>
      <c r="BO670" t="s">
        <v>74</v>
      </c>
      <c r="BP670" t="s">
        <v>74</v>
      </c>
      <c r="BQ670" t="s">
        <v>74</v>
      </c>
      <c r="BR670" t="s">
        <v>104</v>
      </c>
      <c r="BS670" t="s">
        <v>12534</v>
      </c>
      <c r="BT670" t="str">
        <f>HYPERLINK("https%3A%2F%2Fwww.webofscience.com%2Fwos%2Fwoscc%2Ffull-record%2FWOS:000337493800005","View Full Record in Web of Science")</f>
        <v>View Full Record in Web of Science</v>
      </c>
    </row>
    <row r="671" spans="1:72" x14ac:dyDescent="0.15">
      <c r="A671" t="s">
        <v>72</v>
      </c>
      <c r="B671" t="s">
        <v>12535</v>
      </c>
      <c r="C671" t="s">
        <v>74</v>
      </c>
      <c r="D671" t="s">
        <v>74</v>
      </c>
      <c r="E671" t="s">
        <v>74</v>
      </c>
      <c r="F671" t="s">
        <v>12536</v>
      </c>
      <c r="G671" t="s">
        <v>74</v>
      </c>
      <c r="H671" t="s">
        <v>74</v>
      </c>
      <c r="I671" t="s">
        <v>12537</v>
      </c>
      <c r="J671" t="s">
        <v>9523</v>
      </c>
      <c r="K671" t="s">
        <v>74</v>
      </c>
      <c r="L671" t="s">
        <v>74</v>
      </c>
      <c r="M671" t="s">
        <v>78</v>
      </c>
      <c r="N671" t="s">
        <v>79</v>
      </c>
      <c r="O671" t="s">
        <v>74</v>
      </c>
      <c r="P671" t="s">
        <v>74</v>
      </c>
      <c r="Q671" t="s">
        <v>74</v>
      </c>
      <c r="R671" t="s">
        <v>74</v>
      </c>
      <c r="S671" t="s">
        <v>74</v>
      </c>
      <c r="T671" t="s">
        <v>12538</v>
      </c>
      <c r="U671" t="s">
        <v>12539</v>
      </c>
      <c r="V671" t="s">
        <v>12540</v>
      </c>
      <c r="W671" t="s">
        <v>12541</v>
      </c>
      <c r="X671" t="s">
        <v>12542</v>
      </c>
      <c r="Y671" t="s">
        <v>12543</v>
      </c>
      <c r="Z671" t="s">
        <v>12544</v>
      </c>
      <c r="AA671" t="s">
        <v>12545</v>
      </c>
      <c r="AB671" t="s">
        <v>12546</v>
      </c>
      <c r="AC671" t="s">
        <v>74</v>
      </c>
      <c r="AD671" t="s">
        <v>74</v>
      </c>
      <c r="AE671" t="s">
        <v>74</v>
      </c>
      <c r="AF671" t="s">
        <v>74</v>
      </c>
      <c r="AG671">
        <v>23</v>
      </c>
      <c r="AH671">
        <v>7</v>
      </c>
      <c r="AI671">
        <v>8</v>
      </c>
      <c r="AJ671">
        <v>0</v>
      </c>
      <c r="AK671">
        <v>11</v>
      </c>
      <c r="AL671" t="s">
        <v>91</v>
      </c>
      <c r="AM671" t="s">
        <v>1948</v>
      </c>
      <c r="AN671" t="s">
        <v>2519</v>
      </c>
      <c r="AO671" t="s">
        <v>9535</v>
      </c>
      <c r="AP671" t="s">
        <v>9536</v>
      </c>
      <c r="AQ671" t="s">
        <v>74</v>
      </c>
      <c r="AR671" t="s">
        <v>9537</v>
      </c>
      <c r="AS671" t="s">
        <v>9538</v>
      </c>
      <c r="AT671" t="s">
        <v>74</v>
      </c>
      <c r="AU671">
        <v>2014</v>
      </c>
      <c r="AV671">
        <v>55</v>
      </c>
      <c r="AW671">
        <v>67</v>
      </c>
      <c r="AX671" t="s">
        <v>74</v>
      </c>
      <c r="AY671" t="s">
        <v>74</v>
      </c>
      <c r="AZ671" t="s">
        <v>74</v>
      </c>
      <c r="BA671" t="s">
        <v>74</v>
      </c>
      <c r="BB671">
        <v>9</v>
      </c>
      <c r="BC671">
        <v>21</v>
      </c>
      <c r="BD671" t="s">
        <v>74</v>
      </c>
      <c r="BE671" t="s">
        <v>12547</v>
      </c>
      <c r="BF671" t="str">
        <f>HYPERLINK("http://dx.doi.org/10.3189/2014AoG67A100","http://dx.doi.org/10.3189/2014AoG67A100")</f>
        <v>http://dx.doi.org/10.3189/2014AoG67A100</v>
      </c>
      <c r="BG671" t="s">
        <v>74</v>
      </c>
      <c r="BH671" t="s">
        <v>74</v>
      </c>
      <c r="BI671">
        <v>13</v>
      </c>
      <c r="BJ671" t="s">
        <v>1415</v>
      </c>
      <c r="BK671" t="s">
        <v>101</v>
      </c>
      <c r="BL671" t="s">
        <v>1416</v>
      </c>
      <c r="BM671" t="s">
        <v>12548</v>
      </c>
      <c r="BN671" t="s">
        <v>74</v>
      </c>
      <c r="BO671" t="s">
        <v>200</v>
      </c>
      <c r="BP671" t="s">
        <v>74</v>
      </c>
      <c r="BQ671" t="s">
        <v>74</v>
      </c>
      <c r="BR671" t="s">
        <v>104</v>
      </c>
      <c r="BS671" t="s">
        <v>12549</v>
      </c>
      <c r="BT671" t="str">
        <f>HYPERLINK("https%3A%2F%2Fwww.webofscience.com%2Fwos%2Fwoscc%2Ffull-record%2FWOS:000339363400003","View Full Record in Web of Science")</f>
        <v>View Full Record in Web of Science</v>
      </c>
    </row>
    <row r="672" spans="1:72" x14ac:dyDescent="0.15">
      <c r="A672" t="s">
        <v>72</v>
      </c>
      <c r="B672" t="s">
        <v>12550</v>
      </c>
      <c r="C672" t="s">
        <v>74</v>
      </c>
      <c r="D672" t="s">
        <v>74</v>
      </c>
      <c r="E672" t="s">
        <v>74</v>
      </c>
      <c r="F672" t="s">
        <v>12551</v>
      </c>
      <c r="G672" t="s">
        <v>74</v>
      </c>
      <c r="H672" t="s">
        <v>74</v>
      </c>
      <c r="I672" t="s">
        <v>12552</v>
      </c>
      <c r="J672" t="s">
        <v>9523</v>
      </c>
      <c r="K672" t="s">
        <v>74</v>
      </c>
      <c r="L672" t="s">
        <v>74</v>
      </c>
      <c r="M672" t="s">
        <v>78</v>
      </c>
      <c r="N672" t="s">
        <v>79</v>
      </c>
      <c r="O672" t="s">
        <v>74</v>
      </c>
      <c r="P672" t="s">
        <v>74</v>
      </c>
      <c r="Q672" t="s">
        <v>74</v>
      </c>
      <c r="R672" t="s">
        <v>74</v>
      </c>
      <c r="S672" t="s">
        <v>74</v>
      </c>
      <c r="T672" t="s">
        <v>12553</v>
      </c>
      <c r="U672" t="s">
        <v>12554</v>
      </c>
      <c r="V672" t="s">
        <v>12555</v>
      </c>
      <c r="W672" t="s">
        <v>12556</v>
      </c>
      <c r="X672" t="s">
        <v>12557</v>
      </c>
      <c r="Y672" t="s">
        <v>12558</v>
      </c>
      <c r="Z672" t="s">
        <v>12559</v>
      </c>
      <c r="AA672" t="s">
        <v>74</v>
      </c>
      <c r="AB672" t="s">
        <v>12560</v>
      </c>
      <c r="AC672" t="s">
        <v>12561</v>
      </c>
      <c r="AD672" t="s">
        <v>12561</v>
      </c>
      <c r="AE672" t="s">
        <v>12562</v>
      </c>
      <c r="AF672" t="s">
        <v>74</v>
      </c>
      <c r="AG672">
        <v>25</v>
      </c>
      <c r="AH672">
        <v>10</v>
      </c>
      <c r="AI672">
        <v>10</v>
      </c>
      <c r="AJ672">
        <v>1</v>
      </c>
      <c r="AK672">
        <v>16</v>
      </c>
      <c r="AL672" t="s">
        <v>9533</v>
      </c>
      <c r="AM672" t="s">
        <v>1948</v>
      </c>
      <c r="AN672" t="s">
        <v>9534</v>
      </c>
      <c r="AO672" t="s">
        <v>9535</v>
      </c>
      <c r="AP672" t="s">
        <v>9536</v>
      </c>
      <c r="AQ672" t="s">
        <v>74</v>
      </c>
      <c r="AR672" t="s">
        <v>9537</v>
      </c>
      <c r="AS672" t="s">
        <v>9538</v>
      </c>
      <c r="AT672" t="s">
        <v>74</v>
      </c>
      <c r="AU672">
        <v>2014</v>
      </c>
      <c r="AV672">
        <v>55</v>
      </c>
      <c r="AW672">
        <v>67</v>
      </c>
      <c r="AX672" t="s">
        <v>74</v>
      </c>
      <c r="AY672" t="s">
        <v>74</v>
      </c>
      <c r="AZ672" t="s">
        <v>74</v>
      </c>
      <c r="BA672" t="s">
        <v>74</v>
      </c>
      <c r="BB672">
        <v>39</v>
      </c>
      <c r="BC672">
        <v>48</v>
      </c>
      <c r="BD672" t="s">
        <v>74</v>
      </c>
      <c r="BE672" t="s">
        <v>12563</v>
      </c>
      <c r="BF672" t="str">
        <f>HYPERLINK("http://dx.doi.org/10.3189/2014AoG67A055","http://dx.doi.org/10.3189/2014AoG67A055")</f>
        <v>http://dx.doi.org/10.3189/2014AoG67A055</v>
      </c>
      <c r="BG672" t="s">
        <v>74</v>
      </c>
      <c r="BH672" t="s">
        <v>74</v>
      </c>
      <c r="BI672">
        <v>10</v>
      </c>
      <c r="BJ672" t="s">
        <v>1415</v>
      </c>
      <c r="BK672" t="s">
        <v>101</v>
      </c>
      <c r="BL672" t="s">
        <v>1416</v>
      </c>
      <c r="BM672" t="s">
        <v>12548</v>
      </c>
      <c r="BN672" t="s">
        <v>74</v>
      </c>
      <c r="BO672" t="s">
        <v>200</v>
      </c>
      <c r="BP672" t="s">
        <v>74</v>
      </c>
      <c r="BQ672" t="s">
        <v>74</v>
      </c>
      <c r="BR672" t="s">
        <v>104</v>
      </c>
      <c r="BS672" t="s">
        <v>12564</v>
      </c>
      <c r="BT672" t="str">
        <f>HYPERLINK("https%3A%2F%2Fwww.webofscience.com%2Fwos%2Fwoscc%2Ffull-record%2FWOS:000339363400006","View Full Record in Web of Science")</f>
        <v>View Full Record in Web of Science</v>
      </c>
    </row>
    <row r="673" spans="1:72" x14ac:dyDescent="0.15">
      <c r="A673" t="s">
        <v>72</v>
      </c>
      <c r="B673" t="s">
        <v>12565</v>
      </c>
      <c r="C673" t="s">
        <v>74</v>
      </c>
      <c r="D673" t="s">
        <v>74</v>
      </c>
      <c r="E673" t="s">
        <v>74</v>
      </c>
      <c r="F673" t="s">
        <v>12566</v>
      </c>
      <c r="G673" t="s">
        <v>74</v>
      </c>
      <c r="H673" t="s">
        <v>74</v>
      </c>
      <c r="I673" t="s">
        <v>12567</v>
      </c>
      <c r="J673" t="s">
        <v>9523</v>
      </c>
      <c r="K673" t="s">
        <v>74</v>
      </c>
      <c r="L673" t="s">
        <v>74</v>
      </c>
      <c r="M673" t="s">
        <v>78</v>
      </c>
      <c r="N673" t="s">
        <v>79</v>
      </c>
      <c r="O673" t="s">
        <v>74</v>
      </c>
      <c r="P673" t="s">
        <v>74</v>
      </c>
      <c r="Q673" t="s">
        <v>74</v>
      </c>
      <c r="R673" t="s">
        <v>74</v>
      </c>
      <c r="S673" t="s">
        <v>74</v>
      </c>
      <c r="T673" t="s">
        <v>12568</v>
      </c>
      <c r="U673" t="s">
        <v>12569</v>
      </c>
      <c r="V673" t="s">
        <v>12570</v>
      </c>
      <c r="W673" t="s">
        <v>12571</v>
      </c>
      <c r="X673" t="s">
        <v>12572</v>
      </c>
      <c r="Y673" t="s">
        <v>12573</v>
      </c>
      <c r="Z673" t="s">
        <v>12574</v>
      </c>
      <c r="AA673" t="s">
        <v>12575</v>
      </c>
      <c r="AB673" t="s">
        <v>12576</v>
      </c>
      <c r="AC673" t="s">
        <v>12577</v>
      </c>
      <c r="AD673" t="s">
        <v>12578</v>
      </c>
      <c r="AE673" t="s">
        <v>12579</v>
      </c>
      <c r="AF673" t="s">
        <v>74</v>
      </c>
      <c r="AG673">
        <v>30</v>
      </c>
      <c r="AH673">
        <v>15</v>
      </c>
      <c r="AI673">
        <v>18</v>
      </c>
      <c r="AJ673">
        <v>1</v>
      </c>
      <c r="AK673">
        <v>13</v>
      </c>
      <c r="AL673" t="s">
        <v>9533</v>
      </c>
      <c r="AM673" t="s">
        <v>1948</v>
      </c>
      <c r="AN673" t="s">
        <v>9534</v>
      </c>
      <c r="AO673" t="s">
        <v>9535</v>
      </c>
      <c r="AP673" t="s">
        <v>9536</v>
      </c>
      <c r="AQ673" t="s">
        <v>74</v>
      </c>
      <c r="AR673" t="s">
        <v>9537</v>
      </c>
      <c r="AS673" t="s">
        <v>9538</v>
      </c>
      <c r="AT673" t="s">
        <v>74</v>
      </c>
      <c r="AU673">
        <v>2014</v>
      </c>
      <c r="AV673">
        <v>55</v>
      </c>
      <c r="AW673">
        <v>67</v>
      </c>
      <c r="AX673" t="s">
        <v>74</v>
      </c>
      <c r="AY673" t="s">
        <v>74</v>
      </c>
      <c r="AZ673" t="s">
        <v>74</v>
      </c>
      <c r="BA673" t="s">
        <v>74</v>
      </c>
      <c r="BB673">
        <v>57</v>
      </c>
      <c r="BC673">
        <v>63</v>
      </c>
      <c r="BD673" t="s">
        <v>74</v>
      </c>
      <c r="BE673" t="s">
        <v>12580</v>
      </c>
      <c r="BF673" t="str">
        <f>HYPERLINK("http://dx.doi.org/10.3189/2014AoG67A004","http://dx.doi.org/10.3189/2014AoG67A004")</f>
        <v>http://dx.doi.org/10.3189/2014AoG67A004</v>
      </c>
      <c r="BG673" t="s">
        <v>74</v>
      </c>
      <c r="BH673" t="s">
        <v>74</v>
      </c>
      <c r="BI673">
        <v>7</v>
      </c>
      <c r="BJ673" t="s">
        <v>1415</v>
      </c>
      <c r="BK673" t="s">
        <v>101</v>
      </c>
      <c r="BL673" t="s">
        <v>1416</v>
      </c>
      <c r="BM673" t="s">
        <v>12548</v>
      </c>
      <c r="BN673" t="s">
        <v>74</v>
      </c>
      <c r="BO673" t="s">
        <v>200</v>
      </c>
      <c r="BP673" t="s">
        <v>74</v>
      </c>
      <c r="BQ673" t="s">
        <v>74</v>
      </c>
      <c r="BR673" t="s">
        <v>104</v>
      </c>
      <c r="BS673" t="s">
        <v>12581</v>
      </c>
      <c r="BT673" t="str">
        <f>HYPERLINK("https%3A%2F%2Fwww.webofscience.com%2Fwos%2Fwoscc%2Ffull-record%2FWOS:000339363400008","View Full Record in Web of Science")</f>
        <v>View Full Record in Web of Science</v>
      </c>
    </row>
    <row r="674" spans="1:72" x14ac:dyDescent="0.15">
      <c r="A674" t="s">
        <v>72</v>
      </c>
      <c r="B674" t="s">
        <v>12582</v>
      </c>
      <c r="C674" t="s">
        <v>74</v>
      </c>
      <c r="D674" t="s">
        <v>74</v>
      </c>
      <c r="E674" t="s">
        <v>74</v>
      </c>
      <c r="F674" t="s">
        <v>12583</v>
      </c>
      <c r="G674" t="s">
        <v>74</v>
      </c>
      <c r="H674" t="s">
        <v>74</v>
      </c>
      <c r="I674" t="s">
        <v>12584</v>
      </c>
      <c r="J674" t="s">
        <v>9523</v>
      </c>
      <c r="K674" t="s">
        <v>74</v>
      </c>
      <c r="L674" t="s">
        <v>74</v>
      </c>
      <c r="M674" t="s">
        <v>78</v>
      </c>
      <c r="N674" t="s">
        <v>79</v>
      </c>
      <c r="O674" t="s">
        <v>74</v>
      </c>
      <c r="P674" t="s">
        <v>74</v>
      </c>
      <c r="Q674" t="s">
        <v>74</v>
      </c>
      <c r="R674" t="s">
        <v>74</v>
      </c>
      <c r="S674" t="s">
        <v>74</v>
      </c>
      <c r="T674" t="s">
        <v>12585</v>
      </c>
      <c r="U674" t="s">
        <v>12586</v>
      </c>
      <c r="V674" t="s">
        <v>12587</v>
      </c>
      <c r="W674" t="s">
        <v>12588</v>
      </c>
      <c r="X674" t="s">
        <v>12589</v>
      </c>
      <c r="Y674" t="s">
        <v>12590</v>
      </c>
      <c r="Z674" t="s">
        <v>12591</v>
      </c>
      <c r="AA674" t="s">
        <v>12592</v>
      </c>
      <c r="AB674" t="s">
        <v>12593</v>
      </c>
      <c r="AC674" t="s">
        <v>12594</v>
      </c>
      <c r="AD674" t="s">
        <v>11096</v>
      </c>
      <c r="AE674" t="s">
        <v>12595</v>
      </c>
      <c r="AF674" t="s">
        <v>74</v>
      </c>
      <c r="AG674">
        <v>32</v>
      </c>
      <c r="AH674">
        <v>1</v>
      </c>
      <c r="AI674">
        <v>1</v>
      </c>
      <c r="AJ674">
        <v>0</v>
      </c>
      <c r="AK674">
        <v>20</v>
      </c>
      <c r="AL674" t="s">
        <v>9533</v>
      </c>
      <c r="AM674" t="s">
        <v>1948</v>
      </c>
      <c r="AN674" t="s">
        <v>9534</v>
      </c>
      <c r="AO674" t="s">
        <v>9535</v>
      </c>
      <c r="AP674" t="s">
        <v>9536</v>
      </c>
      <c r="AQ674" t="s">
        <v>74</v>
      </c>
      <c r="AR674" t="s">
        <v>9537</v>
      </c>
      <c r="AS674" t="s">
        <v>9538</v>
      </c>
      <c r="AT674" t="s">
        <v>74</v>
      </c>
      <c r="AU674">
        <v>2014</v>
      </c>
      <c r="AV674">
        <v>55</v>
      </c>
      <c r="AW674">
        <v>67</v>
      </c>
      <c r="AX674" t="s">
        <v>74</v>
      </c>
      <c r="AY674" t="s">
        <v>74</v>
      </c>
      <c r="AZ674" t="s">
        <v>74</v>
      </c>
      <c r="BA674" t="s">
        <v>74</v>
      </c>
      <c r="BB674">
        <v>107</v>
      </c>
      <c r="BC674">
        <v>114</v>
      </c>
      <c r="BD674" t="s">
        <v>74</v>
      </c>
      <c r="BE674" t="s">
        <v>12596</v>
      </c>
      <c r="BF674" t="str">
        <f>HYPERLINK("http://dx.doi.org/10.3189/2014AoG67A033","http://dx.doi.org/10.3189/2014AoG67A033")</f>
        <v>http://dx.doi.org/10.3189/2014AoG67A033</v>
      </c>
      <c r="BG674" t="s">
        <v>74</v>
      </c>
      <c r="BH674" t="s">
        <v>74</v>
      </c>
      <c r="BI674">
        <v>8</v>
      </c>
      <c r="BJ674" t="s">
        <v>1415</v>
      </c>
      <c r="BK674" t="s">
        <v>101</v>
      </c>
      <c r="BL674" t="s">
        <v>1416</v>
      </c>
      <c r="BM674" t="s">
        <v>12548</v>
      </c>
      <c r="BN674" t="s">
        <v>74</v>
      </c>
      <c r="BO674" t="s">
        <v>200</v>
      </c>
      <c r="BP674" t="s">
        <v>74</v>
      </c>
      <c r="BQ674" t="s">
        <v>74</v>
      </c>
      <c r="BR674" t="s">
        <v>104</v>
      </c>
      <c r="BS674" t="s">
        <v>12597</v>
      </c>
      <c r="BT674" t="str">
        <f>HYPERLINK("https%3A%2F%2Fwww.webofscience.com%2Fwos%2Fwoscc%2Ffull-record%2FWOS:000339363400014","View Full Record in Web of Science")</f>
        <v>View Full Record in Web of Science</v>
      </c>
    </row>
    <row r="675" spans="1:72" x14ac:dyDescent="0.15">
      <c r="A675" t="s">
        <v>72</v>
      </c>
      <c r="B675" t="s">
        <v>12598</v>
      </c>
      <c r="C675" t="s">
        <v>74</v>
      </c>
      <c r="D675" t="s">
        <v>74</v>
      </c>
      <c r="E675" t="s">
        <v>74</v>
      </c>
      <c r="F675" t="s">
        <v>12599</v>
      </c>
      <c r="G675" t="s">
        <v>74</v>
      </c>
      <c r="H675" t="s">
        <v>74</v>
      </c>
      <c r="I675" t="s">
        <v>12600</v>
      </c>
      <c r="J675" t="s">
        <v>9523</v>
      </c>
      <c r="K675" t="s">
        <v>74</v>
      </c>
      <c r="L675" t="s">
        <v>74</v>
      </c>
      <c r="M675" t="s">
        <v>78</v>
      </c>
      <c r="N675" t="s">
        <v>79</v>
      </c>
      <c r="O675" t="s">
        <v>74</v>
      </c>
      <c r="P675" t="s">
        <v>74</v>
      </c>
      <c r="Q675" t="s">
        <v>74</v>
      </c>
      <c r="R675" t="s">
        <v>74</v>
      </c>
      <c r="S675" t="s">
        <v>74</v>
      </c>
      <c r="T675" t="s">
        <v>12601</v>
      </c>
      <c r="U675" t="s">
        <v>12602</v>
      </c>
      <c r="V675" t="s">
        <v>12603</v>
      </c>
      <c r="W675" t="s">
        <v>12604</v>
      </c>
      <c r="X675" t="s">
        <v>12605</v>
      </c>
      <c r="Y675" t="s">
        <v>12606</v>
      </c>
      <c r="Z675" t="s">
        <v>12607</v>
      </c>
      <c r="AA675" t="s">
        <v>12608</v>
      </c>
      <c r="AB675" t="s">
        <v>12609</v>
      </c>
      <c r="AC675" t="s">
        <v>12610</v>
      </c>
      <c r="AD675" t="s">
        <v>12611</v>
      </c>
      <c r="AE675" t="s">
        <v>12612</v>
      </c>
      <c r="AF675" t="s">
        <v>74</v>
      </c>
      <c r="AG675">
        <v>46</v>
      </c>
      <c r="AH675">
        <v>15</v>
      </c>
      <c r="AI675">
        <v>19</v>
      </c>
      <c r="AJ675">
        <v>1</v>
      </c>
      <c r="AK675">
        <v>17</v>
      </c>
      <c r="AL675" t="s">
        <v>9533</v>
      </c>
      <c r="AM675" t="s">
        <v>1948</v>
      </c>
      <c r="AN675" t="s">
        <v>9534</v>
      </c>
      <c r="AO675" t="s">
        <v>9535</v>
      </c>
      <c r="AP675" t="s">
        <v>9536</v>
      </c>
      <c r="AQ675" t="s">
        <v>74</v>
      </c>
      <c r="AR675" t="s">
        <v>9537</v>
      </c>
      <c r="AS675" t="s">
        <v>9538</v>
      </c>
      <c r="AT675" t="s">
        <v>74</v>
      </c>
      <c r="AU675">
        <v>2014</v>
      </c>
      <c r="AV675">
        <v>55</v>
      </c>
      <c r="AW675">
        <v>67</v>
      </c>
      <c r="AX675" t="s">
        <v>74</v>
      </c>
      <c r="AY675" t="s">
        <v>74</v>
      </c>
      <c r="AZ675" t="s">
        <v>74</v>
      </c>
      <c r="BA675" t="s">
        <v>74</v>
      </c>
      <c r="BB675">
        <v>138</v>
      </c>
      <c r="BC675">
        <v>146</v>
      </c>
      <c r="BD675" t="s">
        <v>74</v>
      </c>
      <c r="BE675" t="s">
        <v>12613</v>
      </c>
      <c r="BF675" t="str">
        <f>HYPERLINK("http://dx.doi.org/10.3189/2014AoG67A089","http://dx.doi.org/10.3189/2014AoG67A089")</f>
        <v>http://dx.doi.org/10.3189/2014AoG67A089</v>
      </c>
      <c r="BG675" t="s">
        <v>74</v>
      </c>
      <c r="BH675" t="s">
        <v>74</v>
      </c>
      <c r="BI675">
        <v>9</v>
      </c>
      <c r="BJ675" t="s">
        <v>1415</v>
      </c>
      <c r="BK675" t="s">
        <v>101</v>
      </c>
      <c r="BL675" t="s">
        <v>1416</v>
      </c>
      <c r="BM675" t="s">
        <v>12548</v>
      </c>
      <c r="BN675" t="s">
        <v>74</v>
      </c>
      <c r="BO675" t="s">
        <v>200</v>
      </c>
      <c r="BP675" t="s">
        <v>74</v>
      </c>
      <c r="BQ675" t="s">
        <v>74</v>
      </c>
      <c r="BR675" t="s">
        <v>104</v>
      </c>
      <c r="BS675" t="s">
        <v>12614</v>
      </c>
      <c r="BT675" t="str">
        <f>HYPERLINK("https%3A%2F%2Fwww.webofscience.com%2Fwos%2Fwoscc%2Ffull-record%2FWOS:000339363400017","View Full Record in Web of Science")</f>
        <v>View Full Record in Web of Science</v>
      </c>
    </row>
    <row r="676" spans="1:72" x14ac:dyDescent="0.15">
      <c r="A676" t="s">
        <v>72</v>
      </c>
      <c r="B676" t="s">
        <v>12615</v>
      </c>
      <c r="C676" t="s">
        <v>74</v>
      </c>
      <c r="D676" t="s">
        <v>74</v>
      </c>
      <c r="E676" t="s">
        <v>74</v>
      </c>
      <c r="F676" t="s">
        <v>12616</v>
      </c>
      <c r="G676" t="s">
        <v>74</v>
      </c>
      <c r="H676" t="s">
        <v>74</v>
      </c>
      <c r="I676" t="s">
        <v>12617</v>
      </c>
      <c r="J676" t="s">
        <v>11283</v>
      </c>
      <c r="K676" t="s">
        <v>74</v>
      </c>
      <c r="L676" t="s">
        <v>74</v>
      </c>
      <c r="M676" t="s">
        <v>78</v>
      </c>
      <c r="N676" t="s">
        <v>79</v>
      </c>
      <c r="O676" t="s">
        <v>74</v>
      </c>
      <c r="P676" t="s">
        <v>74</v>
      </c>
      <c r="Q676" t="s">
        <v>74</v>
      </c>
      <c r="R676" t="s">
        <v>74</v>
      </c>
      <c r="S676" t="s">
        <v>74</v>
      </c>
      <c r="T676" t="s">
        <v>74</v>
      </c>
      <c r="U676" t="s">
        <v>12618</v>
      </c>
      <c r="V676" t="s">
        <v>12619</v>
      </c>
      <c r="W676" t="s">
        <v>12620</v>
      </c>
      <c r="X676" t="s">
        <v>12621</v>
      </c>
      <c r="Y676" t="s">
        <v>12622</v>
      </c>
      <c r="Z676" t="s">
        <v>12623</v>
      </c>
      <c r="AA676" t="s">
        <v>12624</v>
      </c>
      <c r="AB676" t="s">
        <v>12625</v>
      </c>
      <c r="AC676" t="s">
        <v>12626</v>
      </c>
      <c r="AD676" t="s">
        <v>12627</v>
      </c>
      <c r="AE676" t="s">
        <v>12628</v>
      </c>
      <c r="AF676" t="s">
        <v>74</v>
      </c>
      <c r="AG676">
        <v>31</v>
      </c>
      <c r="AH676">
        <v>2</v>
      </c>
      <c r="AI676">
        <v>2</v>
      </c>
      <c r="AJ676">
        <v>0</v>
      </c>
      <c r="AK676">
        <v>4</v>
      </c>
      <c r="AL676" t="s">
        <v>1463</v>
      </c>
      <c r="AM676" t="s">
        <v>1464</v>
      </c>
      <c r="AN676" t="s">
        <v>1465</v>
      </c>
      <c r="AO676" t="s">
        <v>11295</v>
      </c>
      <c r="AP676" t="s">
        <v>11296</v>
      </c>
      <c r="AQ676" t="s">
        <v>74</v>
      </c>
      <c r="AR676" t="s">
        <v>11297</v>
      </c>
      <c r="AS676" t="s">
        <v>11298</v>
      </c>
      <c r="AT676" t="s">
        <v>74</v>
      </c>
      <c r="AU676">
        <v>2014</v>
      </c>
      <c r="AV676">
        <v>14</v>
      </c>
      <c r="AW676">
        <v>13</v>
      </c>
      <c r="AX676" t="s">
        <v>74</v>
      </c>
      <c r="AY676" t="s">
        <v>74</v>
      </c>
      <c r="AZ676" t="s">
        <v>74</v>
      </c>
      <c r="BA676" t="s">
        <v>74</v>
      </c>
      <c r="BB676">
        <v>6545</v>
      </c>
      <c r="BC676">
        <v>6555</v>
      </c>
      <c r="BD676" t="s">
        <v>74</v>
      </c>
      <c r="BE676" t="s">
        <v>12629</v>
      </c>
      <c r="BF676" t="str">
        <f>HYPERLINK("http://dx.doi.org/10.5194/acp-14-6545-2014","http://dx.doi.org/10.5194/acp-14-6545-2014")</f>
        <v>http://dx.doi.org/10.5194/acp-14-6545-2014</v>
      </c>
      <c r="BG676" t="s">
        <v>74</v>
      </c>
      <c r="BH676" t="s">
        <v>74</v>
      </c>
      <c r="BI676">
        <v>11</v>
      </c>
      <c r="BJ676" t="s">
        <v>3817</v>
      </c>
      <c r="BK676" t="s">
        <v>101</v>
      </c>
      <c r="BL676" t="s">
        <v>1081</v>
      </c>
      <c r="BM676" t="s">
        <v>12630</v>
      </c>
      <c r="BN676" t="s">
        <v>74</v>
      </c>
      <c r="BO676" t="s">
        <v>9228</v>
      </c>
      <c r="BP676" t="s">
        <v>74</v>
      </c>
      <c r="BQ676" t="s">
        <v>74</v>
      </c>
      <c r="BR676" t="s">
        <v>104</v>
      </c>
      <c r="BS676" t="s">
        <v>12631</v>
      </c>
      <c r="BT676" t="str">
        <f>HYPERLINK("https%3A%2F%2Fwww.webofscience.com%2Fwos%2Fwoscc%2Ffull-record%2FWOS:000339244600005","View Full Record in Web of Science")</f>
        <v>View Full Record in Web of Science</v>
      </c>
    </row>
    <row r="677" spans="1:72" x14ac:dyDescent="0.15">
      <c r="A677" t="s">
        <v>72</v>
      </c>
      <c r="B677" t="s">
        <v>12632</v>
      </c>
      <c r="C677" t="s">
        <v>74</v>
      </c>
      <c r="D677" t="s">
        <v>74</v>
      </c>
      <c r="E677" t="s">
        <v>74</v>
      </c>
      <c r="F677" t="s">
        <v>12633</v>
      </c>
      <c r="G677" t="s">
        <v>74</v>
      </c>
      <c r="H677" t="s">
        <v>74</v>
      </c>
      <c r="I677" t="s">
        <v>12634</v>
      </c>
      <c r="J677" t="s">
        <v>11283</v>
      </c>
      <c r="K677" t="s">
        <v>74</v>
      </c>
      <c r="L677" t="s">
        <v>74</v>
      </c>
      <c r="M677" t="s">
        <v>78</v>
      </c>
      <c r="N677" t="s">
        <v>79</v>
      </c>
      <c r="O677" t="s">
        <v>74</v>
      </c>
      <c r="P677" t="s">
        <v>74</v>
      </c>
      <c r="Q677" t="s">
        <v>74</v>
      </c>
      <c r="R677" t="s">
        <v>74</v>
      </c>
      <c r="S677" t="s">
        <v>74</v>
      </c>
      <c r="T677" t="s">
        <v>74</v>
      </c>
      <c r="U677" t="s">
        <v>12635</v>
      </c>
      <c r="V677" t="s">
        <v>12636</v>
      </c>
      <c r="W677" t="s">
        <v>12637</v>
      </c>
      <c r="X677" t="s">
        <v>12638</v>
      </c>
      <c r="Y677" t="s">
        <v>12639</v>
      </c>
      <c r="Z677" t="s">
        <v>12640</v>
      </c>
      <c r="AA677" t="s">
        <v>12641</v>
      </c>
      <c r="AB677" t="s">
        <v>12642</v>
      </c>
      <c r="AC677" t="s">
        <v>12643</v>
      </c>
      <c r="AD677" t="s">
        <v>12643</v>
      </c>
      <c r="AE677" t="s">
        <v>12644</v>
      </c>
      <c r="AF677" t="s">
        <v>74</v>
      </c>
      <c r="AG677">
        <v>110</v>
      </c>
      <c r="AH677">
        <v>68</v>
      </c>
      <c r="AI677">
        <v>74</v>
      </c>
      <c r="AJ677">
        <v>0</v>
      </c>
      <c r="AK677">
        <v>51</v>
      </c>
      <c r="AL677" t="s">
        <v>1463</v>
      </c>
      <c r="AM677" t="s">
        <v>1464</v>
      </c>
      <c r="AN677" t="s">
        <v>1465</v>
      </c>
      <c r="AO677" t="s">
        <v>11295</v>
      </c>
      <c r="AP677" t="s">
        <v>11296</v>
      </c>
      <c r="AQ677" t="s">
        <v>74</v>
      </c>
      <c r="AR677" t="s">
        <v>11297</v>
      </c>
      <c r="AS677" t="s">
        <v>11298</v>
      </c>
      <c r="AT677" t="s">
        <v>74</v>
      </c>
      <c r="AU677">
        <v>2014</v>
      </c>
      <c r="AV677">
        <v>14</v>
      </c>
      <c r="AW677">
        <v>13</v>
      </c>
      <c r="AX677" t="s">
        <v>74</v>
      </c>
      <c r="AY677" t="s">
        <v>74</v>
      </c>
      <c r="AZ677" t="s">
        <v>74</v>
      </c>
      <c r="BA677" t="s">
        <v>74</v>
      </c>
      <c r="BB677">
        <v>7059</v>
      </c>
      <c r="BC677">
        <v>7074</v>
      </c>
      <c r="BD677" t="s">
        <v>74</v>
      </c>
      <c r="BE677" t="s">
        <v>12645</v>
      </c>
      <c r="BF677" t="str">
        <f>HYPERLINK("http://dx.doi.org/10.5194/acp-14-7059-2014","http://dx.doi.org/10.5194/acp-14-7059-2014")</f>
        <v>http://dx.doi.org/10.5194/acp-14-7059-2014</v>
      </c>
      <c r="BG677" t="s">
        <v>74</v>
      </c>
      <c r="BH677" t="s">
        <v>74</v>
      </c>
      <c r="BI677">
        <v>16</v>
      </c>
      <c r="BJ677" t="s">
        <v>3817</v>
      </c>
      <c r="BK677" t="s">
        <v>101</v>
      </c>
      <c r="BL677" t="s">
        <v>1081</v>
      </c>
      <c r="BM677" t="s">
        <v>12630</v>
      </c>
      <c r="BN677" t="s">
        <v>74</v>
      </c>
      <c r="BO677" t="s">
        <v>9228</v>
      </c>
      <c r="BP677" t="s">
        <v>74</v>
      </c>
      <c r="BQ677" t="s">
        <v>74</v>
      </c>
      <c r="BR677" t="s">
        <v>104</v>
      </c>
      <c r="BS677" t="s">
        <v>12646</v>
      </c>
      <c r="BT677" t="str">
        <f>HYPERLINK("https%3A%2F%2Fwww.webofscience.com%2Fwos%2Fwoscc%2Ffull-record%2FWOS:000339244600036","View Full Record in Web of Science")</f>
        <v>View Full Record in Web of Science</v>
      </c>
    </row>
    <row r="678" spans="1:72" x14ac:dyDescent="0.15">
      <c r="A678" t="s">
        <v>72</v>
      </c>
      <c r="B678" t="s">
        <v>12647</v>
      </c>
      <c r="C678" t="s">
        <v>74</v>
      </c>
      <c r="D678" t="s">
        <v>74</v>
      </c>
      <c r="E678" t="s">
        <v>74</v>
      </c>
      <c r="F678" t="s">
        <v>12648</v>
      </c>
      <c r="G678" t="s">
        <v>74</v>
      </c>
      <c r="H678" t="s">
        <v>74</v>
      </c>
      <c r="I678" t="s">
        <v>12649</v>
      </c>
      <c r="J678" t="s">
        <v>10362</v>
      </c>
      <c r="K678" t="s">
        <v>74</v>
      </c>
      <c r="L678" t="s">
        <v>74</v>
      </c>
      <c r="M678" t="s">
        <v>78</v>
      </c>
      <c r="N678" t="s">
        <v>79</v>
      </c>
      <c r="O678" t="s">
        <v>74</v>
      </c>
      <c r="P678" t="s">
        <v>74</v>
      </c>
      <c r="Q678" t="s">
        <v>74</v>
      </c>
      <c r="R678" t="s">
        <v>74</v>
      </c>
      <c r="S678" t="s">
        <v>74</v>
      </c>
      <c r="T678" t="s">
        <v>12650</v>
      </c>
      <c r="U678" t="s">
        <v>12651</v>
      </c>
      <c r="V678" t="s">
        <v>12652</v>
      </c>
      <c r="W678" t="s">
        <v>12653</v>
      </c>
      <c r="X678" t="s">
        <v>12654</v>
      </c>
      <c r="Y678" t="s">
        <v>12655</v>
      </c>
      <c r="Z678" t="s">
        <v>12656</v>
      </c>
      <c r="AA678" t="s">
        <v>74</v>
      </c>
      <c r="AB678" t="s">
        <v>12657</v>
      </c>
      <c r="AC678" t="s">
        <v>12658</v>
      </c>
      <c r="AD678" t="s">
        <v>12659</v>
      </c>
      <c r="AE678" t="s">
        <v>12660</v>
      </c>
      <c r="AF678" t="s">
        <v>74</v>
      </c>
      <c r="AG678">
        <v>54</v>
      </c>
      <c r="AH678">
        <v>7</v>
      </c>
      <c r="AI678">
        <v>8</v>
      </c>
      <c r="AJ678">
        <v>0</v>
      </c>
      <c r="AK678">
        <v>14</v>
      </c>
      <c r="AL678" t="s">
        <v>91</v>
      </c>
      <c r="AM678" t="s">
        <v>1948</v>
      </c>
      <c r="AN678" t="s">
        <v>2519</v>
      </c>
      <c r="AO678" t="s">
        <v>10374</v>
      </c>
      <c r="AP678" t="s">
        <v>10375</v>
      </c>
      <c r="AQ678" t="s">
        <v>74</v>
      </c>
      <c r="AR678" t="s">
        <v>10376</v>
      </c>
      <c r="AS678" t="s">
        <v>10377</v>
      </c>
      <c r="AT678" t="s">
        <v>74</v>
      </c>
      <c r="AU678">
        <v>2014</v>
      </c>
      <c r="AV678">
        <v>60</v>
      </c>
      <c r="AW678">
        <v>221</v>
      </c>
      <c r="AX678" t="s">
        <v>74</v>
      </c>
      <c r="AY678" t="s">
        <v>74</v>
      </c>
      <c r="AZ678" t="s">
        <v>74</v>
      </c>
      <c r="BA678" t="s">
        <v>74</v>
      </c>
      <c r="BB678">
        <v>463</v>
      </c>
      <c r="BC678">
        <v>477</v>
      </c>
      <c r="BD678" t="s">
        <v>74</v>
      </c>
      <c r="BE678" t="s">
        <v>12661</v>
      </c>
      <c r="BF678" t="str">
        <f>HYPERLINK("http://dx.doi.org/10.3189/2014JoG13J173","http://dx.doi.org/10.3189/2014JoG13J173")</f>
        <v>http://dx.doi.org/10.3189/2014JoG13J173</v>
      </c>
      <c r="BG678" t="s">
        <v>74</v>
      </c>
      <c r="BH678" t="s">
        <v>74</v>
      </c>
      <c r="BI678">
        <v>15</v>
      </c>
      <c r="BJ678" t="s">
        <v>1415</v>
      </c>
      <c r="BK678" t="s">
        <v>101</v>
      </c>
      <c r="BL678" t="s">
        <v>1416</v>
      </c>
      <c r="BM678" t="s">
        <v>12662</v>
      </c>
      <c r="BN678" t="s">
        <v>74</v>
      </c>
      <c r="BO678" t="s">
        <v>787</v>
      </c>
      <c r="BP678" t="s">
        <v>74</v>
      </c>
      <c r="BQ678" t="s">
        <v>74</v>
      </c>
      <c r="BR678" t="s">
        <v>104</v>
      </c>
      <c r="BS678" t="s">
        <v>12663</v>
      </c>
      <c r="BT678" t="str">
        <f>HYPERLINK("https%3A%2F%2Fwww.webofscience.com%2Fwos%2Fwoscc%2Ffull-record%2FWOS:000339140300006","View Full Record in Web of Science")</f>
        <v>View Full Record in Web of Science</v>
      </c>
    </row>
    <row r="679" spans="1:72" x14ac:dyDescent="0.15">
      <c r="A679" t="s">
        <v>72</v>
      </c>
      <c r="B679" t="s">
        <v>12664</v>
      </c>
      <c r="C679" t="s">
        <v>74</v>
      </c>
      <c r="D679" t="s">
        <v>74</v>
      </c>
      <c r="E679" t="s">
        <v>74</v>
      </c>
      <c r="F679" t="s">
        <v>12665</v>
      </c>
      <c r="G679" t="s">
        <v>74</v>
      </c>
      <c r="H679" t="s">
        <v>74</v>
      </c>
      <c r="I679" t="s">
        <v>12666</v>
      </c>
      <c r="J679" t="s">
        <v>10362</v>
      </c>
      <c r="K679" t="s">
        <v>74</v>
      </c>
      <c r="L679" t="s">
        <v>74</v>
      </c>
      <c r="M679" t="s">
        <v>78</v>
      </c>
      <c r="N679" t="s">
        <v>79</v>
      </c>
      <c r="O679" t="s">
        <v>74</v>
      </c>
      <c r="P679" t="s">
        <v>74</v>
      </c>
      <c r="Q679" t="s">
        <v>74</v>
      </c>
      <c r="R679" t="s">
        <v>74</v>
      </c>
      <c r="S679" t="s">
        <v>74</v>
      </c>
      <c r="T679" t="s">
        <v>12667</v>
      </c>
      <c r="U679" t="s">
        <v>12668</v>
      </c>
      <c r="V679" t="s">
        <v>12669</v>
      </c>
      <c r="W679" t="s">
        <v>12670</v>
      </c>
      <c r="X679" t="s">
        <v>12671</v>
      </c>
      <c r="Y679" t="s">
        <v>12672</v>
      </c>
      <c r="Z679" t="s">
        <v>12673</v>
      </c>
      <c r="AA679" t="s">
        <v>74</v>
      </c>
      <c r="AB679" t="s">
        <v>74</v>
      </c>
      <c r="AC679" t="s">
        <v>12674</v>
      </c>
      <c r="AD679" t="s">
        <v>12675</v>
      </c>
      <c r="AE679" t="s">
        <v>12676</v>
      </c>
      <c r="AF679" t="s">
        <v>74</v>
      </c>
      <c r="AG679">
        <v>33</v>
      </c>
      <c r="AH679">
        <v>15</v>
      </c>
      <c r="AI679">
        <v>15</v>
      </c>
      <c r="AJ679">
        <v>1</v>
      </c>
      <c r="AK679">
        <v>8</v>
      </c>
      <c r="AL679" t="s">
        <v>91</v>
      </c>
      <c r="AM679" t="s">
        <v>1948</v>
      </c>
      <c r="AN679" t="s">
        <v>2519</v>
      </c>
      <c r="AO679" t="s">
        <v>10374</v>
      </c>
      <c r="AP679" t="s">
        <v>10375</v>
      </c>
      <c r="AQ679" t="s">
        <v>74</v>
      </c>
      <c r="AR679" t="s">
        <v>10376</v>
      </c>
      <c r="AS679" t="s">
        <v>10377</v>
      </c>
      <c r="AT679" t="s">
        <v>74</v>
      </c>
      <c r="AU679">
        <v>2014</v>
      </c>
      <c r="AV679">
        <v>60</v>
      </c>
      <c r="AW679">
        <v>221</v>
      </c>
      <c r="AX679" t="s">
        <v>74</v>
      </c>
      <c r="AY679" t="s">
        <v>74</v>
      </c>
      <c r="AZ679" t="s">
        <v>74</v>
      </c>
      <c r="BA679" t="s">
        <v>74</v>
      </c>
      <c r="BB679">
        <v>500</v>
      </c>
      <c r="BC679">
        <v>508</v>
      </c>
      <c r="BD679" t="s">
        <v>74</v>
      </c>
      <c r="BE679" t="s">
        <v>12677</v>
      </c>
      <c r="BF679" t="str">
        <f>HYPERLINK("http://dx.doi.org/10.3189/2014JoG13J203","http://dx.doi.org/10.3189/2014JoG13J203")</f>
        <v>http://dx.doi.org/10.3189/2014JoG13J203</v>
      </c>
      <c r="BG679" t="s">
        <v>74</v>
      </c>
      <c r="BH679" t="s">
        <v>74</v>
      </c>
      <c r="BI679">
        <v>9</v>
      </c>
      <c r="BJ679" t="s">
        <v>1415</v>
      </c>
      <c r="BK679" t="s">
        <v>101</v>
      </c>
      <c r="BL679" t="s">
        <v>1416</v>
      </c>
      <c r="BM679" t="s">
        <v>12662</v>
      </c>
      <c r="BN679" t="s">
        <v>74</v>
      </c>
      <c r="BO679" t="s">
        <v>200</v>
      </c>
      <c r="BP679" t="s">
        <v>74</v>
      </c>
      <c r="BQ679" t="s">
        <v>74</v>
      </c>
      <c r="BR679" t="s">
        <v>104</v>
      </c>
      <c r="BS679" t="s">
        <v>12678</v>
      </c>
      <c r="BT679" t="str">
        <f>HYPERLINK("https%3A%2F%2Fwww.webofscience.com%2Fwos%2Fwoscc%2Ffull-record%2FWOS:000339140300009","View Full Record in Web of Science")</f>
        <v>View Full Record in Web of Science</v>
      </c>
    </row>
    <row r="680" spans="1:72" x14ac:dyDescent="0.15">
      <c r="A680" t="s">
        <v>72</v>
      </c>
      <c r="B680" t="s">
        <v>12679</v>
      </c>
      <c r="C680" t="s">
        <v>74</v>
      </c>
      <c r="D680" t="s">
        <v>74</v>
      </c>
      <c r="E680" t="s">
        <v>74</v>
      </c>
      <c r="F680" t="s">
        <v>12680</v>
      </c>
      <c r="G680" t="s">
        <v>74</v>
      </c>
      <c r="H680" t="s">
        <v>74</v>
      </c>
      <c r="I680" t="s">
        <v>12681</v>
      </c>
      <c r="J680" t="s">
        <v>10362</v>
      </c>
      <c r="K680" t="s">
        <v>74</v>
      </c>
      <c r="L680" t="s">
        <v>74</v>
      </c>
      <c r="M680" t="s">
        <v>78</v>
      </c>
      <c r="N680" t="s">
        <v>79</v>
      </c>
      <c r="O680" t="s">
        <v>74</v>
      </c>
      <c r="P680" t="s">
        <v>74</v>
      </c>
      <c r="Q680" t="s">
        <v>74</v>
      </c>
      <c r="R680" t="s">
        <v>74</v>
      </c>
      <c r="S680" t="s">
        <v>74</v>
      </c>
      <c r="T680" t="s">
        <v>12682</v>
      </c>
      <c r="U680" t="s">
        <v>12683</v>
      </c>
      <c r="V680" t="s">
        <v>12684</v>
      </c>
      <c r="W680" t="s">
        <v>12685</v>
      </c>
      <c r="X680" t="s">
        <v>12686</v>
      </c>
      <c r="Y680" t="s">
        <v>12687</v>
      </c>
      <c r="Z680" t="s">
        <v>12688</v>
      </c>
      <c r="AA680" t="s">
        <v>12689</v>
      </c>
      <c r="AB680" t="s">
        <v>12690</v>
      </c>
      <c r="AC680" t="s">
        <v>12691</v>
      </c>
      <c r="AD680" t="s">
        <v>12692</v>
      </c>
      <c r="AE680" t="s">
        <v>12693</v>
      </c>
      <c r="AF680" t="s">
        <v>74</v>
      </c>
      <c r="AG680">
        <v>40</v>
      </c>
      <c r="AH680">
        <v>14</v>
      </c>
      <c r="AI680">
        <v>15</v>
      </c>
      <c r="AJ680">
        <v>0</v>
      </c>
      <c r="AK680">
        <v>17</v>
      </c>
      <c r="AL680" t="s">
        <v>91</v>
      </c>
      <c r="AM680" t="s">
        <v>1948</v>
      </c>
      <c r="AN680" t="s">
        <v>2519</v>
      </c>
      <c r="AO680" t="s">
        <v>10374</v>
      </c>
      <c r="AP680" t="s">
        <v>10375</v>
      </c>
      <c r="AQ680" t="s">
        <v>74</v>
      </c>
      <c r="AR680" t="s">
        <v>10376</v>
      </c>
      <c r="AS680" t="s">
        <v>10377</v>
      </c>
      <c r="AT680" t="s">
        <v>74</v>
      </c>
      <c r="AU680">
        <v>2014</v>
      </c>
      <c r="AV680">
        <v>60</v>
      </c>
      <c r="AW680">
        <v>221</v>
      </c>
      <c r="AX680" t="s">
        <v>74</v>
      </c>
      <c r="AY680" t="s">
        <v>74</v>
      </c>
      <c r="AZ680" t="s">
        <v>74</v>
      </c>
      <c r="BA680" t="s">
        <v>74</v>
      </c>
      <c r="BB680">
        <v>526</v>
      </c>
      <c r="BC680">
        <v>536</v>
      </c>
      <c r="BD680" t="s">
        <v>74</v>
      </c>
      <c r="BE680" t="s">
        <v>12694</v>
      </c>
      <c r="BF680" t="str">
        <f>HYPERLINK("http://dx.doi.org/10.3189/2014JoG13J033","http://dx.doi.org/10.3189/2014JoG13J033")</f>
        <v>http://dx.doi.org/10.3189/2014JoG13J033</v>
      </c>
      <c r="BG680" t="s">
        <v>74</v>
      </c>
      <c r="BH680" t="s">
        <v>74</v>
      </c>
      <c r="BI680">
        <v>11</v>
      </c>
      <c r="BJ680" t="s">
        <v>1415</v>
      </c>
      <c r="BK680" t="s">
        <v>101</v>
      </c>
      <c r="BL680" t="s">
        <v>1416</v>
      </c>
      <c r="BM680" t="s">
        <v>12662</v>
      </c>
      <c r="BN680" t="s">
        <v>74</v>
      </c>
      <c r="BO680" t="s">
        <v>200</v>
      </c>
      <c r="BP680" t="s">
        <v>74</v>
      </c>
      <c r="BQ680" t="s">
        <v>74</v>
      </c>
      <c r="BR680" t="s">
        <v>104</v>
      </c>
      <c r="BS680" t="s">
        <v>12695</v>
      </c>
      <c r="BT680" t="str">
        <f>HYPERLINK("https%3A%2F%2Fwww.webofscience.com%2Fwos%2Fwoscc%2Ffull-record%2FWOS:000339140300011","View Full Record in Web of Science")</f>
        <v>View Full Record in Web of Science</v>
      </c>
    </row>
    <row r="681" spans="1:72" x14ac:dyDescent="0.15">
      <c r="A681" t="s">
        <v>72</v>
      </c>
      <c r="B681" t="s">
        <v>12696</v>
      </c>
      <c r="C681" t="s">
        <v>74</v>
      </c>
      <c r="D681" t="s">
        <v>74</v>
      </c>
      <c r="E681" t="s">
        <v>74</v>
      </c>
      <c r="F681" t="s">
        <v>12697</v>
      </c>
      <c r="G681" t="s">
        <v>74</v>
      </c>
      <c r="H681" t="s">
        <v>74</v>
      </c>
      <c r="I681" t="s">
        <v>12698</v>
      </c>
      <c r="J681" t="s">
        <v>10362</v>
      </c>
      <c r="K681" t="s">
        <v>74</v>
      </c>
      <c r="L681" t="s">
        <v>74</v>
      </c>
      <c r="M681" t="s">
        <v>78</v>
      </c>
      <c r="N681" t="s">
        <v>79</v>
      </c>
      <c r="O681" t="s">
        <v>74</v>
      </c>
      <c r="P681" t="s">
        <v>74</v>
      </c>
      <c r="Q681" t="s">
        <v>74</v>
      </c>
      <c r="R681" t="s">
        <v>74</v>
      </c>
      <c r="S681" t="s">
        <v>74</v>
      </c>
      <c r="T681" t="s">
        <v>12699</v>
      </c>
      <c r="U681" t="s">
        <v>12700</v>
      </c>
      <c r="V681" t="s">
        <v>12701</v>
      </c>
      <c r="W681" t="s">
        <v>12702</v>
      </c>
      <c r="X681" t="s">
        <v>12703</v>
      </c>
      <c r="Y681" t="s">
        <v>12704</v>
      </c>
      <c r="Z681" t="s">
        <v>12705</v>
      </c>
      <c r="AA681" t="s">
        <v>12706</v>
      </c>
      <c r="AB681" t="s">
        <v>12707</v>
      </c>
      <c r="AC681" t="s">
        <v>12708</v>
      </c>
      <c r="AD681" t="s">
        <v>12709</v>
      </c>
      <c r="AE681" t="s">
        <v>12710</v>
      </c>
      <c r="AF681" t="s">
        <v>74</v>
      </c>
      <c r="AG681">
        <v>46</v>
      </c>
      <c r="AH681">
        <v>4</v>
      </c>
      <c r="AI681">
        <v>4</v>
      </c>
      <c r="AJ681">
        <v>0</v>
      </c>
      <c r="AK681">
        <v>9</v>
      </c>
      <c r="AL681" t="s">
        <v>91</v>
      </c>
      <c r="AM681" t="s">
        <v>1948</v>
      </c>
      <c r="AN681" t="s">
        <v>2519</v>
      </c>
      <c r="AO681" t="s">
        <v>10374</v>
      </c>
      <c r="AP681" t="s">
        <v>10375</v>
      </c>
      <c r="AQ681" t="s">
        <v>74</v>
      </c>
      <c r="AR681" t="s">
        <v>10376</v>
      </c>
      <c r="AS681" t="s">
        <v>10377</v>
      </c>
      <c r="AT681" t="s">
        <v>74</v>
      </c>
      <c r="AU681">
        <v>2014</v>
      </c>
      <c r="AV681">
        <v>60</v>
      </c>
      <c r="AW681">
        <v>221</v>
      </c>
      <c r="AX681" t="s">
        <v>74</v>
      </c>
      <c r="AY681" t="s">
        <v>74</v>
      </c>
      <c r="AZ681" t="s">
        <v>74</v>
      </c>
      <c r="BA681" t="s">
        <v>74</v>
      </c>
      <c r="BB681">
        <v>576</v>
      </c>
      <c r="BC681">
        <v>586</v>
      </c>
      <c r="BD681" t="s">
        <v>74</v>
      </c>
      <c r="BE681" t="s">
        <v>12711</v>
      </c>
      <c r="BF681" t="str">
        <f>HYPERLINK("http://dx.doi.org/10.3189/2014JoG13J154","http://dx.doi.org/10.3189/2014JoG13J154")</f>
        <v>http://dx.doi.org/10.3189/2014JoG13J154</v>
      </c>
      <c r="BG681" t="s">
        <v>74</v>
      </c>
      <c r="BH681" t="s">
        <v>74</v>
      </c>
      <c r="BI681">
        <v>11</v>
      </c>
      <c r="BJ681" t="s">
        <v>1415</v>
      </c>
      <c r="BK681" t="s">
        <v>101</v>
      </c>
      <c r="BL681" t="s">
        <v>1416</v>
      </c>
      <c r="BM681" t="s">
        <v>12662</v>
      </c>
      <c r="BN681" t="s">
        <v>74</v>
      </c>
      <c r="BO681" t="s">
        <v>200</v>
      </c>
      <c r="BP681" t="s">
        <v>74</v>
      </c>
      <c r="BQ681" t="s">
        <v>74</v>
      </c>
      <c r="BR681" t="s">
        <v>104</v>
      </c>
      <c r="BS681" t="s">
        <v>12712</v>
      </c>
      <c r="BT681" t="str">
        <f>HYPERLINK("https%3A%2F%2Fwww.webofscience.com%2Fwos%2Fwoscc%2Ffull-record%2FWOS:000339140300015","View Full Record in Web of Science")</f>
        <v>View Full Record in Web of Science</v>
      </c>
    </row>
    <row r="682" spans="1:72" x14ac:dyDescent="0.15">
      <c r="A682" t="s">
        <v>8774</v>
      </c>
      <c r="B682" t="s">
        <v>12713</v>
      </c>
      <c r="C682" t="s">
        <v>74</v>
      </c>
      <c r="D682" t="s">
        <v>12714</v>
      </c>
      <c r="E682" t="s">
        <v>74</v>
      </c>
      <c r="F682" t="s">
        <v>12715</v>
      </c>
      <c r="G682" t="s">
        <v>74</v>
      </c>
      <c r="H682" t="s">
        <v>74</v>
      </c>
      <c r="I682" t="s">
        <v>12716</v>
      </c>
      <c r="J682" t="s">
        <v>12717</v>
      </c>
      <c r="K682" t="s">
        <v>12718</v>
      </c>
      <c r="L682" t="s">
        <v>74</v>
      </c>
      <c r="M682" t="s">
        <v>78</v>
      </c>
      <c r="N682" t="s">
        <v>8781</v>
      </c>
      <c r="O682" t="s">
        <v>12719</v>
      </c>
      <c r="P682" t="s">
        <v>12720</v>
      </c>
      <c r="Q682" t="s">
        <v>12721</v>
      </c>
      <c r="R682" t="s">
        <v>74</v>
      </c>
      <c r="S682" t="s">
        <v>74</v>
      </c>
      <c r="T682" t="s">
        <v>12722</v>
      </c>
      <c r="U682" t="s">
        <v>12723</v>
      </c>
      <c r="V682" t="s">
        <v>12724</v>
      </c>
      <c r="W682" t="s">
        <v>12725</v>
      </c>
      <c r="X682" t="s">
        <v>12726</v>
      </c>
      <c r="Y682" t="s">
        <v>12727</v>
      </c>
      <c r="Z682" t="s">
        <v>12728</v>
      </c>
      <c r="AA682" t="s">
        <v>12729</v>
      </c>
      <c r="AB682" t="s">
        <v>12730</v>
      </c>
      <c r="AC682" t="s">
        <v>12731</v>
      </c>
      <c r="AD682" t="s">
        <v>12732</v>
      </c>
      <c r="AE682" t="s">
        <v>12733</v>
      </c>
      <c r="AF682" t="s">
        <v>74</v>
      </c>
      <c r="AG682">
        <v>16</v>
      </c>
      <c r="AH682">
        <v>0</v>
      </c>
      <c r="AI682">
        <v>1</v>
      </c>
      <c r="AJ682">
        <v>1</v>
      </c>
      <c r="AK682">
        <v>17</v>
      </c>
      <c r="AL682" t="s">
        <v>12734</v>
      </c>
      <c r="AM682" t="s">
        <v>12735</v>
      </c>
      <c r="AN682" t="s">
        <v>12736</v>
      </c>
      <c r="AO682" t="s">
        <v>12737</v>
      </c>
      <c r="AP682" t="s">
        <v>74</v>
      </c>
      <c r="AQ682" t="s">
        <v>12738</v>
      </c>
      <c r="AR682" t="s">
        <v>12739</v>
      </c>
      <c r="AS682" t="s">
        <v>74</v>
      </c>
      <c r="AT682" t="s">
        <v>74</v>
      </c>
      <c r="AU682">
        <v>2014</v>
      </c>
      <c r="AV682">
        <v>842</v>
      </c>
      <c r="AW682" t="s">
        <v>74</v>
      </c>
      <c r="AX682" t="s">
        <v>74</v>
      </c>
      <c r="AY682" t="s">
        <v>74</v>
      </c>
      <c r="AZ682" t="s">
        <v>74</v>
      </c>
      <c r="BA682" t="s">
        <v>74</v>
      </c>
      <c r="BB682">
        <v>210</v>
      </c>
      <c r="BC682" t="s">
        <v>5223</v>
      </c>
      <c r="BD682" t="s">
        <v>74</v>
      </c>
      <c r="BE682" t="s">
        <v>12740</v>
      </c>
      <c r="BF682" t="str">
        <f>HYPERLINK("http://dx.doi.org/10.4028/www.scientific.net/AMR.842.210","http://dx.doi.org/10.4028/www.scientific.net/AMR.842.210")</f>
        <v>http://dx.doi.org/10.4028/www.scientific.net/AMR.842.210</v>
      </c>
      <c r="BG682" t="s">
        <v>74</v>
      </c>
      <c r="BH682" t="s">
        <v>74</v>
      </c>
      <c r="BI682">
        <v>3</v>
      </c>
      <c r="BJ682" t="s">
        <v>12741</v>
      </c>
      <c r="BK682" t="s">
        <v>8799</v>
      </c>
      <c r="BL682" t="s">
        <v>12742</v>
      </c>
      <c r="BM682" t="s">
        <v>12743</v>
      </c>
      <c r="BN682" t="s">
        <v>74</v>
      </c>
      <c r="BO682" t="s">
        <v>74</v>
      </c>
      <c r="BP682" t="s">
        <v>74</v>
      </c>
      <c r="BQ682" t="s">
        <v>74</v>
      </c>
      <c r="BR682" t="s">
        <v>104</v>
      </c>
      <c r="BS682" t="s">
        <v>12744</v>
      </c>
      <c r="BT682" t="str">
        <f>HYPERLINK("https%3A%2F%2Fwww.webofscience.com%2Fwos%2Fwoscc%2Ffull-record%2FWOS:000339031600044","View Full Record in Web of Science")</f>
        <v>View Full Record in Web of Science</v>
      </c>
    </row>
    <row r="683" spans="1:72" x14ac:dyDescent="0.15">
      <c r="A683" t="s">
        <v>72</v>
      </c>
      <c r="B683" t="s">
        <v>12745</v>
      </c>
      <c r="C683" t="s">
        <v>74</v>
      </c>
      <c r="D683" t="s">
        <v>74</v>
      </c>
      <c r="E683" t="s">
        <v>74</v>
      </c>
      <c r="F683" t="s">
        <v>12746</v>
      </c>
      <c r="G683" t="s">
        <v>74</v>
      </c>
      <c r="H683" t="s">
        <v>74</v>
      </c>
      <c r="I683" t="s">
        <v>12747</v>
      </c>
      <c r="J683" t="s">
        <v>11225</v>
      </c>
      <c r="K683" t="s">
        <v>74</v>
      </c>
      <c r="L683" t="s">
        <v>74</v>
      </c>
      <c r="M683" t="s">
        <v>78</v>
      </c>
      <c r="N683" t="s">
        <v>79</v>
      </c>
      <c r="O683" t="s">
        <v>74</v>
      </c>
      <c r="P683" t="s">
        <v>74</v>
      </c>
      <c r="Q683" t="s">
        <v>74</v>
      </c>
      <c r="R683" t="s">
        <v>74</v>
      </c>
      <c r="S683" t="s">
        <v>74</v>
      </c>
      <c r="T683" t="s">
        <v>12748</v>
      </c>
      <c r="U683" t="s">
        <v>12749</v>
      </c>
      <c r="V683" t="s">
        <v>12750</v>
      </c>
      <c r="W683" t="s">
        <v>12751</v>
      </c>
      <c r="X683" t="s">
        <v>12752</v>
      </c>
      <c r="Y683" t="s">
        <v>11231</v>
      </c>
      <c r="Z683" t="s">
        <v>8761</v>
      </c>
      <c r="AA683" t="s">
        <v>74</v>
      </c>
      <c r="AB683" t="s">
        <v>74</v>
      </c>
      <c r="AC683" t="s">
        <v>12753</v>
      </c>
      <c r="AD683" t="s">
        <v>12754</v>
      </c>
      <c r="AE683" t="s">
        <v>12755</v>
      </c>
      <c r="AF683" t="s">
        <v>74</v>
      </c>
      <c r="AG683">
        <v>74</v>
      </c>
      <c r="AH683">
        <v>20</v>
      </c>
      <c r="AI683">
        <v>23</v>
      </c>
      <c r="AJ683">
        <v>0</v>
      </c>
      <c r="AK683">
        <v>10</v>
      </c>
      <c r="AL683" t="s">
        <v>11236</v>
      </c>
      <c r="AM683" t="s">
        <v>11237</v>
      </c>
      <c r="AN683" t="s">
        <v>11238</v>
      </c>
      <c r="AO683" t="s">
        <v>11239</v>
      </c>
      <c r="AP683" t="s">
        <v>11240</v>
      </c>
      <c r="AQ683" t="s">
        <v>74</v>
      </c>
      <c r="AR683" t="s">
        <v>11241</v>
      </c>
      <c r="AS683" t="s">
        <v>11242</v>
      </c>
      <c r="AT683" t="s">
        <v>74</v>
      </c>
      <c r="AU683">
        <v>2014</v>
      </c>
      <c r="AV683">
        <v>147</v>
      </c>
      <c r="AW683">
        <v>2</v>
      </c>
      <c r="AX683" t="s">
        <v>74</v>
      </c>
      <c r="AY683" t="s">
        <v>74</v>
      </c>
      <c r="AZ683" t="s">
        <v>74</v>
      </c>
      <c r="BA683" t="s">
        <v>74</v>
      </c>
      <c r="BB683">
        <v>256</v>
      </c>
      <c r="BC683">
        <v>284</v>
      </c>
      <c r="BD683" t="s">
        <v>74</v>
      </c>
      <c r="BE683" t="s">
        <v>12756</v>
      </c>
      <c r="BF683" t="str">
        <f>HYPERLINK("http://dx.doi.org/10.5091/plecevo.2014.930","http://dx.doi.org/10.5091/plecevo.2014.930")</f>
        <v>http://dx.doi.org/10.5091/plecevo.2014.930</v>
      </c>
      <c r="BG683" t="s">
        <v>74</v>
      </c>
      <c r="BH683" t="s">
        <v>74</v>
      </c>
      <c r="BI683">
        <v>29</v>
      </c>
      <c r="BJ683" t="s">
        <v>181</v>
      </c>
      <c r="BK683" t="s">
        <v>101</v>
      </c>
      <c r="BL683" t="s">
        <v>181</v>
      </c>
      <c r="BM683" t="s">
        <v>12757</v>
      </c>
      <c r="BN683" t="s">
        <v>74</v>
      </c>
      <c r="BO683" t="s">
        <v>4942</v>
      </c>
      <c r="BP683" t="s">
        <v>74</v>
      </c>
      <c r="BQ683" t="s">
        <v>74</v>
      </c>
      <c r="BR683" t="s">
        <v>104</v>
      </c>
      <c r="BS683" t="s">
        <v>12758</v>
      </c>
      <c r="BT683" t="str">
        <f>HYPERLINK("https%3A%2F%2Fwww.webofscience.com%2Fwos%2Fwoscc%2Ffull-record%2FWOS:000338914400010","View Full Record in Web of Science")</f>
        <v>View Full Record in Web of Science</v>
      </c>
    </row>
    <row r="684" spans="1:72" x14ac:dyDescent="0.15">
      <c r="A684" t="s">
        <v>72</v>
      </c>
      <c r="B684" t="s">
        <v>12759</v>
      </c>
      <c r="C684" t="s">
        <v>74</v>
      </c>
      <c r="D684" t="s">
        <v>74</v>
      </c>
      <c r="E684" t="s">
        <v>74</v>
      </c>
      <c r="F684" t="s">
        <v>12760</v>
      </c>
      <c r="G684" t="s">
        <v>74</v>
      </c>
      <c r="H684" t="s">
        <v>74</v>
      </c>
      <c r="I684" t="s">
        <v>12761</v>
      </c>
      <c r="J684" t="s">
        <v>12762</v>
      </c>
      <c r="K684" t="s">
        <v>74</v>
      </c>
      <c r="L684" t="s">
        <v>74</v>
      </c>
      <c r="M684" t="s">
        <v>78</v>
      </c>
      <c r="N684" t="s">
        <v>79</v>
      </c>
      <c r="O684" t="s">
        <v>74</v>
      </c>
      <c r="P684" t="s">
        <v>74</v>
      </c>
      <c r="Q684" t="s">
        <v>74</v>
      </c>
      <c r="R684" t="s">
        <v>74</v>
      </c>
      <c r="S684" t="s">
        <v>74</v>
      </c>
      <c r="T684" t="s">
        <v>74</v>
      </c>
      <c r="U684" t="s">
        <v>12763</v>
      </c>
      <c r="V684" t="s">
        <v>12764</v>
      </c>
      <c r="W684" t="s">
        <v>12765</v>
      </c>
      <c r="X684" t="s">
        <v>12766</v>
      </c>
      <c r="Y684" t="s">
        <v>12767</v>
      </c>
      <c r="Z684" t="s">
        <v>12768</v>
      </c>
      <c r="AA684" t="s">
        <v>12769</v>
      </c>
      <c r="AB684" t="s">
        <v>12770</v>
      </c>
      <c r="AC684" t="s">
        <v>12771</v>
      </c>
      <c r="AD684" t="s">
        <v>12772</v>
      </c>
      <c r="AE684" t="s">
        <v>12773</v>
      </c>
      <c r="AF684" t="s">
        <v>74</v>
      </c>
      <c r="AG684">
        <v>86</v>
      </c>
      <c r="AH684">
        <v>28</v>
      </c>
      <c r="AI684">
        <v>29</v>
      </c>
      <c r="AJ684">
        <v>0</v>
      </c>
      <c r="AK684">
        <v>13</v>
      </c>
      <c r="AL684" t="s">
        <v>1463</v>
      </c>
      <c r="AM684" t="s">
        <v>1464</v>
      </c>
      <c r="AN684" t="s">
        <v>1465</v>
      </c>
      <c r="AO684" t="s">
        <v>12774</v>
      </c>
      <c r="AP684" t="s">
        <v>12775</v>
      </c>
      <c r="AQ684" t="s">
        <v>74</v>
      </c>
      <c r="AR684" t="s">
        <v>12776</v>
      </c>
      <c r="AS684" t="s">
        <v>12777</v>
      </c>
      <c r="AT684" t="s">
        <v>74</v>
      </c>
      <c r="AU684">
        <v>2014</v>
      </c>
      <c r="AV684">
        <v>5</v>
      </c>
      <c r="AW684">
        <v>1</v>
      </c>
      <c r="AX684" t="s">
        <v>74</v>
      </c>
      <c r="AY684" t="s">
        <v>74</v>
      </c>
      <c r="AZ684" t="s">
        <v>74</v>
      </c>
      <c r="BA684" t="s">
        <v>74</v>
      </c>
      <c r="BB684">
        <v>223</v>
      </c>
      <c r="BC684">
        <v>242</v>
      </c>
      <c r="BD684" t="s">
        <v>74</v>
      </c>
      <c r="BE684" t="s">
        <v>12778</v>
      </c>
      <c r="BF684" t="str">
        <f>HYPERLINK("http://dx.doi.org/10.5194/esd-5-223-2014","http://dx.doi.org/10.5194/esd-5-223-2014")</f>
        <v>http://dx.doi.org/10.5194/esd-5-223-2014</v>
      </c>
      <c r="BG684" t="s">
        <v>74</v>
      </c>
      <c r="BH684" t="s">
        <v>74</v>
      </c>
      <c r="BI684">
        <v>20</v>
      </c>
      <c r="BJ684" t="s">
        <v>952</v>
      </c>
      <c r="BK684" t="s">
        <v>101</v>
      </c>
      <c r="BL684" t="s">
        <v>597</v>
      </c>
      <c r="BM684" t="s">
        <v>12779</v>
      </c>
      <c r="BN684" t="s">
        <v>74</v>
      </c>
      <c r="BO684" t="s">
        <v>9228</v>
      </c>
      <c r="BP684" t="s">
        <v>74</v>
      </c>
      <c r="BQ684" t="s">
        <v>74</v>
      </c>
      <c r="BR684" t="s">
        <v>104</v>
      </c>
      <c r="BS684" t="s">
        <v>12780</v>
      </c>
      <c r="BT684" t="str">
        <f>HYPERLINK("https%3A%2F%2Fwww.webofscience.com%2Fwos%2Fwoscc%2Ffull-record%2FWOS:000338761800014","View Full Record in Web of Science")</f>
        <v>View Full Record in Web of Science</v>
      </c>
    </row>
    <row r="685" spans="1:72" x14ac:dyDescent="0.15">
      <c r="A685" t="s">
        <v>72</v>
      </c>
      <c r="B685" t="s">
        <v>12781</v>
      </c>
      <c r="C685" t="s">
        <v>74</v>
      </c>
      <c r="D685" t="s">
        <v>74</v>
      </c>
      <c r="E685" t="s">
        <v>74</v>
      </c>
      <c r="F685" t="s">
        <v>12782</v>
      </c>
      <c r="G685" t="s">
        <v>74</v>
      </c>
      <c r="H685" t="s">
        <v>74</v>
      </c>
      <c r="I685" t="s">
        <v>12783</v>
      </c>
      <c r="J685" t="s">
        <v>12784</v>
      </c>
      <c r="K685" t="s">
        <v>74</v>
      </c>
      <c r="L685" t="s">
        <v>74</v>
      </c>
      <c r="M685" t="s">
        <v>1424</v>
      </c>
      <c r="N685" t="s">
        <v>79</v>
      </c>
      <c r="O685" t="s">
        <v>74</v>
      </c>
      <c r="P685" t="s">
        <v>74</v>
      </c>
      <c r="Q685" t="s">
        <v>74</v>
      </c>
      <c r="R685" t="s">
        <v>74</v>
      </c>
      <c r="S685" t="s">
        <v>74</v>
      </c>
      <c r="T685" t="s">
        <v>12785</v>
      </c>
      <c r="U685" t="s">
        <v>12786</v>
      </c>
      <c r="V685" t="s">
        <v>12787</v>
      </c>
      <c r="W685" t="s">
        <v>12788</v>
      </c>
      <c r="X685" t="s">
        <v>8398</v>
      </c>
      <c r="Y685" t="s">
        <v>12789</v>
      </c>
      <c r="Z685" t="s">
        <v>12790</v>
      </c>
      <c r="AA685" t="s">
        <v>12791</v>
      </c>
      <c r="AB685" t="s">
        <v>12792</v>
      </c>
      <c r="AC685" t="s">
        <v>74</v>
      </c>
      <c r="AD685" t="s">
        <v>74</v>
      </c>
      <c r="AE685" t="s">
        <v>74</v>
      </c>
      <c r="AF685" t="s">
        <v>74</v>
      </c>
      <c r="AG685">
        <v>32</v>
      </c>
      <c r="AH685">
        <v>6</v>
      </c>
      <c r="AI685">
        <v>6</v>
      </c>
      <c r="AJ685">
        <v>0</v>
      </c>
      <c r="AK685">
        <v>7</v>
      </c>
      <c r="AL685" t="s">
        <v>12793</v>
      </c>
      <c r="AM685" t="s">
        <v>12794</v>
      </c>
      <c r="AN685" t="s">
        <v>12795</v>
      </c>
      <c r="AO685" t="s">
        <v>12796</v>
      </c>
      <c r="AP685" t="s">
        <v>12797</v>
      </c>
      <c r="AQ685" t="s">
        <v>74</v>
      </c>
      <c r="AR685" t="s">
        <v>12798</v>
      </c>
      <c r="AS685" t="s">
        <v>12799</v>
      </c>
      <c r="AT685" t="s">
        <v>74</v>
      </c>
      <c r="AU685">
        <v>2014</v>
      </c>
      <c r="AV685">
        <v>71</v>
      </c>
      <c r="AW685">
        <v>1</v>
      </c>
      <c r="AX685" t="s">
        <v>74</v>
      </c>
      <c r="AY685" t="s">
        <v>74</v>
      </c>
      <c r="AZ685" t="s">
        <v>74</v>
      </c>
      <c r="BA685" t="s">
        <v>74</v>
      </c>
      <c r="BB685">
        <v>58</v>
      </c>
      <c r="BC685">
        <v>67</v>
      </c>
      <c r="BD685" t="s">
        <v>74</v>
      </c>
      <c r="BE685" t="s">
        <v>74</v>
      </c>
      <c r="BF685" t="s">
        <v>74</v>
      </c>
      <c r="BG685" t="s">
        <v>74</v>
      </c>
      <c r="BH685" t="s">
        <v>74</v>
      </c>
      <c r="BI685">
        <v>10</v>
      </c>
      <c r="BJ685" t="s">
        <v>181</v>
      </c>
      <c r="BK685" t="s">
        <v>101</v>
      </c>
      <c r="BL685" t="s">
        <v>181</v>
      </c>
      <c r="BM685" t="s">
        <v>12800</v>
      </c>
      <c r="BN685" t="s">
        <v>74</v>
      </c>
      <c r="BO685" t="s">
        <v>74</v>
      </c>
      <c r="BP685" t="s">
        <v>74</v>
      </c>
      <c r="BQ685" t="s">
        <v>74</v>
      </c>
      <c r="BR685" t="s">
        <v>104</v>
      </c>
      <c r="BS685" t="s">
        <v>12801</v>
      </c>
      <c r="BT685" t="str">
        <f>HYPERLINK("https%3A%2F%2Fwww.webofscience.com%2Fwos%2Fwoscc%2Ffull-record%2FWOS:000338803000009","View Full Record in Web of Science")</f>
        <v>View Full Record in Web of Science</v>
      </c>
    </row>
    <row r="686" spans="1:72" x14ac:dyDescent="0.15">
      <c r="A686" t="s">
        <v>8774</v>
      </c>
      <c r="B686" t="s">
        <v>12802</v>
      </c>
      <c r="C686" t="s">
        <v>74</v>
      </c>
      <c r="D686" t="s">
        <v>12803</v>
      </c>
      <c r="E686" t="s">
        <v>74</v>
      </c>
      <c r="F686" t="s">
        <v>12804</v>
      </c>
      <c r="G686" t="s">
        <v>74</v>
      </c>
      <c r="H686" t="s">
        <v>74</v>
      </c>
      <c r="I686" t="s">
        <v>12805</v>
      </c>
      <c r="J686" t="s">
        <v>12806</v>
      </c>
      <c r="K686" t="s">
        <v>9049</v>
      </c>
      <c r="L686" t="s">
        <v>74</v>
      </c>
      <c r="M686" t="s">
        <v>78</v>
      </c>
      <c r="N686" t="s">
        <v>8781</v>
      </c>
      <c r="O686" t="s">
        <v>12807</v>
      </c>
      <c r="P686" t="s">
        <v>12808</v>
      </c>
      <c r="Q686" t="s">
        <v>12809</v>
      </c>
      <c r="R686" t="s">
        <v>74</v>
      </c>
      <c r="S686" t="s">
        <v>12810</v>
      </c>
      <c r="T686" t="s">
        <v>12811</v>
      </c>
      <c r="U686" t="s">
        <v>12812</v>
      </c>
      <c r="V686" t="s">
        <v>12813</v>
      </c>
      <c r="W686" t="s">
        <v>12814</v>
      </c>
      <c r="X686" t="s">
        <v>12815</v>
      </c>
      <c r="Y686" t="s">
        <v>12816</v>
      </c>
      <c r="Z686" t="s">
        <v>12817</v>
      </c>
      <c r="AA686" t="s">
        <v>12818</v>
      </c>
      <c r="AB686" t="s">
        <v>74</v>
      </c>
      <c r="AC686" t="s">
        <v>74</v>
      </c>
      <c r="AD686" t="s">
        <v>74</v>
      </c>
      <c r="AE686" t="s">
        <v>74</v>
      </c>
      <c r="AF686" t="s">
        <v>74</v>
      </c>
      <c r="AG686">
        <v>24</v>
      </c>
      <c r="AH686">
        <v>0</v>
      </c>
      <c r="AI686">
        <v>0</v>
      </c>
      <c r="AJ686">
        <v>2</v>
      </c>
      <c r="AK686">
        <v>17</v>
      </c>
      <c r="AL686" t="s">
        <v>9059</v>
      </c>
      <c r="AM686" t="s">
        <v>8092</v>
      </c>
      <c r="AN686" t="s">
        <v>9060</v>
      </c>
      <c r="AO686" t="s">
        <v>9061</v>
      </c>
      <c r="AP686" t="s">
        <v>74</v>
      </c>
      <c r="AQ686" t="s">
        <v>12819</v>
      </c>
      <c r="AR686" t="s">
        <v>9063</v>
      </c>
      <c r="AS686" t="s">
        <v>74</v>
      </c>
      <c r="AT686" t="s">
        <v>74</v>
      </c>
      <c r="AU686">
        <v>2014</v>
      </c>
      <c r="AV686">
        <v>9158</v>
      </c>
      <c r="AW686" t="s">
        <v>74</v>
      </c>
      <c r="AX686" t="s">
        <v>74</v>
      </c>
      <c r="AY686" t="s">
        <v>74</v>
      </c>
      <c r="AZ686" t="s">
        <v>74</v>
      </c>
      <c r="BA686" t="s">
        <v>74</v>
      </c>
      <c r="BB686" t="s">
        <v>74</v>
      </c>
      <c r="BC686" t="s">
        <v>74</v>
      </c>
      <c r="BD686" t="s">
        <v>12820</v>
      </c>
      <c r="BE686" t="s">
        <v>12821</v>
      </c>
      <c r="BF686" t="str">
        <f>HYPERLINK("http://dx.doi.org/10.1117/12.2063869","http://dx.doi.org/10.1117/12.2063869")</f>
        <v>http://dx.doi.org/10.1117/12.2063869</v>
      </c>
      <c r="BG686" t="s">
        <v>74</v>
      </c>
      <c r="BH686" t="s">
        <v>74</v>
      </c>
      <c r="BI686">
        <v>8</v>
      </c>
      <c r="BJ686" t="s">
        <v>12822</v>
      </c>
      <c r="BK686" t="s">
        <v>8799</v>
      </c>
      <c r="BL686" t="s">
        <v>12823</v>
      </c>
      <c r="BM686" t="s">
        <v>12824</v>
      </c>
      <c r="BN686" t="s">
        <v>74</v>
      </c>
      <c r="BO686" t="s">
        <v>74</v>
      </c>
      <c r="BP686" t="s">
        <v>74</v>
      </c>
      <c r="BQ686" t="s">
        <v>74</v>
      </c>
      <c r="BR686" t="s">
        <v>104</v>
      </c>
      <c r="BS686" t="s">
        <v>12825</v>
      </c>
      <c r="BT686" t="str">
        <f>HYPERLINK("https%3A%2F%2Fwww.webofscience.com%2Fwos%2Fwoscc%2Ffull-record%2FWOS:000338580600020","View Full Record in Web of Science")</f>
        <v>View Full Record in Web of Science</v>
      </c>
    </row>
    <row r="687" spans="1:72" x14ac:dyDescent="0.15">
      <c r="A687" t="s">
        <v>72</v>
      </c>
      <c r="B687" t="s">
        <v>12826</v>
      </c>
      <c r="C687" t="s">
        <v>74</v>
      </c>
      <c r="D687" t="s">
        <v>74</v>
      </c>
      <c r="E687" t="s">
        <v>74</v>
      </c>
      <c r="F687" t="s">
        <v>12827</v>
      </c>
      <c r="G687" t="s">
        <v>74</v>
      </c>
      <c r="H687" t="s">
        <v>74</v>
      </c>
      <c r="I687" t="s">
        <v>12828</v>
      </c>
      <c r="J687" t="s">
        <v>11305</v>
      </c>
      <c r="K687" t="s">
        <v>74</v>
      </c>
      <c r="L687" t="s">
        <v>74</v>
      </c>
      <c r="M687" t="s">
        <v>78</v>
      </c>
      <c r="N687" t="s">
        <v>79</v>
      </c>
      <c r="O687" t="s">
        <v>74</v>
      </c>
      <c r="P687" t="s">
        <v>74</v>
      </c>
      <c r="Q687" t="s">
        <v>74</v>
      </c>
      <c r="R687" t="s">
        <v>74</v>
      </c>
      <c r="S687" t="s">
        <v>74</v>
      </c>
      <c r="T687" t="s">
        <v>74</v>
      </c>
      <c r="U687" t="s">
        <v>12829</v>
      </c>
      <c r="V687" t="s">
        <v>12830</v>
      </c>
      <c r="W687" t="s">
        <v>12831</v>
      </c>
      <c r="X687" t="s">
        <v>12832</v>
      </c>
      <c r="Y687" t="s">
        <v>12833</v>
      </c>
      <c r="Z687" t="s">
        <v>12834</v>
      </c>
      <c r="AA687" t="s">
        <v>12835</v>
      </c>
      <c r="AB687" t="s">
        <v>12836</v>
      </c>
      <c r="AC687" t="s">
        <v>12837</v>
      </c>
      <c r="AD687" t="s">
        <v>12838</v>
      </c>
      <c r="AE687" t="s">
        <v>12839</v>
      </c>
      <c r="AF687" t="s">
        <v>74</v>
      </c>
      <c r="AG687">
        <v>132</v>
      </c>
      <c r="AH687">
        <v>12</v>
      </c>
      <c r="AI687">
        <v>13</v>
      </c>
      <c r="AJ687">
        <v>1</v>
      </c>
      <c r="AK687">
        <v>29</v>
      </c>
      <c r="AL687" t="s">
        <v>1463</v>
      </c>
      <c r="AM687" t="s">
        <v>1464</v>
      </c>
      <c r="AN687" t="s">
        <v>1465</v>
      </c>
      <c r="AO687" t="s">
        <v>11316</v>
      </c>
      <c r="AP687" t="s">
        <v>11317</v>
      </c>
      <c r="AQ687" t="s">
        <v>74</v>
      </c>
      <c r="AR687" t="s">
        <v>11305</v>
      </c>
      <c r="AS687" t="s">
        <v>11318</v>
      </c>
      <c r="AT687" t="s">
        <v>74</v>
      </c>
      <c r="AU687">
        <v>2014</v>
      </c>
      <c r="AV687">
        <v>11</v>
      </c>
      <c r="AW687">
        <v>12</v>
      </c>
      <c r="AX687" t="s">
        <v>74</v>
      </c>
      <c r="AY687" t="s">
        <v>74</v>
      </c>
      <c r="AZ687" t="s">
        <v>74</v>
      </c>
      <c r="BA687" t="s">
        <v>74</v>
      </c>
      <c r="BB687">
        <v>3279</v>
      </c>
      <c r="BC687">
        <v>3297</v>
      </c>
      <c r="BD687" t="s">
        <v>74</v>
      </c>
      <c r="BE687" t="s">
        <v>12840</v>
      </c>
      <c r="BF687" t="str">
        <f>HYPERLINK("http://dx.doi.org/10.5194/bg-11-3279-2014","http://dx.doi.org/10.5194/bg-11-3279-2014")</f>
        <v>http://dx.doi.org/10.5194/bg-11-3279-2014</v>
      </c>
      <c r="BG687" t="s">
        <v>74</v>
      </c>
      <c r="BH687" t="s">
        <v>74</v>
      </c>
      <c r="BI687">
        <v>19</v>
      </c>
      <c r="BJ687" t="s">
        <v>2923</v>
      </c>
      <c r="BK687" t="s">
        <v>101</v>
      </c>
      <c r="BL687" t="s">
        <v>357</v>
      </c>
      <c r="BM687" t="s">
        <v>12841</v>
      </c>
      <c r="BN687" t="s">
        <v>74</v>
      </c>
      <c r="BO687" t="s">
        <v>6156</v>
      </c>
      <c r="BP687" t="s">
        <v>74</v>
      </c>
      <c r="BQ687" t="s">
        <v>74</v>
      </c>
      <c r="BR687" t="s">
        <v>104</v>
      </c>
      <c r="BS687" t="s">
        <v>12842</v>
      </c>
      <c r="BT687" t="str">
        <f>HYPERLINK("https%3A%2F%2Fwww.webofscience.com%2Fwos%2Fwoscc%2Ffull-record%2FWOS:000338761200012","View Full Record in Web of Science")</f>
        <v>View Full Record in Web of Science</v>
      </c>
    </row>
    <row r="688" spans="1:72" x14ac:dyDescent="0.15">
      <c r="A688" t="s">
        <v>72</v>
      </c>
      <c r="B688" t="s">
        <v>12843</v>
      </c>
      <c r="C688" t="s">
        <v>74</v>
      </c>
      <c r="D688" t="s">
        <v>74</v>
      </c>
      <c r="E688" t="s">
        <v>74</v>
      </c>
      <c r="F688" t="s">
        <v>12844</v>
      </c>
      <c r="G688" t="s">
        <v>74</v>
      </c>
      <c r="H688" t="s">
        <v>74</v>
      </c>
      <c r="I688" t="s">
        <v>12845</v>
      </c>
      <c r="J688" t="s">
        <v>11305</v>
      </c>
      <c r="K688" t="s">
        <v>74</v>
      </c>
      <c r="L688" t="s">
        <v>74</v>
      </c>
      <c r="M688" t="s">
        <v>78</v>
      </c>
      <c r="N688" t="s">
        <v>933</v>
      </c>
      <c r="O688" t="s">
        <v>74</v>
      </c>
      <c r="P688" t="s">
        <v>74</v>
      </c>
      <c r="Q688" t="s">
        <v>74</v>
      </c>
      <c r="R688" t="s">
        <v>74</v>
      </c>
      <c r="S688" t="s">
        <v>74</v>
      </c>
      <c r="T688" t="s">
        <v>74</v>
      </c>
      <c r="U688" t="s">
        <v>12846</v>
      </c>
      <c r="V688" t="s">
        <v>12847</v>
      </c>
      <c r="W688" t="s">
        <v>12848</v>
      </c>
      <c r="X688" t="s">
        <v>12849</v>
      </c>
      <c r="Y688" t="s">
        <v>12850</v>
      </c>
      <c r="Z688" t="s">
        <v>12851</v>
      </c>
      <c r="AA688" t="s">
        <v>12852</v>
      </c>
      <c r="AB688" t="s">
        <v>12853</v>
      </c>
      <c r="AC688" t="s">
        <v>12854</v>
      </c>
      <c r="AD688" t="s">
        <v>12855</v>
      </c>
      <c r="AE688" t="s">
        <v>12856</v>
      </c>
      <c r="AF688" t="s">
        <v>74</v>
      </c>
      <c r="AG688">
        <v>141</v>
      </c>
      <c r="AH688">
        <v>20</v>
      </c>
      <c r="AI688">
        <v>21</v>
      </c>
      <c r="AJ688">
        <v>2</v>
      </c>
      <c r="AK688">
        <v>49</v>
      </c>
      <c r="AL688" t="s">
        <v>1463</v>
      </c>
      <c r="AM688" t="s">
        <v>1464</v>
      </c>
      <c r="AN688" t="s">
        <v>1465</v>
      </c>
      <c r="AO688" t="s">
        <v>11316</v>
      </c>
      <c r="AP688" t="s">
        <v>11317</v>
      </c>
      <c r="AQ688" t="s">
        <v>74</v>
      </c>
      <c r="AR688" t="s">
        <v>11305</v>
      </c>
      <c r="AS688" t="s">
        <v>11318</v>
      </c>
      <c r="AT688" t="s">
        <v>74</v>
      </c>
      <c r="AU688">
        <v>2014</v>
      </c>
      <c r="AV688">
        <v>11</v>
      </c>
      <c r="AW688">
        <v>12</v>
      </c>
      <c r="AX688" t="s">
        <v>74</v>
      </c>
      <c r="AY688" t="s">
        <v>74</v>
      </c>
      <c r="AZ688" t="s">
        <v>74</v>
      </c>
      <c r="BA688" t="s">
        <v>74</v>
      </c>
      <c r="BB688">
        <v>3309</v>
      </c>
      <c r="BC688">
        <v>3322</v>
      </c>
      <c r="BD688" t="s">
        <v>74</v>
      </c>
      <c r="BE688" t="s">
        <v>12857</v>
      </c>
      <c r="BF688" t="str">
        <f>HYPERLINK("http://dx.doi.org/10.5194/bg-11-3309-2014","http://dx.doi.org/10.5194/bg-11-3309-2014")</f>
        <v>http://dx.doi.org/10.5194/bg-11-3309-2014</v>
      </c>
      <c r="BG688" t="s">
        <v>74</v>
      </c>
      <c r="BH688" t="s">
        <v>74</v>
      </c>
      <c r="BI688">
        <v>14</v>
      </c>
      <c r="BJ688" t="s">
        <v>2923</v>
      </c>
      <c r="BK688" t="s">
        <v>101</v>
      </c>
      <c r="BL688" t="s">
        <v>357</v>
      </c>
      <c r="BM688" t="s">
        <v>12841</v>
      </c>
      <c r="BN688" t="s">
        <v>74</v>
      </c>
      <c r="BO688" t="s">
        <v>9228</v>
      </c>
      <c r="BP688" t="s">
        <v>74</v>
      </c>
      <c r="BQ688" t="s">
        <v>74</v>
      </c>
      <c r="BR688" t="s">
        <v>104</v>
      </c>
      <c r="BS688" t="s">
        <v>12858</v>
      </c>
      <c r="BT688" t="str">
        <f>HYPERLINK("https%3A%2F%2Fwww.webofscience.com%2Fwos%2Fwoscc%2Ffull-record%2FWOS:000338761200015","View Full Record in Web of Science")</f>
        <v>View Full Record in Web of Science</v>
      </c>
    </row>
    <row r="689" spans="1:72" x14ac:dyDescent="0.15">
      <c r="A689" t="s">
        <v>72</v>
      </c>
      <c r="B689" t="s">
        <v>12859</v>
      </c>
      <c r="C689" t="s">
        <v>74</v>
      </c>
      <c r="D689" t="s">
        <v>74</v>
      </c>
      <c r="E689" t="s">
        <v>74</v>
      </c>
      <c r="F689" t="s">
        <v>12860</v>
      </c>
      <c r="G689" t="s">
        <v>74</v>
      </c>
      <c r="H689" t="s">
        <v>74</v>
      </c>
      <c r="I689" t="s">
        <v>12861</v>
      </c>
      <c r="J689" t="s">
        <v>10325</v>
      </c>
      <c r="K689" t="s">
        <v>74</v>
      </c>
      <c r="L689" t="s">
        <v>74</v>
      </c>
      <c r="M689" t="s">
        <v>78</v>
      </c>
      <c r="N689" t="s">
        <v>79</v>
      </c>
      <c r="O689" t="s">
        <v>74</v>
      </c>
      <c r="P689" t="s">
        <v>74</v>
      </c>
      <c r="Q689" t="s">
        <v>74</v>
      </c>
      <c r="R689" t="s">
        <v>74</v>
      </c>
      <c r="S689" t="s">
        <v>74</v>
      </c>
      <c r="T689" t="s">
        <v>74</v>
      </c>
      <c r="U689" t="s">
        <v>12862</v>
      </c>
      <c r="V689" t="s">
        <v>12863</v>
      </c>
      <c r="W689" t="s">
        <v>12864</v>
      </c>
      <c r="X689" t="s">
        <v>12865</v>
      </c>
      <c r="Y689" t="s">
        <v>12866</v>
      </c>
      <c r="Z689" t="s">
        <v>12867</v>
      </c>
      <c r="AA689" t="s">
        <v>12868</v>
      </c>
      <c r="AB689" t="s">
        <v>12869</v>
      </c>
      <c r="AC689" t="s">
        <v>12870</v>
      </c>
      <c r="AD689" t="s">
        <v>12871</v>
      </c>
      <c r="AE689" t="s">
        <v>12872</v>
      </c>
      <c r="AF689" t="s">
        <v>74</v>
      </c>
      <c r="AG689">
        <v>71</v>
      </c>
      <c r="AH689">
        <v>39</v>
      </c>
      <c r="AI689">
        <v>41</v>
      </c>
      <c r="AJ689">
        <v>0</v>
      </c>
      <c r="AK689">
        <v>36</v>
      </c>
      <c r="AL689" t="s">
        <v>1463</v>
      </c>
      <c r="AM689" t="s">
        <v>1464</v>
      </c>
      <c r="AN689" t="s">
        <v>1465</v>
      </c>
      <c r="AO689" t="s">
        <v>10336</v>
      </c>
      <c r="AP689" t="s">
        <v>10337</v>
      </c>
      <c r="AQ689" t="s">
        <v>74</v>
      </c>
      <c r="AR689" t="s">
        <v>10338</v>
      </c>
      <c r="AS689" t="s">
        <v>10339</v>
      </c>
      <c r="AT689" t="s">
        <v>74</v>
      </c>
      <c r="AU689">
        <v>2014</v>
      </c>
      <c r="AV689">
        <v>10</v>
      </c>
      <c r="AW689">
        <v>3</v>
      </c>
      <c r="AX689" t="s">
        <v>74</v>
      </c>
      <c r="AY689" t="s">
        <v>74</v>
      </c>
      <c r="AZ689" t="s">
        <v>74</v>
      </c>
      <c r="BA689" t="s">
        <v>74</v>
      </c>
      <c r="BB689">
        <v>1017</v>
      </c>
      <c r="BC689">
        <v>1039</v>
      </c>
      <c r="BD689" t="s">
        <v>74</v>
      </c>
      <c r="BE689" t="s">
        <v>12873</v>
      </c>
      <c r="BF689" t="str">
        <f>HYPERLINK("http://dx.doi.org/10.5194/cp-10-1017-2014","http://dx.doi.org/10.5194/cp-10-1017-2014")</f>
        <v>http://dx.doi.org/10.5194/cp-10-1017-2014</v>
      </c>
      <c r="BG689" t="s">
        <v>74</v>
      </c>
      <c r="BH689" t="s">
        <v>74</v>
      </c>
      <c r="BI689">
        <v>23</v>
      </c>
      <c r="BJ689" t="s">
        <v>9225</v>
      </c>
      <c r="BK689" t="s">
        <v>101</v>
      </c>
      <c r="BL689" t="s">
        <v>9226</v>
      </c>
      <c r="BM689" t="s">
        <v>12874</v>
      </c>
      <c r="BN689" t="s">
        <v>74</v>
      </c>
      <c r="BO689" t="s">
        <v>9228</v>
      </c>
      <c r="BP689" t="s">
        <v>74</v>
      </c>
      <c r="BQ689" t="s">
        <v>74</v>
      </c>
      <c r="BR689" t="s">
        <v>104</v>
      </c>
      <c r="BS689" t="s">
        <v>12875</v>
      </c>
      <c r="BT689" t="str">
        <f>HYPERLINK("https%3A%2F%2Fwww.webofscience.com%2Fwos%2Fwoscc%2Ffull-record%2FWOS:000338761600007","View Full Record in Web of Science")</f>
        <v>View Full Record in Web of Science</v>
      </c>
    </row>
    <row r="690" spans="1:72" x14ac:dyDescent="0.15">
      <c r="A690" t="s">
        <v>72</v>
      </c>
      <c r="B690" t="s">
        <v>12876</v>
      </c>
      <c r="C690" t="s">
        <v>74</v>
      </c>
      <c r="D690" t="s">
        <v>74</v>
      </c>
      <c r="E690" t="s">
        <v>74</v>
      </c>
      <c r="F690" t="s">
        <v>12877</v>
      </c>
      <c r="G690" t="s">
        <v>74</v>
      </c>
      <c r="H690" t="s">
        <v>74</v>
      </c>
      <c r="I690" t="s">
        <v>12878</v>
      </c>
      <c r="J690" t="s">
        <v>10325</v>
      </c>
      <c r="K690" t="s">
        <v>74</v>
      </c>
      <c r="L690" t="s">
        <v>74</v>
      </c>
      <c r="M690" t="s">
        <v>78</v>
      </c>
      <c r="N690" t="s">
        <v>79</v>
      </c>
      <c r="O690" t="s">
        <v>74</v>
      </c>
      <c r="P690" t="s">
        <v>74</v>
      </c>
      <c r="Q690" t="s">
        <v>74</v>
      </c>
      <c r="R690" t="s">
        <v>74</v>
      </c>
      <c r="S690" t="s">
        <v>74</v>
      </c>
      <c r="T690" t="s">
        <v>74</v>
      </c>
      <c r="U690" t="s">
        <v>12879</v>
      </c>
      <c r="V690" t="s">
        <v>12880</v>
      </c>
      <c r="W690" t="s">
        <v>12881</v>
      </c>
      <c r="X690" t="s">
        <v>12882</v>
      </c>
      <c r="Y690" t="s">
        <v>12883</v>
      </c>
      <c r="Z690" t="s">
        <v>12884</v>
      </c>
      <c r="AA690" t="s">
        <v>12885</v>
      </c>
      <c r="AB690" t="s">
        <v>12886</v>
      </c>
      <c r="AC690" t="s">
        <v>12887</v>
      </c>
      <c r="AD690" t="s">
        <v>12888</v>
      </c>
      <c r="AE690" t="s">
        <v>12889</v>
      </c>
      <c r="AF690" t="s">
        <v>74</v>
      </c>
      <c r="AG690">
        <v>65</v>
      </c>
      <c r="AH690">
        <v>8</v>
      </c>
      <c r="AI690">
        <v>8</v>
      </c>
      <c r="AJ690">
        <v>0</v>
      </c>
      <c r="AK690">
        <v>15</v>
      </c>
      <c r="AL690" t="s">
        <v>1463</v>
      </c>
      <c r="AM690" t="s">
        <v>1464</v>
      </c>
      <c r="AN690" t="s">
        <v>1465</v>
      </c>
      <c r="AO690" t="s">
        <v>10336</v>
      </c>
      <c r="AP690" t="s">
        <v>10337</v>
      </c>
      <c r="AQ690" t="s">
        <v>74</v>
      </c>
      <c r="AR690" t="s">
        <v>10338</v>
      </c>
      <c r="AS690" t="s">
        <v>10339</v>
      </c>
      <c r="AT690" t="s">
        <v>74</v>
      </c>
      <c r="AU690">
        <v>2014</v>
      </c>
      <c r="AV690">
        <v>10</v>
      </c>
      <c r="AW690">
        <v>3</v>
      </c>
      <c r="AX690" t="s">
        <v>74</v>
      </c>
      <c r="AY690" t="s">
        <v>74</v>
      </c>
      <c r="AZ690" t="s">
        <v>74</v>
      </c>
      <c r="BA690" t="s">
        <v>74</v>
      </c>
      <c r="BB690">
        <v>1109</v>
      </c>
      <c r="BC690">
        <v>1123</v>
      </c>
      <c r="BD690" t="s">
        <v>74</v>
      </c>
      <c r="BE690" t="s">
        <v>12890</v>
      </c>
      <c r="BF690" t="str">
        <f>HYPERLINK("http://dx.doi.org/10.5194/cp-10-1109-2014","http://dx.doi.org/10.5194/cp-10-1109-2014")</f>
        <v>http://dx.doi.org/10.5194/cp-10-1109-2014</v>
      </c>
      <c r="BG690" t="s">
        <v>74</v>
      </c>
      <c r="BH690" t="s">
        <v>74</v>
      </c>
      <c r="BI690">
        <v>15</v>
      </c>
      <c r="BJ690" t="s">
        <v>9225</v>
      </c>
      <c r="BK690" t="s">
        <v>101</v>
      </c>
      <c r="BL690" t="s">
        <v>9226</v>
      </c>
      <c r="BM690" t="s">
        <v>12874</v>
      </c>
      <c r="BN690" t="s">
        <v>74</v>
      </c>
      <c r="BO690" t="s">
        <v>9228</v>
      </c>
      <c r="BP690" t="s">
        <v>74</v>
      </c>
      <c r="BQ690" t="s">
        <v>74</v>
      </c>
      <c r="BR690" t="s">
        <v>104</v>
      </c>
      <c r="BS690" t="s">
        <v>12891</v>
      </c>
      <c r="BT690" t="str">
        <f>HYPERLINK("https%3A%2F%2Fwww.webofscience.com%2Fwos%2Fwoscc%2Ffull-record%2FWOS:000338761600012","View Full Record in Web of Science")</f>
        <v>View Full Record in Web of Science</v>
      </c>
    </row>
    <row r="691" spans="1:72" x14ac:dyDescent="0.15">
      <c r="A691" t="s">
        <v>72</v>
      </c>
      <c r="B691" t="s">
        <v>12892</v>
      </c>
      <c r="C691" t="s">
        <v>74</v>
      </c>
      <c r="D691" t="s">
        <v>74</v>
      </c>
      <c r="E691" t="s">
        <v>74</v>
      </c>
      <c r="F691" t="s">
        <v>12893</v>
      </c>
      <c r="G691" t="s">
        <v>74</v>
      </c>
      <c r="H691" t="s">
        <v>74</v>
      </c>
      <c r="I691" t="s">
        <v>12894</v>
      </c>
      <c r="J691" t="s">
        <v>10325</v>
      </c>
      <c r="K691" t="s">
        <v>74</v>
      </c>
      <c r="L691" t="s">
        <v>74</v>
      </c>
      <c r="M691" t="s">
        <v>78</v>
      </c>
      <c r="N691" t="s">
        <v>79</v>
      </c>
      <c r="O691" t="s">
        <v>74</v>
      </c>
      <c r="P691" t="s">
        <v>74</v>
      </c>
      <c r="Q691" t="s">
        <v>74</v>
      </c>
      <c r="R691" t="s">
        <v>74</v>
      </c>
      <c r="S691" t="s">
        <v>74</v>
      </c>
      <c r="T691" t="s">
        <v>74</v>
      </c>
      <c r="U691" t="s">
        <v>12895</v>
      </c>
      <c r="V691" t="s">
        <v>12896</v>
      </c>
      <c r="W691" t="s">
        <v>12897</v>
      </c>
      <c r="X691" t="s">
        <v>11531</v>
      </c>
      <c r="Y691" t="s">
        <v>12898</v>
      </c>
      <c r="Z691" t="s">
        <v>12899</v>
      </c>
      <c r="AA691" t="s">
        <v>12900</v>
      </c>
      <c r="AB691" t="s">
        <v>12901</v>
      </c>
      <c r="AC691" t="s">
        <v>12902</v>
      </c>
      <c r="AD691" t="s">
        <v>12903</v>
      </c>
      <c r="AE691" t="s">
        <v>12904</v>
      </c>
      <c r="AF691" t="s">
        <v>74</v>
      </c>
      <c r="AG691">
        <v>59</v>
      </c>
      <c r="AH691">
        <v>6</v>
      </c>
      <c r="AI691">
        <v>6</v>
      </c>
      <c r="AJ691">
        <v>0</v>
      </c>
      <c r="AK691">
        <v>15</v>
      </c>
      <c r="AL691" t="s">
        <v>1463</v>
      </c>
      <c r="AM691" t="s">
        <v>1464</v>
      </c>
      <c r="AN691" t="s">
        <v>1465</v>
      </c>
      <c r="AO691" t="s">
        <v>10336</v>
      </c>
      <c r="AP691" t="s">
        <v>10337</v>
      </c>
      <c r="AQ691" t="s">
        <v>74</v>
      </c>
      <c r="AR691" t="s">
        <v>10338</v>
      </c>
      <c r="AS691" t="s">
        <v>10339</v>
      </c>
      <c r="AT691" t="s">
        <v>74</v>
      </c>
      <c r="AU691">
        <v>2014</v>
      </c>
      <c r="AV691">
        <v>10</v>
      </c>
      <c r="AW691">
        <v>3</v>
      </c>
      <c r="AX691" t="s">
        <v>74</v>
      </c>
      <c r="AY691" t="s">
        <v>74</v>
      </c>
      <c r="AZ691" t="s">
        <v>74</v>
      </c>
      <c r="BA691" t="s">
        <v>74</v>
      </c>
      <c r="BB691">
        <v>1183</v>
      </c>
      <c r="BC691">
        <v>1194</v>
      </c>
      <c r="BD691" t="s">
        <v>74</v>
      </c>
      <c r="BE691" t="s">
        <v>12905</v>
      </c>
      <c r="BF691" t="str">
        <f>HYPERLINK("http://dx.doi.org/10.5194/cp-10-1183-2014","http://dx.doi.org/10.5194/cp-10-1183-2014")</f>
        <v>http://dx.doi.org/10.5194/cp-10-1183-2014</v>
      </c>
      <c r="BG691" t="s">
        <v>74</v>
      </c>
      <c r="BH691" t="s">
        <v>74</v>
      </c>
      <c r="BI691">
        <v>12</v>
      </c>
      <c r="BJ691" t="s">
        <v>9225</v>
      </c>
      <c r="BK691" t="s">
        <v>101</v>
      </c>
      <c r="BL691" t="s">
        <v>9226</v>
      </c>
      <c r="BM691" t="s">
        <v>12874</v>
      </c>
      <c r="BN691" t="s">
        <v>74</v>
      </c>
      <c r="BO691" t="s">
        <v>2178</v>
      </c>
      <c r="BP691" t="s">
        <v>74</v>
      </c>
      <c r="BQ691" t="s">
        <v>74</v>
      </c>
      <c r="BR691" t="s">
        <v>104</v>
      </c>
      <c r="BS691" t="s">
        <v>12906</v>
      </c>
      <c r="BT691" t="str">
        <f>HYPERLINK("https%3A%2F%2Fwww.webofscience.com%2Fwos%2Fwoscc%2Ffull-record%2FWOS:000338761600016","View Full Record in Web of Science")</f>
        <v>View Full Record in Web of Science</v>
      </c>
    </row>
    <row r="692" spans="1:72" x14ac:dyDescent="0.15">
      <c r="A692" t="s">
        <v>72</v>
      </c>
      <c r="B692" t="s">
        <v>12907</v>
      </c>
      <c r="C692" t="s">
        <v>74</v>
      </c>
      <c r="D692" t="s">
        <v>74</v>
      </c>
      <c r="E692" t="s">
        <v>74</v>
      </c>
      <c r="F692" t="s">
        <v>12908</v>
      </c>
      <c r="G692" t="s">
        <v>74</v>
      </c>
      <c r="H692" t="s">
        <v>74</v>
      </c>
      <c r="I692" t="s">
        <v>12909</v>
      </c>
      <c r="J692" t="s">
        <v>10325</v>
      </c>
      <c r="K692" t="s">
        <v>74</v>
      </c>
      <c r="L692" t="s">
        <v>74</v>
      </c>
      <c r="M692" t="s">
        <v>78</v>
      </c>
      <c r="N692" t="s">
        <v>79</v>
      </c>
      <c r="O692" t="s">
        <v>74</v>
      </c>
      <c r="P692" t="s">
        <v>74</v>
      </c>
      <c r="Q692" t="s">
        <v>74</v>
      </c>
      <c r="R692" t="s">
        <v>74</v>
      </c>
      <c r="S692" t="s">
        <v>74</v>
      </c>
      <c r="T692" t="s">
        <v>74</v>
      </c>
      <c r="U692" t="s">
        <v>12910</v>
      </c>
      <c r="V692" t="s">
        <v>12911</v>
      </c>
      <c r="W692" t="s">
        <v>12912</v>
      </c>
      <c r="X692" t="s">
        <v>12913</v>
      </c>
      <c r="Y692" t="s">
        <v>12590</v>
      </c>
      <c r="Z692" t="s">
        <v>12914</v>
      </c>
      <c r="AA692" t="s">
        <v>12915</v>
      </c>
      <c r="AB692" t="s">
        <v>12916</v>
      </c>
      <c r="AC692" t="s">
        <v>12917</v>
      </c>
      <c r="AD692" t="s">
        <v>12918</v>
      </c>
      <c r="AE692" t="s">
        <v>12919</v>
      </c>
      <c r="AF692" t="s">
        <v>74</v>
      </c>
      <c r="AG692">
        <v>44</v>
      </c>
      <c r="AH692">
        <v>12</v>
      </c>
      <c r="AI692">
        <v>16</v>
      </c>
      <c r="AJ692">
        <v>2</v>
      </c>
      <c r="AK692">
        <v>25</v>
      </c>
      <c r="AL692" t="s">
        <v>1463</v>
      </c>
      <c r="AM692" t="s">
        <v>1464</v>
      </c>
      <c r="AN692" t="s">
        <v>1465</v>
      </c>
      <c r="AO692" t="s">
        <v>10336</v>
      </c>
      <c r="AP692" t="s">
        <v>10337</v>
      </c>
      <c r="AQ692" t="s">
        <v>74</v>
      </c>
      <c r="AR692" t="s">
        <v>10338</v>
      </c>
      <c r="AS692" t="s">
        <v>10339</v>
      </c>
      <c r="AT692" t="s">
        <v>74</v>
      </c>
      <c r="AU692">
        <v>2014</v>
      </c>
      <c r="AV692">
        <v>10</v>
      </c>
      <c r="AW692">
        <v>3</v>
      </c>
      <c r="AX692" t="s">
        <v>74</v>
      </c>
      <c r="AY692" t="s">
        <v>74</v>
      </c>
      <c r="AZ692" t="s">
        <v>74</v>
      </c>
      <c r="BA692" t="s">
        <v>74</v>
      </c>
      <c r="BB692">
        <v>1195</v>
      </c>
      <c r="BC692">
        <v>1209</v>
      </c>
      <c r="BD692" t="s">
        <v>74</v>
      </c>
      <c r="BE692" t="s">
        <v>12920</v>
      </c>
      <c r="BF692" t="str">
        <f>HYPERLINK("http://dx.doi.org/10.5194/cp-10-1195-2014","http://dx.doi.org/10.5194/cp-10-1195-2014")</f>
        <v>http://dx.doi.org/10.5194/cp-10-1195-2014</v>
      </c>
      <c r="BG692" t="s">
        <v>74</v>
      </c>
      <c r="BH692" t="s">
        <v>74</v>
      </c>
      <c r="BI692">
        <v>15</v>
      </c>
      <c r="BJ692" t="s">
        <v>9225</v>
      </c>
      <c r="BK692" t="s">
        <v>101</v>
      </c>
      <c r="BL692" t="s">
        <v>9226</v>
      </c>
      <c r="BM692" t="s">
        <v>12874</v>
      </c>
      <c r="BN692" t="s">
        <v>74</v>
      </c>
      <c r="BO692" t="s">
        <v>9228</v>
      </c>
      <c r="BP692" t="s">
        <v>74</v>
      </c>
      <c r="BQ692" t="s">
        <v>74</v>
      </c>
      <c r="BR692" t="s">
        <v>104</v>
      </c>
      <c r="BS692" t="s">
        <v>12921</v>
      </c>
      <c r="BT692" t="str">
        <f>HYPERLINK("https%3A%2F%2Fwww.webofscience.com%2Fwos%2Fwoscc%2Ffull-record%2FWOS:000338761600017","View Full Record in Web of Science")</f>
        <v>View Full Record in Web of Science</v>
      </c>
    </row>
    <row r="693" spans="1:72" x14ac:dyDescent="0.15">
      <c r="A693" t="s">
        <v>72</v>
      </c>
      <c r="B693" t="s">
        <v>12922</v>
      </c>
      <c r="C693" t="s">
        <v>74</v>
      </c>
      <c r="D693" t="s">
        <v>74</v>
      </c>
      <c r="E693" t="s">
        <v>74</v>
      </c>
      <c r="F693" t="s">
        <v>12923</v>
      </c>
      <c r="G693" t="s">
        <v>74</v>
      </c>
      <c r="H693" t="s">
        <v>74</v>
      </c>
      <c r="I693" t="s">
        <v>12924</v>
      </c>
      <c r="J693" t="s">
        <v>10325</v>
      </c>
      <c r="K693" t="s">
        <v>74</v>
      </c>
      <c r="L693" t="s">
        <v>74</v>
      </c>
      <c r="M693" t="s">
        <v>78</v>
      </c>
      <c r="N693" t="s">
        <v>79</v>
      </c>
      <c r="O693" t="s">
        <v>74</v>
      </c>
      <c r="P693" t="s">
        <v>74</v>
      </c>
      <c r="Q693" t="s">
        <v>74</v>
      </c>
      <c r="R693" t="s">
        <v>74</v>
      </c>
      <c r="S693" t="s">
        <v>74</v>
      </c>
      <c r="T693" t="s">
        <v>74</v>
      </c>
      <c r="U693" t="s">
        <v>12925</v>
      </c>
      <c r="V693" t="s">
        <v>12926</v>
      </c>
      <c r="W693" t="s">
        <v>12927</v>
      </c>
      <c r="X693" t="s">
        <v>12928</v>
      </c>
      <c r="Y693" t="s">
        <v>12929</v>
      </c>
      <c r="Z693" t="s">
        <v>12930</v>
      </c>
      <c r="AA693" t="s">
        <v>12931</v>
      </c>
      <c r="AB693" t="s">
        <v>12932</v>
      </c>
      <c r="AC693" t="s">
        <v>12933</v>
      </c>
      <c r="AD693" t="s">
        <v>12934</v>
      </c>
      <c r="AE693" t="s">
        <v>12935</v>
      </c>
      <c r="AF693" t="s">
        <v>74</v>
      </c>
      <c r="AG693">
        <v>68</v>
      </c>
      <c r="AH693">
        <v>9</v>
      </c>
      <c r="AI693">
        <v>9</v>
      </c>
      <c r="AJ693">
        <v>0</v>
      </c>
      <c r="AK693">
        <v>19</v>
      </c>
      <c r="AL693" t="s">
        <v>1463</v>
      </c>
      <c r="AM693" t="s">
        <v>1464</v>
      </c>
      <c r="AN693" t="s">
        <v>1465</v>
      </c>
      <c r="AO693" t="s">
        <v>10336</v>
      </c>
      <c r="AP693" t="s">
        <v>10337</v>
      </c>
      <c r="AQ693" t="s">
        <v>74</v>
      </c>
      <c r="AR693" t="s">
        <v>10338</v>
      </c>
      <c r="AS693" t="s">
        <v>10339</v>
      </c>
      <c r="AT693" t="s">
        <v>74</v>
      </c>
      <c r="AU693">
        <v>2014</v>
      </c>
      <c r="AV693">
        <v>10</v>
      </c>
      <c r="AW693">
        <v>3</v>
      </c>
      <c r="AX693" t="s">
        <v>74</v>
      </c>
      <c r="AY693" t="s">
        <v>74</v>
      </c>
      <c r="AZ693" t="s">
        <v>74</v>
      </c>
      <c r="BA693" t="s">
        <v>74</v>
      </c>
      <c r="BB693">
        <v>1239</v>
      </c>
      <c r="BC693">
        <v>1251</v>
      </c>
      <c r="BD693" t="s">
        <v>74</v>
      </c>
      <c r="BE693" t="s">
        <v>12936</v>
      </c>
      <c r="BF693" t="str">
        <f>HYPERLINK("http://dx.doi.org/10.5194/cp-10-1239-2014","http://dx.doi.org/10.5194/cp-10-1239-2014")</f>
        <v>http://dx.doi.org/10.5194/cp-10-1239-2014</v>
      </c>
      <c r="BG693" t="s">
        <v>74</v>
      </c>
      <c r="BH693" t="s">
        <v>74</v>
      </c>
      <c r="BI693">
        <v>13</v>
      </c>
      <c r="BJ693" t="s">
        <v>9225</v>
      </c>
      <c r="BK693" t="s">
        <v>101</v>
      </c>
      <c r="BL693" t="s">
        <v>9226</v>
      </c>
      <c r="BM693" t="s">
        <v>12874</v>
      </c>
      <c r="BN693" t="s">
        <v>74</v>
      </c>
      <c r="BO693" t="s">
        <v>9228</v>
      </c>
      <c r="BP693" t="s">
        <v>74</v>
      </c>
      <c r="BQ693" t="s">
        <v>74</v>
      </c>
      <c r="BR693" t="s">
        <v>104</v>
      </c>
      <c r="BS693" t="s">
        <v>12937</v>
      </c>
      <c r="BT693" t="str">
        <f>HYPERLINK("https%3A%2F%2Fwww.webofscience.com%2Fwos%2Fwoscc%2Ffull-record%2FWOS:000338761600020","View Full Record in Web of Science")</f>
        <v>View Full Record in Web of Science</v>
      </c>
    </row>
    <row r="694" spans="1:72" x14ac:dyDescent="0.15">
      <c r="A694" t="s">
        <v>72</v>
      </c>
      <c r="B694" t="s">
        <v>12938</v>
      </c>
      <c r="C694" t="s">
        <v>74</v>
      </c>
      <c r="D694" t="s">
        <v>74</v>
      </c>
      <c r="E694" t="s">
        <v>74</v>
      </c>
      <c r="F694" t="s">
        <v>12939</v>
      </c>
      <c r="G694" t="s">
        <v>74</v>
      </c>
      <c r="H694" t="s">
        <v>74</v>
      </c>
      <c r="I694" t="s">
        <v>12940</v>
      </c>
      <c r="J694" t="s">
        <v>10325</v>
      </c>
      <c r="K694" t="s">
        <v>74</v>
      </c>
      <c r="L694" t="s">
        <v>74</v>
      </c>
      <c r="M694" t="s">
        <v>78</v>
      </c>
      <c r="N694" t="s">
        <v>79</v>
      </c>
      <c r="O694" t="s">
        <v>74</v>
      </c>
      <c r="P694" t="s">
        <v>74</v>
      </c>
      <c r="Q694" t="s">
        <v>74</v>
      </c>
      <c r="R694" t="s">
        <v>74</v>
      </c>
      <c r="S694" t="s">
        <v>74</v>
      </c>
      <c r="T694" t="s">
        <v>74</v>
      </c>
      <c r="U694" t="s">
        <v>12941</v>
      </c>
      <c r="V694" t="s">
        <v>12942</v>
      </c>
      <c r="W694" t="s">
        <v>12943</v>
      </c>
      <c r="X694" t="s">
        <v>12944</v>
      </c>
      <c r="Y694" t="s">
        <v>12945</v>
      </c>
      <c r="Z694" t="s">
        <v>12946</v>
      </c>
      <c r="AA694" t="s">
        <v>12947</v>
      </c>
      <c r="AB694" t="s">
        <v>12948</v>
      </c>
      <c r="AC694" t="s">
        <v>12949</v>
      </c>
      <c r="AD694" t="s">
        <v>12950</v>
      </c>
      <c r="AE694" t="s">
        <v>12951</v>
      </c>
      <c r="AF694" t="s">
        <v>74</v>
      </c>
      <c r="AG694">
        <v>39</v>
      </c>
      <c r="AH694">
        <v>5</v>
      </c>
      <c r="AI694">
        <v>5</v>
      </c>
      <c r="AJ694">
        <v>1</v>
      </c>
      <c r="AK694">
        <v>11</v>
      </c>
      <c r="AL694" t="s">
        <v>1463</v>
      </c>
      <c r="AM694" t="s">
        <v>1464</v>
      </c>
      <c r="AN694" t="s">
        <v>1465</v>
      </c>
      <c r="AO694" t="s">
        <v>10336</v>
      </c>
      <c r="AP694" t="s">
        <v>10337</v>
      </c>
      <c r="AQ694" t="s">
        <v>74</v>
      </c>
      <c r="AR694" t="s">
        <v>10338</v>
      </c>
      <c r="AS694" t="s">
        <v>10339</v>
      </c>
      <c r="AT694" t="s">
        <v>74</v>
      </c>
      <c r="AU694">
        <v>2014</v>
      </c>
      <c r="AV694">
        <v>10</v>
      </c>
      <c r="AW694">
        <v>3</v>
      </c>
      <c r="AX694" t="s">
        <v>74</v>
      </c>
      <c r="AY694" t="s">
        <v>74</v>
      </c>
      <c r="AZ694" t="s">
        <v>74</v>
      </c>
      <c r="BA694" t="s">
        <v>74</v>
      </c>
      <c r="BB694">
        <v>1253</v>
      </c>
      <c r="BC694">
        <v>1267</v>
      </c>
      <c r="BD694" t="s">
        <v>74</v>
      </c>
      <c r="BE694" t="s">
        <v>12952</v>
      </c>
      <c r="BF694" t="str">
        <f>HYPERLINK("http://dx.doi.org/10.5194/cp-10-1253-2014","http://dx.doi.org/10.5194/cp-10-1253-2014")</f>
        <v>http://dx.doi.org/10.5194/cp-10-1253-2014</v>
      </c>
      <c r="BG694" t="s">
        <v>74</v>
      </c>
      <c r="BH694" t="s">
        <v>74</v>
      </c>
      <c r="BI694">
        <v>15</v>
      </c>
      <c r="BJ694" t="s">
        <v>9225</v>
      </c>
      <c r="BK694" t="s">
        <v>101</v>
      </c>
      <c r="BL694" t="s">
        <v>9226</v>
      </c>
      <c r="BM694" t="s">
        <v>12874</v>
      </c>
      <c r="BN694" t="s">
        <v>74</v>
      </c>
      <c r="BO694" t="s">
        <v>9228</v>
      </c>
      <c r="BP694" t="s">
        <v>74</v>
      </c>
      <c r="BQ694" t="s">
        <v>74</v>
      </c>
      <c r="BR694" t="s">
        <v>104</v>
      </c>
      <c r="BS694" t="s">
        <v>12953</v>
      </c>
      <c r="BT694" t="str">
        <f>HYPERLINK("https%3A%2F%2Fwww.webofscience.com%2Fwos%2Fwoscc%2Ffull-record%2FWOS:000338761600021","View Full Record in Web of Science")</f>
        <v>View Full Record in Web of Science</v>
      </c>
    </row>
    <row r="695" spans="1:72" x14ac:dyDescent="0.15">
      <c r="A695" t="s">
        <v>72</v>
      </c>
      <c r="B695" t="s">
        <v>12954</v>
      </c>
      <c r="C695" t="s">
        <v>74</v>
      </c>
      <c r="D695" t="s">
        <v>74</v>
      </c>
      <c r="E695" t="s">
        <v>74</v>
      </c>
      <c r="F695" t="s">
        <v>12955</v>
      </c>
      <c r="G695" t="s">
        <v>74</v>
      </c>
      <c r="H695" t="s">
        <v>74</v>
      </c>
      <c r="I695" t="s">
        <v>12956</v>
      </c>
      <c r="J695" t="s">
        <v>10449</v>
      </c>
      <c r="K695" t="s">
        <v>74</v>
      </c>
      <c r="L695" t="s">
        <v>74</v>
      </c>
      <c r="M695" t="s">
        <v>78</v>
      </c>
      <c r="N695" t="s">
        <v>79</v>
      </c>
      <c r="O695" t="s">
        <v>74</v>
      </c>
      <c r="P695" t="s">
        <v>74</v>
      </c>
      <c r="Q695" t="s">
        <v>74</v>
      </c>
      <c r="R695" t="s">
        <v>74</v>
      </c>
      <c r="S695" t="s">
        <v>74</v>
      </c>
      <c r="T695" t="s">
        <v>74</v>
      </c>
      <c r="U695" t="s">
        <v>12957</v>
      </c>
      <c r="V695" t="s">
        <v>12958</v>
      </c>
      <c r="W695" t="s">
        <v>12959</v>
      </c>
      <c r="X695" t="s">
        <v>12960</v>
      </c>
      <c r="Y695" t="s">
        <v>12961</v>
      </c>
      <c r="Z695" t="s">
        <v>12962</v>
      </c>
      <c r="AA695" t="s">
        <v>12963</v>
      </c>
      <c r="AB695" t="s">
        <v>12964</v>
      </c>
      <c r="AC695" t="s">
        <v>12965</v>
      </c>
      <c r="AD695" t="s">
        <v>12966</v>
      </c>
      <c r="AE695" t="s">
        <v>12967</v>
      </c>
      <c r="AF695" t="s">
        <v>74</v>
      </c>
      <c r="AG695">
        <v>32</v>
      </c>
      <c r="AH695">
        <v>12</v>
      </c>
      <c r="AI695">
        <v>14</v>
      </c>
      <c r="AJ695">
        <v>0</v>
      </c>
      <c r="AK695">
        <v>33</v>
      </c>
      <c r="AL695" t="s">
        <v>1463</v>
      </c>
      <c r="AM695" t="s">
        <v>1464</v>
      </c>
      <c r="AN695" t="s">
        <v>1465</v>
      </c>
      <c r="AO695" t="s">
        <v>10461</v>
      </c>
      <c r="AP695" t="s">
        <v>10462</v>
      </c>
      <c r="AQ695" t="s">
        <v>74</v>
      </c>
      <c r="AR695" t="s">
        <v>10449</v>
      </c>
      <c r="AS695" t="s">
        <v>10463</v>
      </c>
      <c r="AT695" t="s">
        <v>74</v>
      </c>
      <c r="AU695">
        <v>2014</v>
      </c>
      <c r="AV695">
        <v>8</v>
      </c>
      <c r="AW695">
        <v>3</v>
      </c>
      <c r="AX695" t="s">
        <v>74</v>
      </c>
      <c r="AY695" t="s">
        <v>74</v>
      </c>
      <c r="AZ695" t="s">
        <v>74</v>
      </c>
      <c r="BA695" t="s">
        <v>74</v>
      </c>
      <c r="BB695">
        <v>843</v>
      </c>
      <c r="BC695">
        <v>851</v>
      </c>
      <c r="BD695" t="s">
        <v>74</v>
      </c>
      <c r="BE695" t="s">
        <v>12968</v>
      </c>
      <c r="BF695" t="str">
        <f>HYPERLINK("http://dx.doi.org/10.5194/tc-8-843-2014","http://dx.doi.org/10.5194/tc-8-843-2014")</f>
        <v>http://dx.doi.org/10.5194/tc-8-843-2014</v>
      </c>
      <c r="BG695" t="s">
        <v>74</v>
      </c>
      <c r="BH695" t="s">
        <v>74</v>
      </c>
      <c r="BI695">
        <v>9</v>
      </c>
      <c r="BJ695" t="s">
        <v>1415</v>
      </c>
      <c r="BK695" t="s">
        <v>101</v>
      </c>
      <c r="BL695" t="s">
        <v>1416</v>
      </c>
      <c r="BM695" t="s">
        <v>12969</v>
      </c>
      <c r="BN695" t="s">
        <v>74</v>
      </c>
      <c r="BO695" t="s">
        <v>9228</v>
      </c>
      <c r="BP695" t="s">
        <v>74</v>
      </c>
      <c r="BQ695" t="s">
        <v>74</v>
      </c>
      <c r="BR695" t="s">
        <v>104</v>
      </c>
      <c r="BS695" t="s">
        <v>12970</v>
      </c>
      <c r="BT695" t="str">
        <f>HYPERLINK("https%3A%2F%2Fwww.webofscience.com%2Fwos%2Fwoscc%2Ffull-record%2FWOS:000338655600003","View Full Record in Web of Science")</f>
        <v>View Full Record in Web of Science</v>
      </c>
    </row>
    <row r="696" spans="1:72" x14ac:dyDescent="0.15">
      <c r="A696" t="s">
        <v>72</v>
      </c>
      <c r="B696" t="s">
        <v>12971</v>
      </c>
      <c r="C696" t="s">
        <v>74</v>
      </c>
      <c r="D696" t="s">
        <v>74</v>
      </c>
      <c r="E696" t="s">
        <v>74</v>
      </c>
      <c r="F696" t="s">
        <v>12972</v>
      </c>
      <c r="G696" t="s">
        <v>74</v>
      </c>
      <c r="H696" t="s">
        <v>74</v>
      </c>
      <c r="I696" t="s">
        <v>12973</v>
      </c>
      <c r="J696" t="s">
        <v>10449</v>
      </c>
      <c r="K696" t="s">
        <v>74</v>
      </c>
      <c r="L696" t="s">
        <v>74</v>
      </c>
      <c r="M696" t="s">
        <v>78</v>
      </c>
      <c r="N696" t="s">
        <v>79</v>
      </c>
      <c r="O696" t="s">
        <v>74</v>
      </c>
      <c r="P696" t="s">
        <v>74</v>
      </c>
      <c r="Q696" t="s">
        <v>74</v>
      </c>
      <c r="R696" t="s">
        <v>74</v>
      </c>
      <c r="S696" t="s">
        <v>74</v>
      </c>
      <c r="T696" t="s">
        <v>74</v>
      </c>
      <c r="U696" t="s">
        <v>12974</v>
      </c>
      <c r="V696" t="s">
        <v>12975</v>
      </c>
      <c r="W696" t="s">
        <v>12976</v>
      </c>
      <c r="X696" t="s">
        <v>12977</v>
      </c>
      <c r="Y696" t="s">
        <v>12978</v>
      </c>
      <c r="Z696" t="s">
        <v>12979</v>
      </c>
      <c r="AA696" t="s">
        <v>12980</v>
      </c>
      <c r="AB696" t="s">
        <v>12981</v>
      </c>
      <c r="AC696" t="s">
        <v>12982</v>
      </c>
      <c r="AD696" t="s">
        <v>12982</v>
      </c>
      <c r="AE696" t="s">
        <v>12983</v>
      </c>
      <c r="AF696" t="s">
        <v>74</v>
      </c>
      <c r="AG696">
        <v>50</v>
      </c>
      <c r="AH696">
        <v>24</v>
      </c>
      <c r="AI696">
        <v>27</v>
      </c>
      <c r="AJ696">
        <v>0</v>
      </c>
      <c r="AK696">
        <v>14</v>
      </c>
      <c r="AL696" t="s">
        <v>1463</v>
      </c>
      <c r="AM696" t="s">
        <v>1464</v>
      </c>
      <c r="AN696" t="s">
        <v>1465</v>
      </c>
      <c r="AO696" t="s">
        <v>10461</v>
      </c>
      <c r="AP696" t="s">
        <v>10462</v>
      </c>
      <c r="AQ696" t="s">
        <v>74</v>
      </c>
      <c r="AR696" t="s">
        <v>10449</v>
      </c>
      <c r="AS696" t="s">
        <v>10463</v>
      </c>
      <c r="AT696" t="s">
        <v>74</v>
      </c>
      <c r="AU696">
        <v>2014</v>
      </c>
      <c r="AV696">
        <v>8</v>
      </c>
      <c r="AW696">
        <v>3</v>
      </c>
      <c r="AX696" t="s">
        <v>74</v>
      </c>
      <c r="AY696" t="s">
        <v>74</v>
      </c>
      <c r="AZ696" t="s">
        <v>74</v>
      </c>
      <c r="BA696" t="s">
        <v>74</v>
      </c>
      <c r="BB696">
        <v>915</v>
      </c>
      <c r="BC696">
        <v>930</v>
      </c>
      <c r="BD696" t="s">
        <v>74</v>
      </c>
      <c r="BE696" t="s">
        <v>12984</v>
      </c>
      <c r="BF696" t="str">
        <f>HYPERLINK("http://dx.doi.org/10.5194/tc-8-915-2014","http://dx.doi.org/10.5194/tc-8-915-2014")</f>
        <v>http://dx.doi.org/10.5194/tc-8-915-2014</v>
      </c>
      <c r="BG696" t="s">
        <v>74</v>
      </c>
      <c r="BH696" t="s">
        <v>74</v>
      </c>
      <c r="BI696">
        <v>16</v>
      </c>
      <c r="BJ696" t="s">
        <v>1415</v>
      </c>
      <c r="BK696" t="s">
        <v>101</v>
      </c>
      <c r="BL696" t="s">
        <v>1416</v>
      </c>
      <c r="BM696" t="s">
        <v>12969</v>
      </c>
      <c r="BN696" t="s">
        <v>74</v>
      </c>
      <c r="BO696" t="s">
        <v>9228</v>
      </c>
      <c r="BP696" t="s">
        <v>74</v>
      </c>
      <c r="BQ696" t="s">
        <v>74</v>
      </c>
      <c r="BR696" t="s">
        <v>104</v>
      </c>
      <c r="BS696" t="s">
        <v>12985</v>
      </c>
      <c r="BT696" t="str">
        <f>HYPERLINK("https%3A%2F%2Fwww.webofscience.com%2Fwos%2Fwoscc%2Ffull-record%2FWOS:000338655600009","View Full Record in Web of Science")</f>
        <v>View Full Record in Web of Science</v>
      </c>
    </row>
    <row r="697" spans="1:72" x14ac:dyDescent="0.15">
      <c r="A697" t="s">
        <v>72</v>
      </c>
      <c r="B697" t="s">
        <v>12986</v>
      </c>
      <c r="C697" t="s">
        <v>74</v>
      </c>
      <c r="D697" t="s">
        <v>74</v>
      </c>
      <c r="E697" t="s">
        <v>74</v>
      </c>
      <c r="F697" t="s">
        <v>12987</v>
      </c>
      <c r="G697" t="s">
        <v>74</v>
      </c>
      <c r="H697" t="s">
        <v>74</v>
      </c>
      <c r="I697" t="s">
        <v>12988</v>
      </c>
      <c r="J697" t="s">
        <v>10449</v>
      </c>
      <c r="K697" t="s">
        <v>74</v>
      </c>
      <c r="L697" t="s">
        <v>74</v>
      </c>
      <c r="M697" t="s">
        <v>78</v>
      </c>
      <c r="N697" t="s">
        <v>79</v>
      </c>
      <c r="O697" t="s">
        <v>74</v>
      </c>
      <c r="P697" t="s">
        <v>74</v>
      </c>
      <c r="Q697" t="s">
        <v>74</v>
      </c>
      <c r="R697" t="s">
        <v>74</v>
      </c>
      <c r="S697" t="s">
        <v>74</v>
      </c>
      <c r="T697" t="s">
        <v>74</v>
      </c>
      <c r="U697" t="s">
        <v>12989</v>
      </c>
      <c r="V697" t="s">
        <v>12990</v>
      </c>
      <c r="W697" t="s">
        <v>12991</v>
      </c>
      <c r="X697" t="s">
        <v>12992</v>
      </c>
      <c r="Y697" t="s">
        <v>12993</v>
      </c>
      <c r="Z697" t="s">
        <v>12994</v>
      </c>
      <c r="AA697" t="s">
        <v>12995</v>
      </c>
      <c r="AB697" t="s">
        <v>12996</v>
      </c>
      <c r="AC697" t="s">
        <v>12997</v>
      </c>
      <c r="AD697" t="s">
        <v>12998</v>
      </c>
      <c r="AE697" t="s">
        <v>12999</v>
      </c>
      <c r="AF697" t="s">
        <v>74</v>
      </c>
      <c r="AG697">
        <v>23</v>
      </c>
      <c r="AH697">
        <v>13</v>
      </c>
      <c r="AI697">
        <v>16</v>
      </c>
      <c r="AJ697">
        <v>1</v>
      </c>
      <c r="AK697">
        <v>18</v>
      </c>
      <c r="AL697" t="s">
        <v>1463</v>
      </c>
      <c r="AM697" t="s">
        <v>1464</v>
      </c>
      <c r="AN697" t="s">
        <v>1465</v>
      </c>
      <c r="AO697" t="s">
        <v>10461</v>
      </c>
      <c r="AP697" t="s">
        <v>10462</v>
      </c>
      <c r="AQ697" t="s">
        <v>74</v>
      </c>
      <c r="AR697" t="s">
        <v>10449</v>
      </c>
      <c r="AS697" t="s">
        <v>10463</v>
      </c>
      <c r="AT697" t="s">
        <v>74</v>
      </c>
      <c r="AU697">
        <v>2014</v>
      </c>
      <c r="AV697">
        <v>8</v>
      </c>
      <c r="AW697">
        <v>3</v>
      </c>
      <c r="AX697" t="s">
        <v>74</v>
      </c>
      <c r="AY697" t="s">
        <v>74</v>
      </c>
      <c r="AZ697" t="s">
        <v>74</v>
      </c>
      <c r="BA697" t="s">
        <v>74</v>
      </c>
      <c r="BB697">
        <v>931</v>
      </c>
      <c r="BC697">
        <v>939</v>
      </c>
      <c r="BD697" t="s">
        <v>74</v>
      </c>
      <c r="BE697" t="s">
        <v>13000</v>
      </c>
      <c r="BF697" t="str">
        <f>HYPERLINK("http://dx.doi.org/10.5194/tc-8-931-2014","http://dx.doi.org/10.5194/tc-8-931-2014")</f>
        <v>http://dx.doi.org/10.5194/tc-8-931-2014</v>
      </c>
      <c r="BG697" t="s">
        <v>74</v>
      </c>
      <c r="BH697" t="s">
        <v>74</v>
      </c>
      <c r="BI697">
        <v>9</v>
      </c>
      <c r="BJ697" t="s">
        <v>1415</v>
      </c>
      <c r="BK697" t="s">
        <v>101</v>
      </c>
      <c r="BL697" t="s">
        <v>1416</v>
      </c>
      <c r="BM697" t="s">
        <v>12969</v>
      </c>
      <c r="BN697" t="s">
        <v>74</v>
      </c>
      <c r="BO697" t="s">
        <v>6156</v>
      </c>
      <c r="BP697" t="s">
        <v>74</v>
      </c>
      <c r="BQ697" t="s">
        <v>74</v>
      </c>
      <c r="BR697" t="s">
        <v>104</v>
      </c>
      <c r="BS697" t="s">
        <v>13001</v>
      </c>
      <c r="BT697" t="str">
        <f>HYPERLINK("https%3A%2F%2Fwww.webofscience.com%2Fwos%2Fwoscc%2Ffull-record%2FWOS:000338655600010","View Full Record in Web of Science")</f>
        <v>View Full Record in Web of Science</v>
      </c>
    </row>
    <row r="698" spans="1:72" x14ac:dyDescent="0.15">
      <c r="A698" t="s">
        <v>72</v>
      </c>
      <c r="B698" t="s">
        <v>13002</v>
      </c>
      <c r="C698" t="s">
        <v>74</v>
      </c>
      <c r="D698" t="s">
        <v>74</v>
      </c>
      <c r="E698" t="s">
        <v>74</v>
      </c>
      <c r="F698" t="s">
        <v>13003</v>
      </c>
      <c r="G698" t="s">
        <v>74</v>
      </c>
      <c r="H698" t="s">
        <v>74</v>
      </c>
      <c r="I698" t="s">
        <v>13004</v>
      </c>
      <c r="J698" t="s">
        <v>10449</v>
      </c>
      <c r="K698" t="s">
        <v>74</v>
      </c>
      <c r="L698" t="s">
        <v>74</v>
      </c>
      <c r="M698" t="s">
        <v>78</v>
      </c>
      <c r="N698" t="s">
        <v>79</v>
      </c>
      <c r="O698" t="s">
        <v>74</v>
      </c>
      <c r="P698" t="s">
        <v>74</v>
      </c>
      <c r="Q698" t="s">
        <v>74</v>
      </c>
      <c r="R698" t="s">
        <v>74</v>
      </c>
      <c r="S698" t="s">
        <v>74</v>
      </c>
      <c r="T698" t="s">
        <v>74</v>
      </c>
      <c r="U698" t="s">
        <v>13005</v>
      </c>
      <c r="V698" t="s">
        <v>13006</v>
      </c>
      <c r="W698" t="s">
        <v>13007</v>
      </c>
      <c r="X698" t="s">
        <v>13008</v>
      </c>
      <c r="Y698" t="s">
        <v>13009</v>
      </c>
      <c r="Z698" t="s">
        <v>13010</v>
      </c>
      <c r="AA698" t="s">
        <v>13011</v>
      </c>
      <c r="AB698" t="s">
        <v>13012</v>
      </c>
      <c r="AC698" t="s">
        <v>13013</v>
      </c>
      <c r="AD698" t="s">
        <v>13014</v>
      </c>
      <c r="AE698" t="s">
        <v>13015</v>
      </c>
      <c r="AF698" t="s">
        <v>74</v>
      </c>
      <c r="AG698">
        <v>63</v>
      </c>
      <c r="AH698">
        <v>125</v>
      </c>
      <c r="AI698">
        <v>138</v>
      </c>
      <c r="AJ698">
        <v>2</v>
      </c>
      <c r="AK698">
        <v>57</v>
      </c>
      <c r="AL698" t="s">
        <v>1463</v>
      </c>
      <c r="AM698" t="s">
        <v>1464</v>
      </c>
      <c r="AN698" t="s">
        <v>1465</v>
      </c>
      <c r="AO698" t="s">
        <v>10461</v>
      </c>
      <c r="AP698" t="s">
        <v>10462</v>
      </c>
      <c r="AQ698" t="s">
        <v>74</v>
      </c>
      <c r="AR698" t="s">
        <v>10449</v>
      </c>
      <c r="AS698" t="s">
        <v>10463</v>
      </c>
      <c r="AT698" t="s">
        <v>74</v>
      </c>
      <c r="AU698">
        <v>2014</v>
      </c>
      <c r="AV698">
        <v>8</v>
      </c>
      <c r="AW698">
        <v>3</v>
      </c>
      <c r="AX698" t="s">
        <v>74</v>
      </c>
      <c r="AY698" t="s">
        <v>74</v>
      </c>
      <c r="AZ698" t="s">
        <v>74</v>
      </c>
      <c r="BA698" t="s">
        <v>74</v>
      </c>
      <c r="BB698">
        <v>977</v>
      </c>
      <c r="BC698">
        <v>989</v>
      </c>
      <c r="BD698" t="s">
        <v>74</v>
      </c>
      <c r="BE698" t="s">
        <v>13016</v>
      </c>
      <c r="BF698" t="str">
        <f>HYPERLINK("http://dx.doi.org/10.5194/tc-8-977-2014","http://dx.doi.org/10.5194/tc-8-977-2014")</f>
        <v>http://dx.doi.org/10.5194/tc-8-977-2014</v>
      </c>
      <c r="BG698" t="s">
        <v>74</v>
      </c>
      <c r="BH698" t="s">
        <v>74</v>
      </c>
      <c r="BI698">
        <v>13</v>
      </c>
      <c r="BJ698" t="s">
        <v>1415</v>
      </c>
      <c r="BK698" t="s">
        <v>101</v>
      </c>
      <c r="BL698" t="s">
        <v>1416</v>
      </c>
      <c r="BM698" t="s">
        <v>12969</v>
      </c>
      <c r="BN698" t="s">
        <v>74</v>
      </c>
      <c r="BO698" t="s">
        <v>9228</v>
      </c>
      <c r="BP698" t="s">
        <v>74</v>
      </c>
      <c r="BQ698" t="s">
        <v>74</v>
      </c>
      <c r="BR698" t="s">
        <v>104</v>
      </c>
      <c r="BS698" t="s">
        <v>13017</v>
      </c>
      <c r="BT698" t="str">
        <f>HYPERLINK("https%3A%2F%2Fwww.webofscience.com%2Fwos%2Fwoscc%2Ffull-record%2FWOS:000338655600013","View Full Record in Web of Science")</f>
        <v>View Full Record in Web of Science</v>
      </c>
    </row>
    <row r="699" spans="1:72" x14ac:dyDescent="0.15">
      <c r="A699" t="s">
        <v>72</v>
      </c>
      <c r="B699" t="s">
        <v>13018</v>
      </c>
      <c r="C699" t="s">
        <v>74</v>
      </c>
      <c r="D699" t="s">
        <v>74</v>
      </c>
      <c r="E699" t="s">
        <v>74</v>
      </c>
      <c r="F699" t="s">
        <v>13019</v>
      </c>
      <c r="G699" t="s">
        <v>74</v>
      </c>
      <c r="H699" t="s">
        <v>74</v>
      </c>
      <c r="I699" t="s">
        <v>13020</v>
      </c>
      <c r="J699" t="s">
        <v>10449</v>
      </c>
      <c r="K699" t="s">
        <v>74</v>
      </c>
      <c r="L699" t="s">
        <v>74</v>
      </c>
      <c r="M699" t="s">
        <v>78</v>
      </c>
      <c r="N699" t="s">
        <v>79</v>
      </c>
      <c r="O699" t="s">
        <v>74</v>
      </c>
      <c r="P699" t="s">
        <v>74</v>
      </c>
      <c r="Q699" t="s">
        <v>74</v>
      </c>
      <c r="R699" t="s">
        <v>74</v>
      </c>
      <c r="S699" t="s">
        <v>74</v>
      </c>
      <c r="T699" t="s">
        <v>74</v>
      </c>
      <c r="U699" t="s">
        <v>13021</v>
      </c>
      <c r="V699" t="s">
        <v>13022</v>
      </c>
      <c r="W699" t="s">
        <v>13023</v>
      </c>
      <c r="X699" t="s">
        <v>13024</v>
      </c>
      <c r="Y699" t="s">
        <v>13025</v>
      </c>
      <c r="Z699" t="s">
        <v>13026</v>
      </c>
      <c r="AA699" t="s">
        <v>13027</v>
      </c>
      <c r="AB699" t="s">
        <v>13028</v>
      </c>
      <c r="AC699" t="s">
        <v>13029</v>
      </c>
      <c r="AD699" t="s">
        <v>13030</v>
      </c>
      <c r="AE699" t="s">
        <v>13031</v>
      </c>
      <c r="AF699" t="s">
        <v>74</v>
      </c>
      <c r="AG699">
        <v>28</v>
      </c>
      <c r="AH699">
        <v>23</v>
      </c>
      <c r="AI699">
        <v>24</v>
      </c>
      <c r="AJ699">
        <v>0</v>
      </c>
      <c r="AK699">
        <v>11</v>
      </c>
      <c r="AL699" t="s">
        <v>1463</v>
      </c>
      <c r="AM699" t="s">
        <v>1464</v>
      </c>
      <c r="AN699" t="s">
        <v>1465</v>
      </c>
      <c r="AO699" t="s">
        <v>10461</v>
      </c>
      <c r="AP699" t="s">
        <v>10462</v>
      </c>
      <c r="AQ699" t="s">
        <v>74</v>
      </c>
      <c r="AR699" t="s">
        <v>10449</v>
      </c>
      <c r="AS699" t="s">
        <v>10463</v>
      </c>
      <c r="AT699" t="s">
        <v>74</v>
      </c>
      <c r="AU699">
        <v>2014</v>
      </c>
      <c r="AV699">
        <v>8</v>
      </c>
      <c r="AW699">
        <v>3</v>
      </c>
      <c r="AX699" t="s">
        <v>74</v>
      </c>
      <c r="AY699" t="s">
        <v>74</v>
      </c>
      <c r="AZ699" t="s">
        <v>74</v>
      </c>
      <c r="BA699" t="s">
        <v>74</v>
      </c>
      <c r="BB699">
        <v>1031</v>
      </c>
      <c r="BC699">
        <v>1039</v>
      </c>
      <c r="BD699" t="s">
        <v>74</v>
      </c>
      <c r="BE699" t="s">
        <v>13032</v>
      </c>
      <c r="BF699" t="str">
        <f>HYPERLINK("http://dx.doi.org/10.5194/tc-8-1031-2014","http://dx.doi.org/10.5194/tc-8-1031-2014")</f>
        <v>http://dx.doi.org/10.5194/tc-8-1031-2014</v>
      </c>
      <c r="BG699" t="s">
        <v>74</v>
      </c>
      <c r="BH699" t="s">
        <v>74</v>
      </c>
      <c r="BI699">
        <v>9</v>
      </c>
      <c r="BJ699" t="s">
        <v>1415</v>
      </c>
      <c r="BK699" t="s">
        <v>101</v>
      </c>
      <c r="BL699" t="s">
        <v>1416</v>
      </c>
      <c r="BM699" t="s">
        <v>12969</v>
      </c>
      <c r="BN699" t="s">
        <v>74</v>
      </c>
      <c r="BO699" t="s">
        <v>6156</v>
      </c>
      <c r="BP699" t="s">
        <v>74</v>
      </c>
      <c r="BQ699" t="s">
        <v>74</v>
      </c>
      <c r="BR699" t="s">
        <v>104</v>
      </c>
      <c r="BS699" t="s">
        <v>13033</v>
      </c>
      <c r="BT699" t="str">
        <f>HYPERLINK("https%3A%2F%2Fwww.webofscience.com%2Fwos%2Fwoscc%2Ffull-record%2FWOS:000338655600017","View Full Record in Web of Science")</f>
        <v>View Full Record in Web of Science</v>
      </c>
    </row>
    <row r="700" spans="1:72" x14ac:dyDescent="0.15">
      <c r="A700" t="s">
        <v>72</v>
      </c>
      <c r="B700" t="s">
        <v>13034</v>
      </c>
      <c r="C700" t="s">
        <v>74</v>
      </c>
      <c r="D700" t="s">
        <v>74</v>
      </c>
      <c r="E700" t="s">
        <v>74</v>
      </c>
      <c r="F700" t="s">
        <v>13035</v>
      </c>
      <c r="G700" t="s">
        <v>74</v>
      </c>
      <c r="H700" t="s">
        <v>74</v>
      </c>
      <c r="I700" t="s">
        <v>13036</v>
      </c>
      <c r="J700" t="s">
        <v>10449</v>
      </c>
      <c r="K700" t="s">
        <v>74</v>
      </c>
      <c r="L700" t="s">
        <v>74</v>
      </c>
      <c r="M700" t="s">
        <v>78</v>
      </c>
      <c r="N700" t="s">
        <v>79</v>
      </c>
      <c r="O700" t="s">
        <v>74</v>
      </c>
      <c r="P700" t="s">
        <v>74</v>
      </c>
      <c r="Q700" t="s">
        <v>74</v>
      </c>
      <c r="R700" t="s">
        <v>74</v>
      </c>
      <c r="S700" t="s">
        <v>74</v>
      </c>
      <c r="T700" t="s">
        <v>74</v>
      </c>
      <c r="U700" t="s">
        <v>13037</v>
      </c>
      <c r="V700" t="s">
        <v>13038</v>
      </c>
      <c r="W700" t="s">
        <v>13039</v>
      </c>
      <c r="X700" t="s">
        <v>13040</v>
      </c>
      <c r="Y700" t="s">
        <v>13041</v>
      </c>
      <c r="Z700" t="s">
        <v>13042</v>
      </c>
      <c r="AA700" t="s">
        <v>13043</v>
      </c>
      <c r="AB700" t="s">
        <v>13044</v>
      </c>
      <c r="AC700" t="s">
        <v>13045</v>
      </c>
      <c r="AD700" t="s">
        <v>13046</v>
      </c>
      <c r="AE700" t="s">
        <v>13047</v>
      </c>
      <c r="AF700" t="s">
        <v>74</v>
      </c>
      <c r="AG700">
        <v>63</v>
      </c>
      <c r="AH700">
        <v>33</v>
      </c>
      <c r="AI700">
        <v>33</v>
      </c>
      <c r="AJ700">
        <v>0</v>
      </c>
      <c r="AK700">
        <v>15</v>
      </c>
      <c r="AL700" t="s">
        <v>1463</v>
      </c>
      <c r="AM700" t="s">
        <v>1464</v>
      </c>
      <c r="AN700" t="s">
        <v>1465</v>
      </c>
      <c r="AO700" t="s">
        <v>10461</v>
      </c>
      <c r="AP700" t="s">
        <v>10462</v>
      </c>
      <c r="AQ700" t="s">
        <v>74</v>
      </c>
      <c r="AR700" t="s">
        <v>10449</v>
      </c>
      <c r="AS700" t="s">
        <v>10463</v>
      </c>
      <c r="AT700" t="s">
        <v>74</v>
      </c>
      <c r="AU700">
        <v>2014</v>
      </c>
      <c r="AV700">
        <v>8</v>
      </c>
      <c r="AW700">
        <v>3</v>
      </c>
      <c r="AX700" t="s">
        <v>74</v>
      </c>
      <c r="AY700" t="s">
        <v>74</v>
      </c>
      <c r="AZ700" t="s">
        <v>74</v>
      </c>
      <c r="BA700" t="s">
        <v>74</v>
      </c>
      <c r="BB700">
        <v>1105</v>
      </c>
      <c r="BC700">
        <v>1119</v>
      </c>
      <c r="BD700" t="s">
        <v>74</v>
      </c>
      <c r="BE700" t="s">
        <v>13048</v>
      </c>
      <c r="BF700" t="str">
        <f>HYPERLINK("http://dx.doi.org/10.5194/tc-8-1105-2014","http://dx.doi.org/10.5194/tc-8-1105-2014")</f>
        <v>http://dx.doi.org/10.5194/tc-8-1105-2014</v>
      </c>
      <c r="BG700" t="s">
        <v>74</v>
      </c>
      <c r="BH700" t="s">
        <v>74</v>
      </c>
      <c r="BI700">
        <v>15</v>
      </c>
      <c r="BJ700" t="s">
        <v>1415</v>
      </c>
      <c r="BK700" t="s">
        <v>101</v>
      </c>
      <c r="BL700" t="s">
        <v>1416</v>
      </c>
      <c r="BM700" t="s">
        <v>12969</v>
      </c>
      <c r="BN700" t="s">
        <v>74</v>
      </c>
      <c r="BO700" t="s">
        <v>9228</v>
      </c>
      <c r="BP700" t="s">
        <v>74</v>
      </c>
      <c r="BQ700" t="s">
        <v>74</v>
      </c>
      <c r="BR700" t="s">
        <v>104</v>
      </c>
      <c r="BS700" t="s">
        <v>13049</v>
      </c>
      <c r="BT700" t="str">
        <f>HYPERLINK("https%3A%2F%2Fwww.webofscience.com%2Fwos%2Fwoscc%2Ffull-record%2FWOS:000338655600022","View Full Record in Web of Science")</f>
        <v>View Full Record in Web of Science</v>
      </c>
    </row>
    <row r="701" spans="1:72" x14ac:dyDescent="0.15">
      <c r="A701" t="s">
        <v>72</v>
      </c>
      <c r="B701" t="s">
        <v>13050</v>
      </c>
      <c r="C701" t="s">
        <v>74</v>
      </c>
      <c r="D701" t="s">
        <v>74</v>
      </c>
      <c r="E701" t="s">
        <v>74</v>
      </c>
      <c r="F701" t="s">
        <v>13051</v>
      </c>
      <c r="G701" t="s">
        <v>74</v>
      </c>
      <c r="H701" t="s">
        <v>74</v>
      </c>
      <c r="I701" t="s">
        <v>13052</v>
      </c>
      <c r="J701" t="s">
        <v>11933</v>
      </c>
      <c r="K701" t="s">
        <v>74</v>
      </c>
      <c r="L701" t="s">
        <v>74</v>
      </c>
      <c r="M701" t="s">
        <v>78</v>
      </c>
      <c r="N701" t="s">
        <v>79</v>
      </c>
      <c r="O701" t="s">
        <v>74</v>
      </c>
      <c r="P701" t="s">
        <v>74</v>
      </c>
      <c r="Q701" t="s">
        <v>74</v>
      </c>
      <c r="R701" t="s">
        <v>74</v>
      </c>
      <c r="S701" t="s">
        <v>74</v>
      </c>
      <c r="T701" t="s">
        <v>74</v>
      </c>
      <c r="U701" t="s">
        <v>13053</v>
      </c>
      <c r="V701" t="s">
        <v>13054</v>
      </c>
      <c r="W701" t="s">
        <v>13055</v>
      </c>
      <c r="X701" t="s">
        <v>13056</v>
      </c>
      <c r="Y701" t="s">
        <v>13057</v>
      </c>
      <c r="Z701" t="s">
        <v>13058</v>
      </c>
      <c r="AA701" t="s">
        <v>13059</v>
      </c>
      <c r="AB701" t="s">
        <v>13060</v>
      </c>
      <c r="AC701" t="s">
        <v>13061</v>
      </c>
      <c r="AD701" t="s">
        <v>13062</v>
      </c>
      <c r="AE701" t="s">
        <v>13063</v>
      </c>
      <c r="AF701" t="s">
        <v>74</v>
      </c>
      <c r="AG701">
        <v>29</v>
      </c>
      <c r="AH701">
        <v>2</v>
      </c>
      <c r="AI701">
        <v>2</v>
      </c>
      <c r="AJ701">
        <v>0</v>
      </c>
      <c r="AK701">
        <v>1</v>
      </c>
      <c r="AL701" t="s">
        <v>11943</v>
      </c>
      <c r="AM701" t="s">
        <v>1948</v>
      </c>
      <c r="AN701" t="s">
        <v>11944</v>
      </c>
      <c r="AO701" t="s">
        <v>74</v>
      </c>
      <c r="AP701" t="s">
        <v>11945</v>
      </c>
      <c r="AQ701" t="s">
        <v>74</v>
      </c>
      <c r="AR701" t="s">
        <v>11946</v>
      </c>
      <c r="AS701" t="s">
        <v>11947</v>
      </c>
      <c r="AT701" t="s">
        <v>74</v>
      </c>
      <c r="AU701">
        <v>2014</v>
      </c>
      <c r="AV701">
        <v>4</v>
      </c>
      <c r="AW701">
        <v>49</v>
      </c>
      <c r="AX701" t="s">
        <v>74</v>
      </c>
      <c r="AY701" t="s">
        <v>74</v>
      </c>
      <c r="AZ701" t="s">
        <v>74</v>
      </c>
      <c r="BA701" t="s">
        <v>74</v>
      </c>
      <c r="BB701">
        <v>25852</v>
      </c>
      <c r="BC701">
        <v>25856</v>
      </c>
      <c r="BD701" t="s">
        <v>74</v>
      </c>
      <c r="BE701" t="s">
        <v>13064</v>
      </c>
      <c r="BF701" t="str">
        <f>HYPERLINK("http://dx.doi.org/10.1039/c4ra03317e","http://dx.doi.org/10.1039/c4ra03317e")</f>
        <v>http://dx.doi.org/10.1039/c4ra03317e</v>
      </c>
      <c r="BG701" t="s">
        <v>74</v>
      </c>
      <c r="BH701" t="s">
        <v>74</v>
      </c>
      <c r="BI701">
        <v>5</v>
      </c>
      <c r="BJ701" t="s">
        <v>11949</v>
      </c>
      <c r="BK701" t="s">
        <v>101</v>
      </c>
      <c r="BL701" t="s">
        <v>11950</v>
      </c>
      <c r="BM701" t="s">
        <v>13065</v>
      </c>
      <c r="BN701" t="s">
        <v>74</v>
      </c>
      <c r="BO701" t="s">
        <v>74</v>
      </c>
      <c r="BP701" t="s">
        <v>74</v>
      </c>
      <c r="BQ701" t="s">
        <v>74</v>
      </c>
      <c r="BR701" t="s">
        <v>104</v>
      </c>
      <c r="BS701" t="s">
        <v>13066</v>
      </c>
      <c r="BT701" t="str">
        <f>HYPERLINK("https%3A%2F%2Fwww.webofscience.com%2Fwos%2Fwoscc%2Ffull-record%2FWOS:000338434500046","View Full Record in Web of Science")</f>
        <v>View Full Record in Web of Science</v>
      </c>
    </row>
    <row r="702" spans="1:72" x14ac:dyDescent="0.15">
      <c r="A702" t="s">
        <v>72</v>
      </c>
      <c r="B702" t="s">
        <v>13067</v>
      </c>
      <c r="C702" t="s">
        <v>74</v>
      </c>
      <c r="D702" t="s">
        <v>74</v>
      </c>
      <c r="E702" t="s">
        <v>74</v>
      </c>
      <c r="F702" t="s">
        <v>13068</v>
      </c>
      <c r="G702" t="s">
        <v>74</v>
      </c>
      <c r="H702" t="s">
        <v>74</v>
      </c>
      <c r="I702" t="s">
        <v>13069</v>
      </c>
      <c r="J702" t="s">
        <v>13070</v>
      </c>
      <c r="K702" t="s">
        <v>74</v>
      </c>
      <c r="L702" t="s">
        <v>74</v>
      </c>
      <c r="M702" t="s">
        <v>78</v>
      </c>
      <c r="N702" t="s">
        <v>79</v>
      </c>
      <c r="O702" t="s">
        <v>74</v>
      </c>
      <c r="P702" t="s">
        <v>74</v>
      </c>
      <c r="Q702" t="s">
        <v>74</v>
      </c>
      <c r="R702" t="s">
        <v>74</v>
      </c>
      <c r="S702" t="s">
        <v>74</v>
      </c>
      <c r="T702" t="s">
        <v>13071</v>
      </c>
      <c r="U702" t="s">
        <v>13072</v>
      </c>
      <c r="V702" t="s">
        <v>13073</v>
      </c>
      <c r="W702" t="s">
        <v>13074</v>
      </c>
      <c r="X702" t="s">
        <v>13075</v>
      </c>
      <c r="Y702" t="s">
        <v>13076</v>
      </c>
      <c r="Z702" t="s">
        <v>13077</v>
      </c>
      <c r="AA702" t="s">
        <v>13078</v>
      </c>
      <c r="AB702" t="s">
        <v>13079</v>
      </c>
      <c r="AC702" t="s">
        <v>13080</v>
      </c>
      <c r="AD702" t="s">
        <v>13081</v>
      </c>
      <c r="AE702" t="s">
        <v>13082</v>
      </c>
      <c r="AF702" t="s">
        <v>74</v>
      </c>
      <c r="AG702">
        <v>16</v>
      </c>
      <c r="AH702">
        <v>32</v>
      </c>
      <c r="AI702">
        <v>34</v>
      </c>
      <c r="AJ702">
        <v>2</v>
      </c>
      <c r="AK702">
        <v>12</v>
      </c>
      <c r="AL702" t="s">
        <v>1463</v>
      </c>
      <c r="AM702" t="s">
        <v>1464</v>
      </c>
      <c r="AN702" t="s">
        <v>1465</v>
      </c>
      <c r="AO702" t="s">
        <v>13083</v>
      </c>
      <c r="AP702" t="s">
        <v>13084</v>
      </c>
      <c r="AQ702" t="s">
        <v>74</v>
      </c>
      <c r="AR702" t="s">
        <v>13085</v>
      </c>
      <c r="AS702" t="s">
        <v>11169</v>
      </c>
      <c r="AT702" t="s">
        <v>74</v>
      </c>
      <c r="AU702">
        <v>2014</v>
      </c>
      <c r="AV702">
        <v>32</v>
      </c>
      <c r="AW702">
        <v>6</v>
      </c>
      <c r="AX702" t="s">
        <v>74</v>
      </c>
      <c r="AY702" t="s">
        <v>74</v>
      </c>
      <c r="AZ702" t="s">
        <v>74</v>
      </c>
      <c r="BA702" t="s">
        <v>74</v>
      </c>
      <c r="BB702">
        <v>623</v>
      </c>
      <c r="BC702">
        <v>631</v>
      </c>
      <c r="BD702" t="s">
        <v>74</v>
      </c>
      <c r="BE702" t="s">
        <v>13086</v>
      </c>
      <c r="BF702" t="str">
        <f>HYPERLINK("http://dx.doi.org/10.5194/angeo-32-623-2014","http://dx.doi.org/10.5194/angeo-32-623-2014")</f>
        <v>http://dx.doi.org/10.5194/angeo-32-623-2014</v>
      </c>
      <c r="BG702" t="s">
        <v>74</v>
      </c>
      <c r="BH702" t="s">
        <v>74</v>
      </c>
      <c r="BI702">
        <v>9</v>
      </c>
      <c r="BJ702" t="s">
        <v>13087</v>
      </c>
      <c r="BK702" t="s">
        <v>101</v>
      </c>
      <c r="BL702" t="s">
        <v>13088</v>
      </c>
      <c r="BM702" t="s">
        <v>13089</v>
      </c>
      <c r="BN702" t="s">
        <v>74</v>
      </c>
      <c r="BO702" t="s">
        <v>9228</v>
      </c>
      <c r="BP702" t="s">
        <v>74</v>
      </c>
      <c r="BQ702" t="s">
        <v>74</v>
      </c>
      <c r="BR702" t="s">
        <v>104</v>
      </c>
      <c r="BS702" t="s">
        <v>13090</v>
      </c>
      <c r="BT702" t="str">
        <f>HYPERLINK("https%3A%2F%2Fwww.webofscience.com%2Fwos%2Fwoscc%2Ffull-record%2FWOS:000338509000004","View Full Record in Web of Science")</f>
        <v>View Full Record in Web of Science</v>
      </c>
    </row>
    <row r="703" spans="1:72" x14ac:dyDescent="0.15">
      <c r="A703" t="s">
        <v>72</v>
      </c>
      <c r="B703" t="s">
        <v>13091</v>
      </c>
      <c r="C703" t="s">
        <v>74</v>
      </c>
      <c r="D703" t="s">
        <v>74</v>
      </c>
      <c r="E703" t="s">
        <v>74</v>
      </c>
      <c r="F703" t="s">
        <v>13092</v>
      </c>
      <c r="G703" t="s">
        <v>74</v>
      </c>
      <c r="H703" t="s">
        <v>74</v>
      </c>
      <c r="I703" t="s">
        <v>13093</v>
      </c>
      <c r="J703" t="s">
        <v>10504</v>
      </c>
      <c r="K703" t="s">
        <v>74</v>
      </c>
      <c r="L703" t="s">
        <v>74</v>
      </c>
      <c r="M703" t="s">
        <v>78</v>
      </c>
      <c r="N703" t="s">
        <v>79</v>
      </c>
      <c r="O703" t="s">
        <v>74</v>
      </c>
      <c r="P703" t="s">
        <v>74</v>
      </c>
      <c r="Q703" t="s">
        <v>74</v>
      </c>
      <c r="R703" t="s">
        <v>74</v>
      </c>
      <c r="S703" t="s">
        <v>74</v>
      </c>
      <c r="T703" t="s">
        <v>74</v>
      </c>
      <c r="U703" t="s">
        <v>13094</v>
      </c>
      <c r="V703" t="s">
        <v>13095</v>
      </c>
      <c r="W703" t="s">
        <v>13096</v>
      </c>
      <c r="X703" t="s">
        <v>13097</v>
      </c>
      <c r="Y703" t="s">
        <v>13098</v>
      </c>
      <c r="Z703" t="s">
        <v>13099</v>
      </c>
      <c r="AA703" t="s">
        <v>13100</v>
      </c>
      <c r="AB703" t="s">
        <v>13101</v>
      </c>
      <c r="AC703" t="s">
        <v>13102</v>
      </c>
      <c r="AD703" t="s">
        <v>13103</v>
      </c>
      <c r="AE703" t="s">
        <v>13104</v>
      </c>
      <c r="AF703" t="s">
        <v>74</v>
      </c>
      <c r="AG703">
        <v>98</v>
      </c>
      <c r="AH703">
        <v>8</v>
      </c>
      <c r="AI703">
        <v>8</v>
      </c>
      <c r="AJ703">
        <v>2</v>
      </c>
      <c r="AK703">
        <v>72</v>
      </c>
      <c r="AL703" t="s">
        <v>1463</v>
      </c>
      <c r="AM703" t="s">
        <v>1464</v>
      </c>
      <c r="AN703" t="s">
        <v>1465</v>
      </c>
      <c r="AO703" t="s">
        <v>10515</v>
      </c>
      <c r="AP703" t="s">
        <v>10516</v>
      </c>
      <c r="AQ703" t="s">
        <v>74</v>
      </c>
      <c r="AR703" t="s">
        <v>10517</v>
      </c>
      <c r="AS703" t="s">
        <v>10518</v>
      </c>
      <c r="AT703" t="s">
        <v>74</v>
      </c>
      <c r="AU703">
        <v>2014</v>
      </c>
      <c r="AV703">
        <v>10</v>
      </c>
      <c r="AW703">
        <v>3</v>
      </c>
      <c r="AX703" t="s">
        <v>74</v>
      </c>
      <c r="AY703" t="s">
        <v>74</v>
      </c>
      <c r="AZ703" t="s">
        <v>74</v>
      </c>
      <c r="BA703" t="s">
        <v>74</v>
      </c>
      <c r="BB703">
        <v>485</v>
      </c>
      <c r="BC703">
        <v>500</v>
      </c>
      <c r="BD703" t="s">
        <v>74</v>
      </c>
      <c r="BE703" t="s">
        <v>13105</v>
      </c>
      <c r="BF703" t="str">
        <f>HYPERLINK("http://dx.doi.org/10.5194/os-10-485-2014","http://dx.doi.org/10.5194/os-10-485-2014")</f>
        <v>http://dx.doi.org/10.5194/os-10-485-2014</v>
      </c>
      <c r="BG703" t="s">
        <v>74</v>
      </c>
      <c r="BH703" t="s">
        <v>74</v>
      </c>
      <c r="BI703">
        <v>16</v>
      </c>
      <c r="BJ703" t="s">
        <v>6540</v>
      </c>
      <c r="BK703" t="s">
        <v>101</v>
      </c>
      <c r="BL703" t="s">
        <v>6540</v>
      </c>
      <c r="BM703" t="s">
        <v>13106</v>
      </c>
      <c r="BN703" t="s">
        <v>74</v>
      </c>
      <c r="BO703" t="s">
        <v>11909</v>
      </c>
      <c r="BP703" t="s">
        <v>74</v>
      </c>
      <c r="BQ703" t="s">
        <v>74</v>
      </c>
      <c r="BR703" t="s">
        <v>104</v>
      </c>
      <c r="BS703" t="s">
        <v>13107</v>
      </c>
      <c r="BT703" t="str">
        <f>HYPERLINK("https%3A%2F%2Fwww.webofscience.com%2Fwos%2Fwoscc%2Ffull-record%2FWOS:000338651700013","View Full Record in Web of Science")</f>
        <v>View Full Record in Web of Science</v>
      </c>
    </row>
    <row r="704" spans="1:72" x14ac:dyDescent="0.15">
      <c r="A704" t="s">
        <v>72</v>
      </c>
      <c r="B704" t="s">
        <v>13108</v>
      </c>
      <c r="C704" t="s">
        <v>74</v>
      </c>
      <c r="D704" t="s">
        <v>74</v>
      </c>
      <c r="E704" t="s">
        <v>74</v>
      </c>
      <c r="F704" t="s">
        <v>13109</v>
      </c>
      <c r="G704" t="s">
        <v>74</v>
      </c>
      <c r="H704" t="s">
        <v>74</v>
      </c>
      <c r="I704" t="s">
        <v>13110</v>
      </c>
      <c r="J704" t="s">
        <v>10582</v>
      </c>
      <c r="K704" t="s">
        <v>74</v>
      </c>
      <c r="L704" t="s">
        <v>74</v>
      </c>
      <c r="M704" t="s">
        <v>78</v>
      </c>
      <c r="N704" t="s">
        <v>933</v>
      </c>
      <c r="O704" t="s">
        <v>74</v>
      </c>
      <c r="P704" t="s">
        <v>74</v>
      </c>
      <c r="Q704" t="s">
        <v>74</v>
      </c>
      <c r="R704" t="s">
        <v>74</v>
      </c>
      <c r="S704" t="s">
        <v>74</v>
      </c>
      <c r="T704" t="s">
        <v>13111</v>
      </c>
      <c r="U704" t="s">
        <v>13112</v>
      </c>
      <c r="V704" t="s">
        <v>13113</v>
      </c>
      <c r="W704" t="s">
        <v>13114</v>
      </c>
      <c r="X704" t="s">
        <v>13115</v>
      </c>
      <c r="Y704" t="s">
        <v>13116</v>
      </c>
      <c r="Z704" t="s">
        <v>13117</v>
      </c>
      <c r="AA704" t="s">
        <v>74</v>
      </c>
      <c r="AB704" t="s">
        <v>13118</v>
      </c>
      <c r="AC704" t="s">
        <v>13119</v>
      </c>
      <c r="AD704" t="s">
        <v>12950</v>
      </c>
      <c r="AE704" t="s">
        <v>13120</v>
      </c>
      <c r="AF704" t="s">
        <v>74</v>
      </c>
      <c r="AG704">
        <v>54</v>
      </c>
      <c r="AH704">
        <v>14</v>
      </c>
      <c r="AI704">
        <v>16</v>
      </c>
      <c r="AJ704">
        <v>1</v>
      </c>
      <c r="AK704">
        <v>34</v>
      </c>
      <c r="AL704" t="s">
        <v>11416</v>
      </c>
      <c r="AM704" t="s">
        <v>11417</v>
      </c>
      <c r="AN704" t="s">
        <v>11418</v>
      </c>
      <c r="AO704" t="s">
        <v>10595</v>
      </c>
      <c r="AP704" t="s">
        <v>10596</v>
      </c>
      <c r="AQ704" t="s">
        <v>74</v>
      </c>
      <c r="AR704" t="s">
        <v>10597</v>
      </c>
      <c r="AS704" t="s">
        <v>10598</v>
      </c>
      <c r="AT704" t="s">
        <v>74</v>
      </c>
      <c r="AU704">
        <v>2014</v>
      </c>
      <c r="AV704">
        <v>33</v>
      </c>
      <c r="AW704" t="s">
        <v>74</v>
      </c>
      <c r="AX704" t="s">
        <v>74</v>
      </c>
      <c r="AY704" t="s">
        <v>74</v>
      </c>
      <c r="AZ704" t="s">
        <v>74</v>
      </c>
      <c r="BA704" t="s">
        <v>74</v>
      </c>
      <c r="BB704" t="s">
        <v>74</v>
      </c>
      <c r="BC704" t="s">
        <v>74</v>
      </c>
      <c r="BD704">
        <v>17236</v>
      </c>
      <c r="BE704" t="s">
        <v>13121</v>
      </c>
      <c r="BF704" t="str">
        <f>HYPERLINK("http://dx.doi.org/10.3402/polar.v33.17236","http://dx.doi.org/10.3402/polar.v33.17236")</f>
        <v>http://dx.doi.org/10.3402/polar.v33.17236</v>
      </c>
      <c r="BG704" t="s">
        <v>74</v>
      </c>
      <c r="BH704" t="s">
        <v>74</v>
      </c>
      <c r="BI704">
        <v>13</v>
      </c>
      <c r="BJ704" t="s">
        <v>10600</v>
      </c>
      <c r="BK704" t="s">
        <v>101</v>
      </c>
      <c r="BL704" t="s">
        <v>10601</v>
      </c>
      <c r="BM704" t="s">
        <v>13122</v>
      </c>
      <c r="BN704" t="s">
        <v>74</v>
      </c>
      <c r="BO704" t="s">
        <v>4013</v>
      </c>
      <c r="BP704" t="s">
        <v>74</v>
      </c>
      <c r="BQ704" t="s">
        <v>74</v>
      </c>
      <c r="BR704" t="s">
        <v>104</v>
      </c>
      <c r="BS704" t="s">
        <v>13123</v>
      </c>
      <c r="BT704" t="str">
        <f>HYPERLINK("https%3A%2F%2Fwww.webofscience.com%2Fwos%2Fwoscc%2Ffull-record%2FWOS:000338435100001","View Full Record in Web of Science")</f>
        <v>View Full Record in Web of Science</v>
      </c>
    </row>
    <row r="705" spans="1:72" x14ac:dyDescent="0.15">
      <c r="A705" t="s">
        <v>72</v>
      </c>
      <c r="B705" t="s">
        <v>13124</v>
      </c>
      <c r="C705" t="s">
        <v>74</v>
      </c>
      <c r="D705" t="s">
        <v>74</v>
      </c>
      <c r="E705" t="s">
        <v>74</v>
      </c>
      <c r="F705" t="s">
        <v>13125</v>
      </c>
      <c r="G705" t="s">
        <v>74</v>
      </c>
      <c r="H705" t="s">
        <v>74</v>
      </c>
      <c r="I705" t="s">
        <v>13126</v>
      </c>
      <c r="J705" t="s">
        <v>10582</v>
      </c>
      <c r="K705" t="s">
        <v>74</v>
      </c>
      <c r="L705" t="s">
        <v>74</v>
      </c>
      <c r="M705" t="s">
        <v>78</v>
      </c>
      <c r="N705" t="s">
        <v>79</v>
      </c>
      <c r="O705" t="s">
        <v>74</v>
      </c>
      <c r="P705" t="s">
        <v>74</v>
      </c>
      <c r="Q705" t="s">
        <v>74</v>
      </c>
      <c r="R705" t="s">
        <v>74</v>
      </c>
      <c r="S705" t="s">
        <v>74</v>
      </c>
      <c r="T705" t="s">
        <v>13127</v>
      </c>
      <c r="U705" t="s">
        <v>13128</v>
      </c>
      <c r="V705" t="s">
        <v>13129</v>
      </c>
      <c r="W705" t="s">
        <v>13130</v>
      </c>
      <c r="X705" t="s">
        <v>13131</v>
      </c>
      <c r="Y705" t="s">
        <v>13132</v>
      </c>
      <c r="Z705" t="s">
        <v>12246</v>
      </c>
      <c r="AA705" t="s">
        <v>13133</v>
      </c>
      <c r="AB705" t="s">
        <v>13134</v>
      </c>
      <c r="AC705" t="s">
        <v>13135</v>
      </c>
      <c r="AD705" t="s">
        <v>13136</v>
      </c>
      <c r="AE705" t="s">
        <v>13137</v>
      </c>
      <c r="AF705" t="s">
        <v>74</v>
      </c>
      <c r="AG705">
        <v>46</v>
      </c>
      <c r="AH705">
        <v>35</v>
      </c>
      <c r="AI705">
        <v>35</v>
      </c>
      <c r="AJ705">
        <v>1</v>
      </c>
      <c r="AK705">
        <v>45</v>
      </c>
      <c r="AL705" t="s">
        <v>11015</v>
      </c>
      <c r="AM705" t="s">
        <v>11016</v>
      </c>
      <c r="AN705" t="s">
        <v>11017</v>
      </c>
      <c r="AO705" t="s">
        <v>10595</v>
      </c>
      <c r="AP705" t="s">
        <v>10596</v>
      </c>
      <c r="AQ705" t="s">
        <v>74</v>
      </c>
      <c r="AR705" t="s">
        <v>10597</v>
      </c>
      <c r="AS705" t="s">
        <v>10598</v>
      </c>
      <c r="AT705" t="s">
        <v>74</v>
      </c>
      <c r="AU705">
        <v>2014</v>
      </c>
      <c r="AV705">
        <v>33</v>
      </c>
      <c r="AW705" t="s">
        <v>74</v>
      </c>
      <c r="AX705" t="s">
        <v>74</v>
      </c>
      <c r="AY705" t="s">
        <v>74</v>
      </c>
      <c r="AZ705" t="s">
        <v>74</v>
      </c>
      <c r="BA705" t="s">
        <v>74</v>
      </c>
      <c r="BB705" t="s">
        <v>74</v>
      </c>
      <c r="BC705" t="s">
        <v>74</v>
      </c>
      <c r="BD705">
        <v>21425</v>
      </c>
      <c r="BE705" t="s">
        <v>13138</v>
      </c>
      <c r="BF705" t="str">
        <f>HYPERLINK("http://dx.doi.org/10.3402/polar.v33.21425","http://dx.doi.org/10.3402/polar.v33.21425")</f>
        <v>http://dx.doi.org/10.3402/polar.v33.21425</v>
      </c>
      <c r="BG705" t="s">
        <v>74</v>
      </c>
      <c r="BH705" t="s">
        <v>74</v>
      </c>
      <c r="BI705">
        <v>7</v>
      </c>
      <c r="BJ705" t="s">
        <v>10600</v>
      </c>
      <c r="BK705" t="s">
        <v>101</v>
      </c>
      <c r="BL705" t="s">
        <v>10601</v>
      </c>
      <c r="BM705" t="s">
        <v>13139</v>
      </c>
      <c r="BN705" t="s">
        <v>74</v>
      </c>
      <c r="BO705" t="s">
        <v>4013</v>
      </c>
      <c r="BP705" t="s">
        <v>74</v>
      </c>
      <c r="BQ705" t="s">
        <v>74</v>
      </c>
      <c r="BR705" t="s">
        <v>104</v>
      </c>
      <c r="BS705" t="s">
        <v>13140</v>
      </c>
      <c r="BT705" t="str">
        <f>HYPERLINK("https%3A%2F%2Fwww.webofscience.com%2Fwos%2Fwoscc%2Ffull-record%2FWOS:000338435400001","View Full Record in Web of Science")</f>
        <v>View Full Record in Web of Science</v>
      </c>
    </row>
    <row r="706" spans="1:72" x14ac:dyDescent="0.15">
      <c r="A706" t="s">
        <v>72</v>
      </c>
      <c r="B706" t="s">
        <v>13141</v>
      </c>
      <c r="C706" t="s">
        <v>74</v>
      </c>
      <c r="D706" t="s">
        <v>74</v>
      </c>
      <c r="E706" t="s">
        <v>74</v>
      </c>
      <c r="F706" t="s">
        <v>13142</v>
      </c>
      <c r="G706" t="s">
        <v>74</v>
      </c>
      <c r="H706" t="s">
        <v>74</v>
      </c>
      <c r="I706" t="s">
        <v>13143</v>
      </c>
      <c r="J706" t="s">
        <v>11283</v>
      </c>
      <c r="K706" t="s">
        <v>74</v>
      </c>
      <c r="L706" t="s">
        <v>74</v>
      </c>
      <c r="M706" t="s">
        <v>78</v>
      </c>
      <c r="N706" t="s">
        <v>79</v>
      </c>
      <c r="O706" t="s">
        <v>74</v>
      </c>
      <c r="P706" t="s">
        <v>74</v>
      </c>
      <c r="Q706" t="s">
        <v>74</v>
      </c>
      <c r="R706" t="s">
        <v>74</v>
      </c>
      <c r="S706" t="s">
        <v>74</v>
      </c>
      <c r="T706" t="s">
        <v>74</v>
      </c>
      <c r="U706" t="s">
        <v>13144</v>
      </c>
      <c r="V706" t="s">
        <v>13145</v>
      </c>
      <c r="W706" t="s">
        <v>13146</v>
      </c>
      <c r="X706" t="s">
        <v>13147</v>
      </c>
      <c r="Y706" t="s">
        <v>13148</v>
      </c>
      <c r="Z706" t="s">
        <v>13149</v>
      </c>
      <c r="AA706" t="s">
        <v>13150</v>
      </c>
      <c r="AB706" t="s">
        <v>13151</v>
      </c>
      <c r="AC706" t="s">
        <v>13152</v>
      </c>
      <c r="AD706" t="s">
        <v>13153</v>
      </c>
      <c r="AE706" t="s">
        <v>13154</v>
      </c>
      <c r="AF706" t="s">
        <v>74</v>
      </c>
      <c r="AG706">
        <v>99</v>
      </c>
      <c r="AH706">
        <v>31</v>
      </c>
      <c r="AI706">
        <v>35</v>
      </c>
      <c r="AJ706">
        <v>1</v>
      </c>
      <c r="AK706">
        <v>54</v>
      </c>
      <c r="AL706" t="s">
        <v>1463</v>
      </c>
      <c r="AM706" t="s">
        <v>1464</v>
      </c>
      <c r="AN706" t="s">
        <v>1465</v>
      </c>
      <c r="AO706" t="s">
        <v>11295</v>
      </c>
      <c r="AP706" t="s">
        <v>11296</v>
      </c>
      <c r="AQ706" t="s">
        <v>74</v>
      </c>
      <c r="AR706" t="s">
        <v>11297</v>
      </c>
      <c r="AS706" t="s">
        <v>11298</v>
      </c>
      <c r="AT706" t="s">
        <v>74</v>
      </c>
      <c r="AU706">
        <v>2014</v>
      </c>
      <c r="AV706">
        <v>14</v>
      </c>
      <c r="AW706">
        <v>11</v>
      </c>
      <c r="AX706" t="s">
        <v>74</v>
      </c>
      <c r="AY706" t="s">
        <v>74</v>
      </c>
      <c r="AZ706" t="s">
        <v>74</v>
      </c>
      <c r="BA706" t="s">
        <v>74</v>
      </c>
      <c r="BB706">
        <v>5749</v>
      </c>
      <c r="BC706">
        <v>5769</v>
      </c>
      <c r="BD706" t="s">
        <v>74</v>
      </c>
      <c r="BE706" t="s">
        <v>13155</v>
      </c>
      <c r="BF706" t="str">
        <f>HYPERLINK("http://dx.doi.org/10.5194/acp-14-5749-2014","http://dx.doi.org/10.5194/acp-14-5749-2014")</f>
        <v>http://dx.doi.org/10.5194/acp-14-5749-2014</v>
      </c>
      <c r="BG706" t="s">
        <v>74</v>
      </c>
      <c r="BH706" t="s">
        <v>74</v>
      </c>
      <c r="BI706">
        <v>21</v>
      </c>
      <c r="BJ706" t="s">
        <v>3817</v>
      </c>
      <c r="BK706" t="s">
        <v>101</v>
      </c>
      <c r="BL706" t="s">
        <v>1081</v>
      </c>
      <c r="BM706" t="s">
        <v>13156</v>
      </c>
      <c r="BN706" t="s">
        <v>74</v>
      </c>
      <c r="BO706" t="s">
        <v>9228</v>
      </c>
      <c r="BP706" t="s">
        <v>74</v>
      </c>
      <c r="BQ706" t="s">
        <v>74</v>
      </c>
      <c r="BR706" t="s">
        <v>104</v>
      </c>
      <c r="BS706" t="s">
        <v>13157</v>
      </c>
      <c r="BT706" t="str">
        <f>HYPERLINK("https%3A%2F%2Fwww.webofscience.com%2Fwos%2Fwoscc%2Ffull-record%2FWOS:000337803100027","View Full Record in Web of Science")</f>
        <v>View Full Record in Web of Science</v>
      </c>
    </row>
    <row r="707" spans="1:72" x14ac:dyDescent="0.15">
      <c r="A707" t="s">
        <v>72</v>
      </c>
      <c r="B707" t="s">
        <v>13158</v>
      </c>
      <c r="C707" t="s">
        <v>74</v>
      </c>
      <c r="D707" t="s">
        <v>74</v>
      </c>
      <c r="E707" t="s">
        <v>74</v>
      </c>
      <c r="F707" t="s">
        <v>13159</v>
      </c>
      <c r="G707" t="s">
        <v>74</v>
      </c>
      <c r="H707" t="s">
        <v>74</v>
      </c>
      <c r="I707" t="s">
        <v>13160</v>
      </c>
      <c r="J707" t="s">
        <v>11305</v>
      </c>
      <c r="K707" t="s">
        <v>74</v>
      </c>
      <c r="L707" t="s">
        <v>74</v>
      </c>
      <c r="M707" t="s">
        <v>78</v>
      </c>
      <c r="N707" t="s">
        <v>79</v>
      </c>
      <c r="O707" t="s">
        <v>74</v>
      </c>
      <c r="P707" t="s">
        <v>74</v>
      </c>
      <c r="Q707" t="s">
        <v>74</v>
      </c>
      <c r="R707" t="s">
        <v>74</v>
      </c>
      <c r="S707" t="s">
        <v>74</v>
      </c>
      <c r="T707" t="s">
        <v>74</v>
      </c>
      <c r="U707" t="s">
        <v>13161</v>
      </c>
      <c r="V707" t="s">
        <v>13162</v>
      </c>
      <c r="W707" t="s">
        <v>13163</v>
      </c>
      <c r="X707" t="s">
        <v>13164</v>
      </c>
      <c r="Y707" t="s">
        <v>13165</v>
      </c>
      <c r="Z707" t="s">
        <v>13166</v>
      </c>
      <c r="AA707" t="s">
        <v>13167</v>
      </c>
      <c r="AB707" t="s">
        <v>13168</v>
      </c>
      <c r="AC707" t="s">
        <v>13169</v>
      </c>
      <c r="AD707" t="s">
        <v>13170</v>
      </c>
      <c r="AE707" t="s">
        <v>13171</v>
      </c>
      <c r="AF707" t="s">
        <v>74</v>
      </c>
      <c r="AG707">
        <v>63</v>
      </c>
      <c r="AH707">
        <v>19</v>
      </c>
      <c r="AI707">
        <v>19</v>
      </c>
      <c r="AJ707">
        <v>1</v>
      </c>
      <c r="AK707">
        <v>25</v>
      </c>
      <c r="AL707" t="s">
        <v>1463</v>
      </c>
      <c r="AM707" t="s">
        <v>1464</v>
      </c>
      <c r="AN707" t="s">
        <v>1465</v>
      </c>
      <c r="AO707" t="s">
        <v>11316</v>
      </c>
      <c r="AP707" t="s">
        <v>11317</v>
      </c>
      <c r="AQ707" t="s">
        <v>74</v>
      </c>
      <c r="AR707" t="s">
        <v>11305</v>
      </c>
      <c r="AS707" t="s">
        <v>11318</v>
      </c>
      <c r="AT707" t="s">
        <v>74</v>
      </c>
      <c r="AU707">
        <v>2014</v>
      </c>
      <c r="AV707">
        <v>11</v>
      </c>
      <c r="AW707">
        <v>10</v>
      </c>
      <c r="AX707" t="s">
        <v>74</v>
      </c>
      <c r="AY707" t="s">
        <v>74</v>
      </c>
      <c r="AZ707" t="s">
        <v>74</v>
      </c>
      <c r="BA707" t="s">
        <v>74</v>
      </c>
      <c r="BB707">
        <v>2755</v>
      </c>
      <c r="BC707">
        <v>2770</v>
      </c>
      <c r="BD707" t="s">
        <v>74</v>
      </c>
      <c r="BE707" t="s">
        <v>13172</v>
      </c>
      <c r="BF707" t="str">
        <f>HYPERLINK("http://dx.doi.org/10.5194/bg-11-2755-2014","http://dx.doi.org/10.5194/bg-11-2755-2014")</f>
        <v>http://dx.doi.org/10.5194/bg-11-2755-2014</v>
      </c>
      <c r="BG707" t="s">
        <v>74</v>
      </c>
      <c r="BH707" t="s">
        <v>74</v>
      </c>
      <c r="BI707">
        <v>16</v>
      </c>
      <c r="BJ707" t="s">
        <v>2923</v>
      </c>
      <c r="BK707" t="s">
        <v>101</v>
      </c>
      <c r="BL707" t="s">
        <v>357</v>
      </c>
      <c r="BM707" t="s">
        <v>13173</v>
      </c>
      <c r="BN707" t="s">
        <v>74</v>
      </c>
      <c r="BO707" t="s">
        <v>9228</v>
      </c>
      <c r="BP707" t="s">
        <v>74</v>
      </c>
      <c r="BQ707" t="s">
        <v>74</v>
      </c>
      <c r="BR707" t="s">
        <v>104</v>
      </c>
      <c r="BS707" t="s">
        <v>13174</v>
      </c>
      <c r="BT707" t="str">
        <f>HYPERLINK("https%3A%2F%2Fwww.webofscience.com%2Fwos%2Fwoscc%2Ffull-record%2FWOS:000337947500014","View Full Record in Web of Science")</f>
        <v>View Full Record in Web of Science</v>
      </c>
    </row>
    <row r="708" spans="1:72" x14ac:dyDescent="0.15">
      <c r="A708" t="s">
        <v>72</v>
      </c>
      <c r="B708" t="s">
        <v>13175</v>
      </c>
      <c r="C708" t="s">
        <v>74</v>
      </c>
      <c r="D708" t="s">
        <v>74</v>
      </c>
      <c r="E708" t="s">
        <v>74</v>
      </c>
      <c r="F708" t="s">
        <v>13176</v>
      </c>
      <c r="G708" t="s">
        <v>74</v>
      </c>
      <c r="H708" t="s">
        <v>74</v>
      </c>
      <c r="I708" t="s">
        <v>13177</v>
      </c>
      <c r="J708" t="s">
        <v>5371</v>
      </c>
      <c r="K708" t="s">
        <v>74</v>
      </c>
      <c r="L708" t="s">
        <v>74</v>
      </c>
      <c r="M708" t="s">
        <v>78</v>
      </c>
      <c r="N708" t="s">
        <v>79</v>
      </c>
      <c r="O708" t="s">
        <v>74</v>
      </c>
      <c r="P708" t="s">
        <v>74</v>
      </c>
      <c r="Q708" t="s">
        <v>74</v>
      </c>
      <c r="R708" t="s">
        <v>74</v>
      </c>
      <c r="S708" t="s">
        <v>74</v>
      </c>
      <c r="T708" t="s">
        <v>74</v>
      </c>
      <c r="U708" t="s">
        <v>13178</v>
      </c>
      <c r="V708" t="s">
        <v>13179</v>
      </c>
      <c r="W708" t="s">
        <v>13180</v>
      </c>
      <c r="X708" t="s">
        <v>8153</v>
      </c>
      <c r="Y708" t="s">
        <v>13181</v>
      </c>
      <c r="Z708" t="s">
        <v>13182</v>
      </c>
      <c r="AA708" t="s">
        <v>74</v>
      </c>
      <c r="AB708" t="s">
        <v>74</v>
      </c>
      <c r="AC708" t="s">
        <v>13183</v>
      </c>
      <c r="AD708" t="s">
        <v>13184</v>
      </c>
      <c r="AE708" t="s">
        <v>13185</v>
      </c>
      <c r="AF708" t="s">
        <v>74</v>
      </c>
      <c r="AG708">
        <v>41</v>
      </c>
      <c r="AH708">
        <v>14</v>
      </c>
      <c r="AI708">
        <v>14</v>
      </c>
      <c r="AJ708">
        <v>0</v>
      </c>
      <c r="AK708">
        <v>6</v>
      </c>
      <c r="AL708" t="s">
        <v>5383</v>
      </c>
      <c r="AM708" t="s">
        <v>704</v>
      </c>
      <c r="AN708" t="s">
        <v>5384</v>
      </c>
      <c r="AO708" t="s">
        <v>5385</v>
      </c>
      <c r="AP708" t="s">
        <v>5386</v>
      </c>
      <c r="AQ708" t="s">
        <v>74</v>
      </c>
      <c r="AR708" t="s">
        <v>5387</v>
      </c>
      <c r="AS708" t="s">
        <v>5388</v>
      </c>
      <c r="AT708" t="s">
        <v>13186</v>
      </c>
      <c r="AU708">
        <v>2014</v>
      </c>
      <c r="AV708">
        <v>64</v>
      </c>
      <c r="AW708" t="s">
        <v>74</v>
      </c>
      <c r="AX708">
        <v>1</v>
      </c>
      <c r="AY708" t="s">
        <v>74</v>
      </c>
      <c r="AZ708" t="s">
        <v>74</v>
      </c>
      <c r="BA708" t="s">
        <v>74</v>
      </c>
      <c r="BB708">
        <v>174</v>
      </c>
      <c r="BC708">
        <v>179</v>
      </c>
      <c r="BD708" t="s">
        <v>74</v>
      </c>
      <c r="BE708" t="s">
        <v>13187</v>
      </c>
      <c r="BF708" t="str">
        <f>HYPERLINK("http://dx.doi.org/10.1099/ijs.0.053595-0","http://dx.doi.org/10.1099/ijs.0.053595-0")</f>
        <v>http://dx.doi.org/10.1099/ijs.0.053595-0</v>
      </c>
      <c r="BG708" t="s">
        <v>74</v>
      </c>
      <c r="BH708" t="s">
        <v>74</v>
      </c>
      <c r="BI708">
        <v>6</v>
      </c>
      <c r="BJ708" t="s">
        <v>3624</v>
      </c>
      <c r="BK708" t="s">
        <v>101</v>
      </c>
      <c r="BL708" t="s">
        <v>3624</v>
      </c>
      <c r="BM708" t="s">
        <v>13188</v>
      </c>
      <c r="BN708">
        <v>24048863</v>
      </c>
      <c r="BO708" t="s">
        <v>74</v>
      </c>
      <c r="BP708" t="s">
        <v>74</v>
      </c>
      <c r="BQ708" t="s">
        <v>74</v>
      </c>
      <c r="BR708" t="s">
        <v>104</v>
      </c>
      <c r="BS708" t="s">
        <v>13189</v>
      </c>
      <c r="BT708" t="str">
        <f>HYPERLINK("https%3A%2F%2Fwww.webofscience.com%2Fwos%2Fwoscc%2Ffull-record%2FWOS:000337930400029","View Full Record in Web of Science")</f>
        <v>View Full Record in Web of Science</v>
      </c>
    </row>
    <row r="709" spans="1:72" x14ac:dyDescent="0.15">
      <c r="A709" t="s">
        <v>72</v>
      </c>
      <c r="B709" t="s">
        <v>13190</v>
      </c>
      <c r="C709" t="s">
        <v>74</v>
      </c>
      <c r="D709" t="s">
        <v>74</v>
      </c>
      <c r="E709" t="s">
        <v>74</v>
      </c>
      <c r="F709" t="s">
        <v>13191</v>
      </c>
      <c r="G709" t="s">
        <v>74</v>
      </c>
      <c r="H709" t="s">
        <v>74</v>
      </c>
      <c r="I709" t="s">
        <v>13192</v>
      </c>
      <c r="J709" t="s">
        <v>13193</v>
      </c>
      <c r="K709" t="s">
        <v>74</v>
      </c>
      <c r="L709" t="s">
        <v>74</v>
      </c>
      <c r="M709" t="s">
        <v>78</v>
      </c>
      <c r="N709" t="s">
        <v>79</v>
      </c>
      <c r="O709" t="s">
        <v>74</v>
      </c>
      <c r="P709" t="s">
        <v>74</v>
      </c>
      <c r="Q709" t="s">
        <v>74</v>
      </c>
      <c r="R709" t="s">
        <v>74</v>
      </c>
      <c r="S709" t="s">
        <v>74</v>
      </c>
      <c r="T709" t="s">
        <v>74</v>
      </c>
      <c r="U709" t="s">
        <v>13194</v>
      </c>
      <c r="V709" t="s">
        <v>13195</v>
      </c>
      <c r="W709" t="s">
        <v>13196</v>
      </c>
      <c r="X709" t="s">
        <v>13197</v>
      </c>
      <c r="Y709" t="s">
        <v>13198</v>
      </c>
      <c r="Z709" t="s">
        <v>13199</v>
      </c>
      <c r="AA709" t="s">
        <v>74</v>
      </c>
      <c r="AB709" t="s">
        <v>13200</v>
      </c>
      <c r="AC709" t="s">
        <v>13201</v>
      </c>
      <c r="AD709" t="s">
        <v>13202</v>
      </c>
      <c r="AE709" t="s">
        <v>13203</v>
      </c>
      <c r="AF709" t="s">
        <v>74</v>
      </c>
      <c r="AG709">
        <v>91</v>
      </c>
      <c r="AH709">
        <v>5</v>
      </c>
      <c r="AI709">
        <v>6</v>
      </c>
      <c r="AJ709">
        <v>0</v>
      </c>
      <c r="AK709">
        <v>4</v>
      </c>
      <c r="AL709" t="s">
        <v>9895</v>
      </c>
      <c r="AM709" t="s">
        <v>9896</v>
      </c>
      <c r="AN709" t="s">
        <v>9897</v>
      </c>
      <c r="AO709" t="s">
        <v>13204</v>
      </c>
      <c r="AP709" t="s">
        <v>13205</v>
      </c>
      <c r="AQ709" t="s">
        <v>74</v>
      </c>
      <c r="AR709" t="s">
        <v>13206</v>
      </c>
      <c r="AS709" t="s">
        <v>13207</v>
      </c>
      <c r="AT709" t="s">
        <v>74</v>
      </c>
      <c r="AU709">
        <v>2014</v>
      </c>
      <c r="AV709">
        <v>62</v>
      </c>
      <c r="AW709">
        <v>1</v>
      </c>
      <c r="AX709" t="s">
        <v>74</v>
      </c>
      <c r="AY709" t="s">
        <v>74</v>
      </c>
      <c r="AZ709" t="s">
        <v>74</v>
      </c>
      <c r="BA709" t="s">
        <v>74</v>
      </c>
      <c r="BB709">
        <v>44</v>
      </c>
      <c r="BC709">
        <v>62</v>
      </c>
      <c r="BD709" t="s">
        <v>74</v>
      </c>
      <c r="BE709" t="s">
        <v>13208</v>
      </c>
      <c r="BF709" t="str">
        <f>HYPERLINK("http://dx.doi.org/10.1071/ZO13070","http://dx.doi.org/10.1071/ZO13070")</f>
        <v>http://dx.doi.org/10.1071/ZO13070</v>
      </c>
      <c r="BG709" t="s">
        <v>74</v>
      </c>
      <c r="BH709" t="s">
        <v>74</v>
      </c>
      <c r="BI709">
        <v>19</v>
      </c>
      <c r="BJ709" t="s">
        <v>384</v>
      </c>
      <c r="BK709" t="s">
        <v>101</v>
      </c>
      <c r="BL709" t="s">
        <v>384</v>
      </c>
      <c r="BM709" t="s">
        <v>13209</v>
      </c>
      <c r="BN709" t="s">
        <v>74</v>
      </c>
      <c r="BO709" t="s">
        <v>74</v>
      </c>
      <c r="BP709" t="s">
        <v>74</v>
      </c>
      <c r="BQ709" t="s">
        <v>74</v>
      </c>
      <c r="BR709" t="s">
        <v>104</v>
      </c>
      <c r="BS709" t="s">
        <v>13210</v>
      </c>
      <c r="BT709" t="str">
        <f>HYPERLINK("https%3A%2F%2Fwww.webofscience.com%2Fwos%2Fwoscc%2Ffull-record%2FWOS:000337661200005","View Full Record in Web of Science")</f>
        <v>View Full Record in Web of Science</v>
      </c>
    </row>
    <row r="710" spans="1:72" x14ac:dyDescent="0.15">
      <c r="A710" t="s">
        <v>72</v>
      </c>
      <c r="B710" t="s">
        <v>13211</v>
      </c>
      <c r="C710" t="s">
        <v>74</v>
      </c>
      <c r="D710" t="s">
        <v>74</v>
      </c>
      <c r="E710" t="s">
        <v>74</v>
      </c>
      <c r="F710" t="s">
        <v>13212</v>
      </c>
      <c r="G710" t="s">
        <v>74</v>
      </c>
      <c r="H710" t="s">
        <v>74</v>
      </c>
      <c r="I710" t="s">
        <v>13213</v>
      </c>
      <c r="J710" t="s">
        <v>13193</v>
      </c>
      <c r="K710" t="s">
        <v>74</v>
      </c>
      <c r="L710" t="s">
        <v>74</v>
      </c>
      <c r="M710" t="s">
        <v>78</v>
      </c>
      <c r="N710" t="s">
        <v>79</v>
      </c>
      <c r="O710" t="s">
        <v>74</v>
      </c>
      <c r="P710" t="s">
        <v>74</v>
      </c>
      <c r="Q710" t="s">
        <v>74</v>
      </c>
      <c r="R710" t="s">
        <v>74</v>
      </c>
      <c r="S710" t="s">
        <v>74</v>
      </c>
      <c r="T710" t="s">
        <v>13214</v>
      </c>
      <c r="U710" t="s">
        <v>13215</v>
      </c>
      <c r="V710" t="s">
        <v>13216</v>
      </c>
      <c r="W710" t="s">
        <v>13217</v>
      </c>
      <c r="X710" t="s">
        <v>13218</v>
      </c>
      <c r="Y710" t="s">
        <v>13219</v>
      </c>
      <c r="Z710" t="s">
        <v>13220</v>
      </c>
      <c r="AA710" t="s">
        <v>13221</v>
      </c>
      <c r="AB710" t="s">
        <v>13222</v>
      </c>
      <c r="AC710" t="s">
        <v>13223</v>
      </c>
      <c r="AD710" t="s">
        <v>13224</v>
      </c>
      <c r="AE710" t="s">
        <v>13225</v>
      </c>
      <c r="AF710" t="s">
        <v>74</v>
      </c>
      <c r="AG710">
        <v>37</v>
      </c>
      <c r="AH710">
        <v>14</v>
      </c>
      <c r="AI710">
        <v>14</v>
      </c>
      <c r="AJ710">
        <v>0</v>
      </c>
      <c r="AK710">
        <v>31</v>
      </c>
      <c r="AL710" t="s">
        <v>9895</v>
      </c>
      <c r="AM710" t="s">
        <v>9896</v>
      </c>
      <c r="AN710" t="s">
        <v>9897</v>
      </c>
      <c r="AO710" t="s">
        <v>13204</v>
      </c>
      <c r="AP710" t="s">
        <v>13205</v>
      </c>
      <c r="AQ710" t="s">
        <v>74</v>
      </c>
      <c r="AR710" t="s">
        <v>13206</v>
      </c>
      <c r="AS710" t="s">
        <v>13207</v>
      </c>
      <c r="AT710" t="s">
        <v>74</v>
      </c>
      <c r="AU710">
        <v>2014</v>
      </c>
      <c r="AV710">
        <v>62</v>
      </c>
      <c r="AW710">
        <v>2</v>
      </c>
      <c r="AX710" t="s">
        <v>74</v>
      </c>
      <c r="AY710" t="s">
        <v>74</v>
      </c>
      <c r="AZ710" t="s">
        <v>74</v>
      </c>
      <c r="BA710" t="s">
        <v>74</v>
      </c>
      <c r="BB710">
        <v>157</v>
      </c>
      <c r="BC710">
        <v>165</v>
      </c>
      <c r="BD710" t="s">
        <v>74</v>
      </c>
      <c r="BE710" t="s">
        <v>13226</v>
      </c>
      <c r="BF710" t="str">
        <f>HYPERLINK("http://dx.doi.org/10.1071/ZO13103","http://dx.doi.org/10.1071/ZO13103")</f>
        <v>http://dx.doi.org/10.1071/ZO13103</v>
      </c>
      <c r="BG710" t="s">
        <v>74</v>
      </c>
      <c r="BH710" t="s">
        <v>74</v>
      </c>
      <c r="BI710">
        <v>9</v>
      </c>
      <c r="BJ710" t="s">
        <v>384</v>
      </c>
      <c r="BK710" t="s">
        <v>101</v>
      </c>
      <c r="BL710" t="s">
        <v>384</v>
      </c>
      <c r="BM710" t="s">
        <v>13227</v>
      </c>
      <c r="BN710" t="s">
        <v>74</v>
      </c>
      <c r="BO710" t="s">
        <v>810</v>
      </c>
      <c r="BP710" t="s">
        <v>74</v>
      </c>
      <c r="BQ710" t="s">
        <v>74</v>
      </c>
      <c r="BR710" t="s">
        <v>104</v>
      </c>
      <c r="BS710" t="s">
        <v>13228</v>
      </c>
      <c r="BT710" t="str">
        <f>HYPERLINK("https%3A%2F%2Fwww.webofscience.com%2Fwos%2Fwoscc%2Ffull-record%2FWOS:000337732200003","View Full Record in Web of Science")</f>
        <v>View Full Record in Web of Science</v>
      </c>
    </row>
    <row r="711" spans="1:72" x14ac:dyDescent="0.15">
      <c r="A711" t="s">
        <v>72</v>
      </c>
      <c r="B711" t="s">
        <v>13229</v>
      </c>
      <c r="C711" t="s">
        <v>74</v>
      </c>
      <c r="D711" t="s">
        <v>74</v>
      </c>
      <c r="E711" t="s">
        <v>74</v>
      </c>
      <c r="F711" t="s">
        <v>13230</v>
      </c>
      <c r="G711" t="s">
        <v>74</v>
      </c>
      <c r="H711" t="s">
        <v>74</v>
      </c>
      <c r="I711" t="s">
        <v>13231</v>
      </c>
      <c r="J711" t="s">
        <v>13232</v>
      </c>
      <c r="K711" t="s">
        <v>74</v>
      </c>
      <c r="L711" t="s">
        <v>74</v>
      </c>
      <c r="M711" t="s">
        <v>78</v>
      </c>
      <c r="N711" t="s">
        <v>79</v>
      </c>
      <c r="O711" t="s">
        <v>74</v>
      </c>
      <c r="P711" t="s">
        <v>74</v>
      </c>
      <c r="Q711" t="s">
        <v>74</v>
      </c>
      <c r="R711" t="s">
        <v>74</v>
      </c>
      <c r="S711" t="s">
        <v>74</v>
      </c>
      <c r="T711" t="s">
        <v>74</v>
      </c>
      <c r="U711" t="s">
        <v>13233</v>
      </c>
      <c r="V711" t="s">
        <v>13234</v>
      </c>
      <c r="W711" t="s">
        <v>13235</v>
      </c>
      <c r="X711" t="s">
        <v>13236</v>
      </c>
      <c r="Y711" t="s">
        <v>13237</v>
      </c>
      <c r="Z711" t="s">
        <v>13238</v>
      </c>
      <c r="AA711" t="s">
        <v>13239</v>
      </c>
      <c r="AB711" t="s">
        <v>13240</v>
      </c>
      <c r="AC711" t="s">
        <v>13241</v>
      </c>
      <c r="AD711" t="s">
        <v>13242</v>
      </c>
      <c r="AE711" t="s">
        <v>13243</v>
      </c>
      <c r="AF711" t="s">
        <v>74</v>
      </c>
      <c r="AG711">
        <v>42</v>
      </c>
      <c r="AH711">
        <v>3</v>
      </c>
      <c r="AI711">
        <v>3</v>
      </c>
      <c r="AJ711">
        <v>0</v>
      </c>
      <c r="AK711">
        <v>10</v>
      </c>
      <c r="AL711" t="s">
        <v>12368</v>
      </c>
      <c r="AM711" t="s">
        <v>704</v>
      </c>
      <c r="AN711" t="s">
        <v>12369</v>
      </c>
      <c r="AO711" t="s">
        <v>13244</v>
      </c>
      <c r="AP711" t="s">
        <v>13245</v>
      </c>
      <c r="AQ711" t="s">
        <v>74</v>
      </c>
      <c r="AR711" t="s">
        <v>13246</v>
      </c>
      <c r="AS711" t="s">
        <v>13247</v>
      </c>
      <c r="AT711" t="s">
        <v>74</v>
      </c>
      <c r="AU711">
        <v>2014</v>
      </c>
      <c r="AV711">
        <v>2014</v>
      </c>
      <c r="AW711" t="s">
        <v>74</v>
      </c>
      <c r="AX711" t="s">
        <v>74</v>
      </c>
      <c r="AY711" t="s">
        <v>74</v>
      </c>
      <c r="AZ711" t="s">
        <v>74</v>
      </c>
      <c r="BA711" t="s">
        <v>74</v>
      </c>
      <c r="BB711" t="s">
        <v>74</v>
      </c>
      <c r="BC711" t="s">
        <v>74</v>
      </c>
      <c r="BD711">
        <v>570925</v>
      </c>
      <c r="BE711" t="s">
        <v>13248</v>
      </c>
      <c r="BF711" t="str">
        <f>HYPERLINK("http://dx.doi.org/10.1155/2014/570925","http://dx.doi.org/10.1155/2014/570925")</f>
        <v>http://dx.doi.org/10.1155/2014/570925</v>
      </c>
      <c r="BG711" t="s">
        <v>74</v>
      </c>
      <c r="BH711" t="s">
        <v>74</v>
      </c>
      <c r="BI711">
        <v>9</v>
      </c>
      <c r="BJ711" t="s">
        <v>13249</v>
      </c>
      <c r="BK711" t="s">
        <v>101</v>
      </c>
      <c r="BL711" t="s">
        <v>13250</v>
      </c>
      <c r="BM711" t="s">
        <v>13251</v>
      </c>
      <c r="BN711">
        <v>25032215</v>
      </c>
      <c r="BO711" t="s">
        <v>1270</v>
      </c>
      <c r="BP711" t="s">
        <v>74</v>
      </c>
      <c r="BQ711" t="s">
        <v>74</v>
      </c>
      <c r="BR711" t="s">
        <v>104</v>
      </c>
      <c r="BS711" t="s">
        <v>13252</v>
      </c>
      <c r="BT711" t="str">
        <f>HYPERLINK("https%3A%2F%2Fwww.webofscience.com%2Fwos%2Fwoscc%2Ffull-record%2FWOS:000337475900001","View Full Record in Web of Science")</f>
        <v>View Full Record in Web of Science</v>
      </c>
    </row>
    <row r="712" spans="1:72" x14ac:dyDescent="0.15">
      <c r="A712" t="s">
        <v>72</v>
      </c>
      <c r="B712" t="s">
        <v>13253</v>
      </c>
      <c r="C712" t="s">
        <v>74</v>
      </c>
      <c r="D712" t="s">
        <v>74</v>
      </c>
      <c r="E712" t="s">
        <v>74</v>
      </c>
      <c r="F712" t="s">
        <v>13254</v>
      </c>
      <c r="G712" t="s">
        <v>74</v>
      </c>
      <c r="H712" t="s">
        <v>74</v>
      </c>
      <c r="I712" t="s">
        <v>13255</v>
      </c>
      <c r="J712" t="s">
        <v>13256</v>
      </c>
      <c r="K712" t="s">
        <v>74</v>
      </c>
      <c r="L712" t="s">
        <v>74</v>
      </c>
      <c r="M712" t="s">
        <v>78</v>
      </c>
      <c r="N712" t="s">
        <v>79</v>
      </c>
      <c r="O712" t="s">
        <v>74</v>
      </c>
      <c r="P712" t="s">
        <v>74</v>
      </c>
      <c r="Q712" t="s">
        <v>74</v>
      </c>
      <c r="R712" t="s">
        <v>74</v>
      </c>
      <c r="S712" t="s">
        <v>74</v>
      </c>
      <c r="T712" t="s">
        <v>74</v>
      </c>
      <c r="U712" t="s">
        <v>13257</v>
      </c>
      <c r="V712" t="s">
        <v>13258</v>
      </c>
      <c r="W712" t="s">
        <v>13259</v>
      </c>
      <c r="X712" t="s">
        <v>5161</v>
      </c>
      <c r="Y712" t="s">
        <v>13260</v>
      </c>
      <c r="Z712" t="s">
        <v>13261</v>
      </c>
      <c r="AA712" t="s">
        <v>74</v>
      </c>
      <c r="AB712" t="s">
        <v>5164</v>
      </c>
      <c r="AC712" t="s">
        <v>13262</v>
      </c>
      <c r="AD712" t="s">
        <v>13263</v>
      </c>
      <c r="AE712" t="s">
        <v>13264</v>
      </c>
      <c r="AF712" t="s">
        <v>74</v>
      </c>
      <c r="AG712">
        <v>57</v>
      </c>
      <c r="AH712">
        <v>5</v>
      </c>
      <c r="AI712">
        <v>6</v>
      </c>
      <c r="AJ712">
        <v>2</v>
      </c>
      <c r="AK712">
        <v>22</v>
      </c>
      <c r="AL712" t="s">
        <v>13265</v>
      </c>
      <c r="AM712" t="s">
        <v>8869</v>
      </c>
      <c r="AN712" t="s">
        <v>13266</v>
      </c>
      <c r="AO712" t="s">
        <v>11055</v>
      </c>
      <c r="AP712" t="s">
        <v>11056</v>
      </c>
      <c r="AQ712" t="s">
        <v>74</v>
      </c>
      <c r="AR712" t="s">
        <v>11042</v>
      </c>
      <c r="AS712" t="s">
        <v>11057</v>
      </c>
      <c r="AT712" t="s">
        <v>74</v>
      </c>
      <c r="AU712">
        <v>2014</v>
      </c>
      <c r="AV712">
        <v>114</v>
      </c>
      <c r="AW712">
        <v>2</v>
      </c>
      <c r="AX712" t="s">
        <v>74</v>
      </c>
      <c r="AY712" t="s">
        <v>74</v>
      </c>
      <c r="AZ712" t="s">
        <v>74</v>
      </c>
      <c r="BA712" t="s">
        <v>74</v>
      </c>
      <c r="BB712">
        <v>137</v>
      </c>
      <c r="BC712">
        <v>145</v>
      </c>
      <c r="BD712" t="s">
        <v>74</v>
      </c>
      <c r="BE712" t="s">
        <v>13267</v>
      </c>
      <c r="BF712" t="str">
        <f>HYPERLINK("http://dx.doi.org/10.1071/MU12054","http://dx.doi.org/10.1071/MU12054")</f>
        <v>http://dx.doi.org/10.1071/MU12054</v>
      </c>
      <c r="BG712" t="s">
        <v>74</v>
      </c>
      <c r="BH712" t="s">
        <v>74</v>
      </c>
      <c r="BI712">
        <v>9</v>
      </c>
      <c r="BJ712" t="s">
        <v>11059</v>
      </c>
      <c r="BK712" t="s">
        <v>101</v>
      </c>
      <c r="BL712" t="s">
        <v>384</v>
      </c>
      <c r="BM712" t="s">
        <v>13268</v>
      </c>
      <c r="BN712" t="s">
        <v>74</v>
      </c>
      <c r="BO712" t="s">
        <v>74</v>
      </c>
      <c r="BP712" t="s">
        <v>74</v>
      </c>
      <c r="BQ712" t="s">
        <v>74</v>
      </c>
      <c r="BR712" t="s">
        <v>104</v>
      </c>
      <c r="BS712" t="s">
        <v>13269</v>
      </c>
      <c r="BT712" t="str">
        <f>HYPERLINK("https%3A%2F%2Fwww.webofscience.com%2Fwos%2Fwoscc%2Ffull-record%2FWOS:000337723100007","View Full Record in Web of Science")</f>
        <v>View Full Record in Web of Science</v>
      </c>
    </row>
    <row r="713" spans="1:72" x14ac:dyDescent="0.15">
      <c r="A713" t="s">
        <v>72</v>
      </c>
      <c r="B713" t="s">
        <v>13270</v>
      </c>
      <c r="C713" t="s">
        <v>74</v>
      </c>
      <c r="D713" t="s">
        <v>74</v>
      </c>
      <c r="E713" t="s">
        <v>74</v>
      </c>
      <c r="F713" t="s">
        <v>13271</v>
      </c>
      <c r="G713" t="s">
        <v>74</v>
      </c>
      <c r="H713" t="s">
        <v>74</v>
      </c>
      <c r="I713" t="s">
        <v>13272</v>
      </c>
      <c r="J713" t="s">
        <v>13273</v>
      </c>
      <c r="K713" t="s">
        <v>74</v>
      </c>
      <c r="L713" t="s">
        <v>74</v>
      </c>
      <c r="M713" t="s">
        <v>78</v>
      </c>
      <c r="N713" t="s">
        <v>79</v>
      </c>
      <c r="O713" t="s">
        <v>74</v>
      </c>
      <c r="P713" t="s">
        <v>74</v>
      </c>
      <c r="Q713" t="s">
        <v>74</v>
      </c>
      <c r="R713" t="s">
        <v>74</v>
      </c>
      <c r="S713" t="s">
        <v>74</v>
      </c>
      <c r="T713" t="s">
        <v>13274</v>
      </c>
      <c r="U713" t="s">
        <v>13275</v>
      </c>
      <c r="V713" t="s">
        <v>13276</v>
      </c>
      <c r="W713" t="s">
        <v>13277</v>
      </c>
      <c r="X713" t="s">
        <v>13278</v>
      </c>
      <c r="Y713" t="s">
        <v>13279</v>
      </c>
      <c r="Z713" t="s">
        <v>13280</v>
      </c>
      <c r="AA713" t="s">
        <v>13281</v>
      </c>
      <c r="AB713" t="s">
        <v>13282</v>
      </c>
      <c r="AC713" t="s">
        <v>13283</v>
      </c>
      <c r="AD713" t="s">
        <v>13284</v>
      </c>
      <c r="AE713" t="s">
        <v>13285</v>
      </c>
      <c r="AF713" t="s">
        <v>74</v>
      </c>
      <c r="AG713">
        <v>102</v>
      </c>
      <c r="AH713">
        <v>29</v>
      </c>
      <c r="AI713">
        <v>30</v>
      </c>
      <c r="AJ713">
        <v>2</v>
      </c>
      <c r="AK713">
        <v>30</v>
      </c>
      <c r="AL713" t="s">
        <v>9895</v>
      </c>
      <c r="AM713" t="s">
        <v>9896</v>
      </c>
      <c r="AN713" t="s">
        <v>9897</v>
      </c>
      <c r="AO713" t="s">
        <v>13286</v>
      </c>
      <c r="AP713" t="s">
        <v>13287</v>
      </c>
      <c r="AQ713" t="s">
        <v>74</v>
      </c>
      <c r="AR713" t="s">
        <v>13288</v>
      </c>
      <c r="AS713" t="s">
        <v>13289</v>
      </c>
      <c r="AT713" t="s">
        <v>74</v>
      </c>
      <c r="AU713">
        <v>2014</v>
      </c>
      <c r="AV713">
        <v>65</v>
      </c>
      <c r="AW713">
        <v>6</v>
      </c>
      <c r="AX713" t="s">
        <v>74</v>
      </c>
      <c r="AY713" t="s">
        <v>74</v>
      </c>
      <c r="AZ713" t="s">
        <v>74</v>
      </c>
      <c r="BA713" t="s">
        <v>74</v>
      </c>
      <c r="BB713">
        <v>517</v>
      </c>
      <c r="BC713">
        <v>537</v>
      </c>
      <c r="BD713" t="s">
        <v>74</v>
      </c>
      <c r="BE713" t="s">
        <v>13290</v>
      </c>
      <c r="BF713" t="str">
        <f>HYPERLINK("http://dx.doi.org/10.1071/MF13137","http://dx.doi.org/10.1071/MF13137")</f>
        <v>http://dx.doi.org/10.1071/MF13137</v>
      </c>
      <c r="BG713" t="s">
        <v>74</v>
      </c>
      <c r="BH713" t="s">
        <v>74</v>
      </c>
      <c r="BI713">
        <v>21</v>
      </c>
      <c r="BJ713" t="s">
        <v>13291</v>
      </c>
      <c r="BK713" t="s">
        <v>101</v>
      </c>
      <c r="BL713" t="s">
        <v>4129</v>
      </c>
      <c r="BM713" t="s">
        <v>13292</v>
      </c>
      <c r="BN713" t="s">
        <v>74</v>
      </c>
      <c r="BO713" t="s">
        <v>7532</v>
      </c>
      <c r="BP713" t="s">
        <v>74</v>
      </c>
      <c r="BQ713" t="s">
        <v>74</v>
      </c>
      <c r="BR713" t="s">
        <v>104</v>
      </c>
      <c r="BS713" t="s">
        <v>13293</v>
      </c>
      <c r="BT713" t="str">
        <f>HYPERLINK("https%3A%2F%2Fwww.webofscience.com%2Fwos%2Fwoscc%2Ffull-record%2FWOS:000337724200005","View Full Record in Web of Science")</f>
        <v>View Full Record in Web of Science</v>
      </c>
    </row>
    <row r="714" spans="1:72" x14ac:dyDescent="0.15">
      <c r="A714" t="s">
        <v>72</v>
      </c>
      <c r="B714" t="s">
        <v>13294</v>
      </c>
      <c r="C714" t="s">
        <v>74</v>
      </c>
      <c r="D714" t="s">
        <v>74</v>
      </c>
      <c r="E714" t="s">
        <v>74</v>
      </c>
      <c r="F714" t="s">
        <v>13295</v>
      </c>
      <c r="G714" t="s">
        <v>74</v>
      </c>
      <c r="H714" t="s">
        <v>74</v>
      </c>
      <c r="I714" t="s">
        <v>13296</v>
      </c>
      <c r="J714" t="s">
        <v>13297</v>
      </c>
      <c r="K714" t="s">
        <v>74</v>
      </c>
      <c r="L714" t="s">
        <v>74</v>
      </c>
      <c r="M714" t="s">
        <v>78</v>
      </c>
      <c r="N714" t="s">
        <v>79</v>
      </c>
      <c r="O714" t="s">
        <v>74</v>
      </c>
      <c r="P714" t="s">
        <v>74</v>
      </c>
      <c r="Q714" t="s">
        <v>74</v>
      </c>
      <c r="R714" t="s">
        <v>74</v>
      </c>
      <c r="S714" t="s">
        <v>74</v>
      </c>
      <c r="T714" t="s">
        <v>13298</v>
      </c>
      <c r="U714" t="s">
        <v>13299</v>
      </c>
      <c r="V714" t="s">
        <v>13300</v>
      </c>
      <c r="W714" t="s">
        <v>13301</v>
      </c>
      <c r="X714" t="s">
        <v>13302</v>
      </c>
      <c r="Y714" t="s">
        <v>13303</v>
      </c>
      <c r="Z714" t="s">
        <v>13304</v>
      </c>
      <c r="AA714" t="s">
        <v>13305</v>
      </c>
      <c r="AB714" t="s">
        <v>13306</v>
      </c>
      <c r="AC714" t="s">
        <v>13307</v>
      </c>
      <c r="AD714" t="s">
        <v>13308</v>
      </c>
      <c r="AE714" t="s">
        <v>13309</v>
      </c>
      <c r="AF714" t="s">
        <v>74</v>
      </c>
      <c r="AG714">
        <v>65</v>
      </c>
      <c r="AH714">
        <v>30</v>
      </c>
      <c r="AI714">
        <v>32</v>
      </c>
      <c r="AJ714">
        <v>0</v>
      </c>
      <c r="AK714">
        <v>21</v>
      </c>
      <c r="AL714" t="s">
        <v>13310</v>
      </c>
      <c r="AM714" t="s">
        <v>13311</v>
      </c>
      <c r="AN714" t="s">
        <v>13312</v>
      </c>
      <c r="AO714" t="s">
        <v>13313</v>
      </c>
      <c r="AP714" t="s">
        <v>13314</v>
      </c>
      <c r="AQ714" t="s">
        <v>74</v>
      </c>
      <c r="AR714" t="s">
        <v>13315</v>
      </c>
      <c r="AS714" t="s">
        <v>13316</v>
      </c>
      <c r="AT714" t="s">
        <v>74</v>
      </c>
      <c r="AU714">
        <v>2014</v>
      </c>
      <c r="AV714">
        <v>37</v>
      </c>
      <c r="AW714">
        <v>2</v>
      </c>
      <c r="AX714" t="s">
        <v>74</v>
      </c>
      <c r="AY714" t="s">
        <v>74</v>
      </c>
      <c r="AZ714" t="s">
        <v>660</v>
      </c>
      <c r="BA714" t="s">
        <v>74</v>
      </c>
      <c r="BB714">
        <v>187</v>
      </c>
      <c r="BC714">
        <v>219</v>
      </c>
      <c r="BD714" t="s">
        <v>74</v>
      </c>
      <c r="BE714" t="s">
        <v>13317</v>
      </c>
      <c r="BF714" t="str">
        <f>HYPERLINK("http://dx.doi.org/10.1080/01490419.2014.902888","http://dx.doi.org/10.1080/01490419.2014.902888")</f>
        <v>http://dx.doi.org/10.1080/01490419.2014.902888</v>
      </c>
      <c r="BG714" t="s">
        <v>74</v>
      </c>
      <c r="BH714" t="s">
        <v>74</v>
      </c>
      <c r="BI714">
        <v>33</v>
      </c>
      <c r="BJ714" t="s">
        <v>13318</v>
      </c>
      <c r="BK714" t="s">
        <v>101</v>
      </c>
      <c r="BL714" t="s">
        <v>13318</v>
      </c>
      <c r="BM714" t="s">
        <v>13319</v>
      </c>
      <c r="BN714" t="s">
        <v>74</v>
      </c>
      <c r="BO714" t="s">
        <v>74</v>
      </c>
      <c r="BP714" t="s">
        <v>74</v>
      </c>
      <c r="BQ714" t="s">
        <v>74</v>
      </c>
      <c r="BR714" t="s">
        <v>104</v>
      </c>
      <c r="BS714" t="s">
        <v>13320</v>
      </c>
      <c r="BT714" t="str">
        <f>HYPERLINK("https%3A%2F%2Fwww.webofscience.com%2Fwos%2Fwoscc%2Ffull-record%2FWOS:000337610400006","View Full Record in Web of Science")</f>
        <v>View Full Record in Web of Science</v>
      </c>
    </row>
    <row r="715" spans="1:72" x14ac:dyDescent="0.15">
      <c r="A715" t="s">
        <v>72</v>
      </c>
      <c r="B715" t="s">
        <v>13321</v>
      </c>
      <c r="C715" t="s">
        <v>74</v>
      </c>
      <c r="D715" t="s">
        <v>74</v>
      </c>
      <c r="E715" t="s">
        <v>74</v>
      </c>
      <c r="F715" t="s">
        <v>13322</v>
      </c>
      <c r="G715" t="s">
        <v>74</v>
      </c>
      <c r="H715" t="s">
        <v>74</v>
      </c>
      <c r="I715" t="s">
        <v>13323</v>
      </c>
      <c r="J715" t="s">
        <v>10866</v>
      </c>
      <c r="K715" t="s">
        <v>74</v>
      </c>
      <c r="L715" t="s">
        <v>74</v>
      </c>
      <c r="M715" t="s">
        <v>78</v>
      </c>
      <c r="N715" t="s">
        <v>79</v>
      </c>
      <c r="O715" t="s">
        <v>74</v>
      </c>
      <c r="P715" t="s">
        <v>74</v>
      </c>
      <c r="Q715" t="s">
        <v>74</v>
      </c>
      <c r="R715" t="s">
        <v>74</v>
      </c>
      <c r="S715" t="s">
        <v>74</v>
      </c>
      <c r="T715" t="s">
        <v>13324</v>
      </c>
      <c r="U715" t="s">
        <v>13325</v>
      </c>
      <c r="V715" t="s">
        <v>13326</v>
      </c>
      <c r="W715" t="s">
        <v>13327</v>
      </c>
      <c r="X715" t="s">
        <v>13328</v>
      </c>
      <c r="Y715" t="s">
        <v>13329</v>
      </c>
      <c r="Z715" t="s">
        <v>13330</v>
      </c>
      <c r="AA715" t="s">
        <v>13331</v>
      </c>
      <c r="AB715" t="s">
        <v>13332</v>
      </c>
      <c r="AC715" t="s">
        <v>13333</v>
      </c>
      <c r="AD715" t="s">
        <v>13334</v>
      </c>
      <c r="AE715" t="s">
        <v>13335</v>
      </c>
      <c r="AF715" t="s">
        <v>74</v>
      </c>
      <c r="AG715">
        <v>130</v>
      </c>
      <c r="AH715">
        <v>33</v>
      </c>
      <c r="AI715">
        <v>38</v>
      </c>
      <c r="AJ715">
        <v>1</v>
      </c>
      <c r="AK715">
        <v>43</v>
      </c>
      <c r="AL715" t="s">
        <v>13336</v>
      </c>
      <c r="AM715" t="s">
        <v>8793</v>
      </c>
      <c r="AN715" t="s">
        <v>12208</v>
      </c>
      <c r="AO715" t="s">
        <v>10877</v>
      </c>
      <c r="AP715" t="s">
        <v>10878</v>
      </c>
      <c r="AQ715" t="s">
        <v>74</v>
      </c>
      <c r="AR715" t="s">
        <v>10866</v>
      </c>
      <c r="AS715" t="s">
        <v>10879</v>
      </c>
      <c r="AT715" t="s">
        <v>74</v>
      </c>
      <c r="AU715">
        <v>2014</v>
      </c>
      <c r="AV715" t="s">
        <v>74</v>
      </c>
      <c r="AW715">
        <v>419</v>
      </c>
      <c r="AX715" t="s">
        <v>74</v>
      </c>
      <c r="AY715" t="s">
        <v>74</v>
      </c>
      <c r="AZ715" t="s">
        <v>74</v>
      </c>
      <c r="BA715" t="s">
        <v>74</v>
      </c>
      <c r="BB715">
        <v>29</v>
      </c>
      <c r="BC715">
        <v>71</v>
      </c>
      <c r="BD715" t="s">
        <v>74</v>
      </c>
      <c r="BE715" t="s">
        <v>13337</v>
      </c>
      <c r="BF715" t="str">
        <f>HYPERLINK("http://dx.doi.org/10.3897/zookeys.419.7180","http://dx.doi.org/10.3897/zookeys.419.7180")</f>
        <v>http://dx.doi.org/10.3897/zookeys.419.7180</v>
      </c>
      <c r="BG715" t="s">
        <v>74</v>
      </c>
      <c r="BH715" t="s">
        <v>74</v>
      </c>
      <c r="BI715">
        <v>43</v>
      </c>
      <c r="BJ715" t="s">
        <v>384</v>
      </c>
      <c r="BK715" t="s">
        <v>101</v>
      </c>
      <c r="BL715" t="s">
        <v>384</v>
      </c>
      <c r="BM715" t="s">
        <v>13338</v>
      </c>
      <c r="BN715">
        <v>25061360</v>
      </c>
      <c r="BO715" t="s">
        <v>2213</v>
      </c>
      <c r="BP715" t="s">
        <v>74</v>
      </c>
      <c r="BQ715" t="s">
        <v>74</v>
      </c>
      <c r="BR715" t="s">
        <v>104</v>
      </c>
      <c r="BS715" t="s">
        <v>13339</v>
      </c>
      <c r="BT715" t="str">
        <f>HYPERLINK("https%3A%2F%2Fwww.webofscience.com%2Fwos%2Fwoscc%2Ffull-record%2FWOS:000337762900002","View Full Record in Web of Science")</f>
        <v>View Full Record in Web of Science</v>
      </c>
    </row>
    <row r="716" spans="1:72" x14ac:dyDescent="0.15">
      <c r="A716" t="s">
        <v>72</v>
      </c>
      <c r="B716" t="s">
        <v>13340</v>
      </c>
      <c r="C716" t="s">
        <v>74</v>
      </c>
      <c r="D716" t="s">
        <v>74</v>
      </c>
      <c r="E716" t="s">
        <v>74</v>
      </c>
      <c r="F716" t="s">
        <v>13341</v>
      </c>
      <c r="G716" t="s">
        <v>74</v>
      </c>
      <c r="H716" t="s">
        <v>74</v>
      </c>
      <c r="I716" t="s">
        <v>13342</v>
      </c>
      <c r="J716" t="s">
        <v>11504</v>
      </c>
      <c r="K716" t="s">
        <v>74</v>
      </c>
      <c r="L716" t="s">
        <v>74</v>
      </c>
      <c r="M716" t="s">
        <v>78</v>
      </c>
      <c r="N716" t="s">
        <v>79</v>
      </c>
      <c r="O716" t="s">
        <v>74</v>
      </c>
      <c r="P716" t="s">
        <v>74</v>
      </c>
      <c r="Q716" t="s">
        <v>74</v>
      </c>
      <c r="R716" t="s">
        <v>74</v>
      </c>
      <c r="S716" t="s">
        <v>74</v>
      </c>
      <c r="T716" t="s">
        <v>74</v>
      </c>
      <c r="U716" t="s">
        <v>13343</v>
      </c>
      <c r="V716" t="s">
        <v>13344</v>
      </c>
      <c r="W716" t="s">
        <v>13345</v>
      </c>
      <c r="X716" t="s">
        <v>13346</v>
      </c>
      <c r="Y716" t="s">
        <v>13347</v>
      </c>
      <c r="Z716" t="s">
        <v>13348</v>
      </c>
      <c r="AA716" t="s">
        <v>13349</v>
      </c>
      <c r="AB716" t="s">
        <v>13350</v>
      </c>
      <c r="AC716" t="s">
        <v>13351</v>
      </c>
      <c r="AD716" t="s">
        <v>13352</v>
      </c>
      <c r="AE716" t="s">
        <v>13353</v>
      </c>
      <c r="AF716" t="s">
        <v>74</v>
      </c>
      <c r="AG716">
        <v>37</v>
      </c>
      <c r="AH716">
        <v>47</v>
      </c>
      <c r="AI716">
        <v>53</v>
      </c>
      <c r="AJ716">
        <v>2</v>
      </c>
      <c r="AK716">
        <v>18</v>
      </c>
      <c r="AL716" t="s">
        <v>1463</v>
      </c>
      <c r="AM716" t="s">
        <v>1464</v>
      </c>
      <c r="AN716" t="s">
        <v>1465</v>
      </c>
      <c r="AO716" t="s">
        <v>11516</v>
      </c>
      <c r="AP716" t="s">
        <v>11517</v>
      </c>
      <c r="AQ716" t="s">
        <v>74</v>
      </c>
      <c r="AR716" t="s">
        <v>11518</v>
      </c>
      <c r="AS716" t="s">
        <v>11519</v>
      </c>
      <c r="AT716" t="s">
        <v>74</v>
      </c>
      <c r="AU716">
        <v>2014</v>
      </c>
      <c r="AV716">
        <v>7</v>
      </c>
      <c r="AW716">
        <v>5</v>
      </c>
      <c r="AX716" t="s">
        <v>74</v>
      </c>
      <c r="AY716" t="s">
        <v>74</v>
      </c>
      <c r="AZ716" t="s">
        <v>74</v>
      </c>
      <c r="BA716" t="s">
        <v>74</v>
      </c>
      <c r="BB716">
        <v>1475</v>
      </c>
      <c r="BC716">
        <v>1486</v>
      </c>
      <c r="BD716" t="s">
        <v>74</v>
      </c>
      <c r="BE716" t="s">
        <v>13354</v>
      </c>
      <c r="BF716" t="str">
        <f>HYPERLINK("http://dx.doi.org/10.5194/amt-7-1475-2014","http://dx.doi.org/10.5194/amt-7-1475-2014")</f>
        <v>http://dx.doi.org/10.5194/amt-7-1475-2014</v>
      </c>
      <c r="BG716" t="s">
        <v>74</v>
      </c>
      <c r="BH716" t="s">
        <v>74</v>
      </c>
      <c r="BI716">
        <v>12</v>
      </c>
      <c r="BJ716" t="s">
        <v>1391</v>
      </c>
      <c r="BK716" t="s">
        <v>101</v>
      </c>
      <c r="BL716" t="s">
        <v>1391</v>
      </c>
      <c r="BM716" t="s">
        <v>13355</v>
      </c>
      <c r="BN716" t="s">
        <v>74</v>
      </c>
      <c r="BO716" t="s">
        <v>9228</v>
      </c>
      <c r="BP716" t="s">
        <v>74</v>
      </c>
      <c r="BQ716" t="s">
        <v>74</v>
      </c>
      <c r="BR716" t="s">
        <v>104</v>
      </c>
      <c r="BS716" t="s">
        <v>13356</v>
      </c>
      <c r="BT716" t="str">
        <f>HYPERLINK("https%3A%2F%2Fwww.webofscience.com%2Fwos%2Fwoscc%2Ffull-record%2FWOS:000336740700020","View Full Record in Web of Science")</f>
        <v>View Full Record in Web of Science</v>
      </c>
    </row>
    <row r="717" spans="1:72" x14ac:dyDescent="0.15">
      <c r="A717" t="s">
        <v>72</v>
      </c>
      <c r="B717" t="s">
        <v>13357</v>
      </c>
      <c r="C717" t="s">
        <v>74</v>
      </c>
      <c r="D717" t="s">
        <v>74</v>
      </c>
      <c r="E717" t="s">
        <v>74</v>
      </c>
      <c r="F717" t="s">
        <v>13358</v>
      </c>
      <c r="G717" t="s">
        <v>74</v>
      </c>
      <c r="H717" t="s">
        <v>74</v>
      </c>
      <c r="I717" t="s">
        <v>13359</v>
      </c>
      <c r="J717" t="s">
        <v>13360</v>
      </c>
      <c r="K717" t="s">
        <v>74</v>
      </c>
      <c r="L717" t="s">
        <v>74</v>
      </c>
      <c r="M717" t="s">
        <v>78</v>
      </c>
      <c r="N717" t="s">
        <v>79</v>
      </c>
      <c r="O717" t="s">
        <v>74</v>
      </c>
      <c r="P717" t="s">
        <v>74</v>
      </c>
      <c r="Q717" t="s">
        <v>74</v>
      </c>
      <c r="R717" t="s">
        <v>74</v>
      </c>
      <c r="S717" t="s">
        <v>74</v>
      </c>
      <c r="T717" t="s">
        <v>74</v>
      </c>
      <c r="U717" t="s">
        <v>13361</v>
      </c>
      <c r="V717" t="s">
        <v>13362</v>
      </c>
      <c r="W717" t="s">
        <v>13363</v>
      </c>
      <c r="X717" t="s">
        <v>13364</v>
      </c>
      <c r="Y717" t="s">
        <v>13365</v>
      </c>
      <c r="Z717" t="s">
        <v>13366</v>
      </c>
      <c r="AA717" t="s">
        <v>13367</v>
      </c>
      <c r="AB717" t="s">
        <v>13368</v>
      </c>
      <c r="AC717" t="s">
        <v>13369</v>
      </c>
      <c r="AD717" t="s">
        <v>13370</v>
      </c>
      <c r="AE717" t="s">
        <v>13371</v>
      </c>
      <c r="AF717" t="s">
        <v>74</v>
      </c>
      <c r="AG717">
        <v>76</v>
      </c>
      <c r="AH717">
        <v>62</v>
      </c>
      <c r="AI717">
        <v>68</v>
      </c>
      <c r="AJ717">
        <v>0</v>
      </c>
      <c r="AK717">
        <v>12</v>
      </c>
      <c r="AL717" t="s">
        <v>13310</v>
      </c>
      <c r="AM717" t="s">
        <v>13311</v>
      </c>
      <c r="AN717" t="s">
        <v>13312</v>
      </c>
      <c r="AO717" t="s">
        <v>13372</v>
      </c>
      <c r="AP717" t="s">
        <v>13373</v>
      </c>
      <c r="AQ717" t="s">
        <v>74</v>
      </c>
      <c r="AR717" t="s">
        <v>13374</v>
      </c>
      <c r="AS717" t="s">
        <v>13375</v>
      </c>
      <c r="AT717" t="s">
        <v>74</v>
      </c>
      <c r="AU717">
        <v>2014</v>
      </c>
      <c r="AV717">
        <v>34</v>
      </c>
      <c r="AW717">
        <v>1</v>
      </c>
      <c r="AX717" t="s">
        <v>74</v>
      </c>
      <c r="AY717" t="s">
        <v>74</v>
      </c>
      <c r="AZ717" t="s">
        <v>74</v>
      </c>
      <c r="BA717" t="s">
        <v>74</v>
      </c>
      <c r="BB717">
        <v>100</v>
      </c>
      <c r="BC717">
        <v>125</v>
      </c>
      <c r="BD717" t="s">
        <v>74</v>
      </c>
      <c r="BE717" t="s">
        <v>13376</v>
      </c>
      <c r="BF717" t="str">
        <f>HYPERLINK("http://dx.doi.org/10.1080/02724634.2013.780953","http://dx.doi.org/10.1080/02724634.2013.780953")</f>
        <v>http://dx.doi.org/10.1080/02724634.2013.780953</v>
      </c>
      <c r="BG717" t="s">
        <v>74</v>
      </c>
      <c r="BH717" t="s">
        <v>74</v>
      </c>
      <c r="BI717">
        <v>26</v>
      </c>
      <c r="BJ717" t="s">
        <v>2715</v>
      </c>
      <c r="BK717" t="s">
        <v>101</v>
      </c>
      <c r="BL717" t="s">
        <v>2715</v>
      </c>
      <c r="BM717" t="s">
        <v>13377</v>
      </c>
      <c r="BN717" t="s">
        <v>74</v>
      </c>
      <c r="BO717" t="s">
        <v>234</v>
      </c>
      <c r="BP717" t="s">
        <v>74</v>
      </c>
      <c r="BQ717" t="s">
        <v>74</v>
      </c>
      <c r="BR717" t="s">
        <v>104</v>
      </c>
      <c r="BS717" t="s">
        <v>13378</v>
      </c>
      <c r="BT717" t="str">
        <f>HYPERLINK("https%3A%2F%2Fwww.webofscience.com%2Fwos%2Fwoscc%2Ffull-record%2FWOS:000337235500008","View Full Record in Web of Science")</f>
        <v>View Full Record in Web of Science</v>
      </c>
    </row>
    <row r="718" spans="1:72" x14ac:dyDescent="0.15">
      <c r="A718" t="s">
        <v>8803</v>
      </c>
      <c r="B718" t="s">
        <v>13379</v>
      </c>
      <c r="C718" t="s">
        <v>74</v>
      </c>
      <c r="D718" t="s">
        <v>13380</v>
      </c>
      <c r="E718" t="s">
        <v>74</v>
      </c>
      <c r="F718" t="s">
        <v>13381</v>
      </c>
      <c r="G718" t="s">
        <v>74</v>
      </c>
      <c r="H718" t="s">
        <v>74</v>
      </c>
      <c r="I718" t="s">
        <v>13382</v>
      </c>
      <c r="J718" t="s">
        <v>13383</v>
      </c>
      <c r="K718" t="s">
        <v>74</v>
      </c>
      <c r="L718" t="s">
        <v>74</v>
      </c>
      <c r="M718" t="s">
        <v>78</v>
      </c>
      <c r="N718" t="s">
        <v>8809</v>
      </c>
      <c r="O718" t="s">
        <v>74</v>
      </c>
      <c r="P718" t="s">
        <v>74</v>
      </c>
      <c r="Q718" t="s">
        <v>74</v>
      </c>
      <c r="R718" t="s">
        <v>74</v>
      </c>
      <c r="S718" t="s">
        <v>74</v>
      </c>
      <c r="T718" t="s">
        <v>74</v>
      </c>
      <c r="U718" t="s">
        <v>74</v>
      </c>
      <c r="V718" t="s">
        <v>74</v>
      </c>
      <c r="W718" t="s">
        <v>13384</v>
      </c>
      <c r="X718" t="s">
        <v>13385</v>
      </c>
      <c r="Y718" t="s">
        <v>13386</v>
      </c>
      <c r="Z718" t="s">
        <v>74</v>
      </c>
      <c r="AA718" t="s">
        <v>74</v>
      </c>
      <c r="AB718" t="s">
        <v>74</v>
      </c>
      <c r="AC718" t="s">
        <v>74</v>
      </c>
      <c r="AD718" t="s">
        <v>74</v>
      </c>
      <c r="AE718" t="s">
        <v>74</v>
      </c>
      <c r="AF718" t="s">
        <v>74</v>
      </c>
      <c r="AG718">
        <v>38</v>
      </c>
      <c r="AH718">
        <v>19</v>
      </c>
      <c r="AI718">
        <v>19</v>
      </c>
      <c r="AJ718">
        <v>0</v>
      </c>
      <c r="AK718">
        <v>2</v>
      </c>
      <c r="AL718" t="s">
        <v>13387</v>
      </c>
      <c r="AM718" t="s">
        <v>13388</v>
      </c>
      <c r="AN718" t="s">
        <v>13389</v>
      </c>
      <c r="AO718" t="s">
        <v>74</v>
      </c>
      <c r="AP718" t="s">
        <v>74</v>
      </c>
      <c r="AQ718" t="s">
        <v>13390</v>
      </c>
      <c r="AR718" t="s">
        <v>74</v>
      </c>
      <c r="AS718" t="s">
        <v>74</v>
      </c>
      <c r="AT718" t="s">
        <v>74</v>
      </c>
      <c r="AU718">
        <v>2014</v>
      </c>
      <c r="AV718" t="s">
        <v>74</v>
      </c>
      <c r="AW718" t="s">
        <v>74</v>
      </c>
      <c r="AX718" t="s">
        <v>74</v>
      </c>
      <c r="AY718" t="s">
        <v>74</v>
      </c>
      <c r="AZ718" t="s">
        <v>74</v>
      </c>
      <c r="BA718" t="s">
        <v>74</v>
      </c>
      <c r="BB718">
        <v>55</v>
      </c>
      <c r="BC718">
        <v>73</v>
      </c>
      <c r="BD718" t="s">
        <v>74</v>
      </c>
      <c r="BE718" t="s">
        <v>74</v>
      </c>
      <c r="BF718" t="s">
        <v>74</v>
      </c>
      <c r="BG718" t="s">
        <v>13391</v>
      </c>
      <c r="BH718" t="s">
        <v>74</v>
      </c>
      <c r="BI718">
        <v>19</v>
      </c>
      <c r="BJ718" t="s">
        <v>13392</v>
      </c>
      <c r="BK718" t="s">
        <v>8815</v>
      </c>
      <c r="BL718" t="s">
        <v>13393</v>
      </c>
      <c r="BM718" t="s">
        <v>13394</v>
      </c>
      <c r="BN718" t="s">
        <v>74</v>
      </c>
      <c r="BO718" t="s">
        <v>74</v>
      </c>
      <c r="BP718" t="s">
        <v>74</v>
      </c>
      <c r="BQ718" t="s">
        <v>74</v>
      </c>
      <c r="BR718" t="s">
        <v>104</v>
      </c>
      <c r="BS718" t="s">
        <v>13395</v>
      </c>
      <c r="BT718" t="str">
        <f>HYPERLINK("https%3A%2F%2Fwww.webofscience.com%2Fwos%2Fwoscc%2Ffull-record%2FWOS:000334351200005","View Full Record in Web of Science")</f>
        <v>View Full Record in Web of Science</v>
      </c>
    </row>
    <row r="719" spans="1:72" x14ac:dyDescent="0.15">
      <c r="A719" t="s">
        <v>8803</v>
      </c>
      <c r="B719" t="s">
        <v>13396</v>
      </c>
      <c r="C719" t="s">
        <v>74</v>
      </c>
      <c r="D719" t="s">
        <v>13380</v>
      </c>
      <c r="E719" t="s">
        <v>74</v>
      </c>
      <c r="F719" t="s">
        <v>13397</v>
      </c>
      <c r="G719" t="s">
        <v>74</v>
      </c>
      <c r="H719" t="s">
        <v>74</v>
      </c>
      <c r="I719" t="s">
        <v>13398</v>
      </c>
      <c r="J719" t="s">
        <v>13383</v>
      </c>
      <c r="K719" t="s">
        <v>74</v>
      </c>
      <c r="L719" t="s">
        <v>74</v>
      </c>
      <c r="M719" t="s">
        <v>78</v>
      </c>
      <c r="N719" t="s">
        <v>8809</v>
      </c>
      <c r="O719" t="s">
        <v>74</v>
      </c>
      <c r="P719" t="s">
        <v>74</v>
      </c>
      <c r="Q719" t="s">
        <v>74</v>
      </c>
      <c r="R719" t="s">
        <v>74</v>
      </c>
      <c r="S719" t="s">
        <v>74</v>
      </c>
      <c r="T719" t="s">
        <v>74</v>
      </c>
      <c r="U719" t="s">
        <v>13399</v>
      </c>
      <c r="V719" t="s">
        <v>74</v>
      </c>
      <c r="W719" t="s">
        <v>13400</v>
      </c>
      <c r="X719" t="s">
        <v>13401</v>
      </c>
      <c r="Y719" t="s">
        <v>13402</v>
      </c>
      <c r="Z719" t="s">
        <v>74</v>
      </c>
      <c r="AA719" t="s">
        <v>74</v>
      </c>
      <c r="AB719" t="s">
        <v>74</v>
      </c>
      <c r="AC719" t="s">
        <v>74</v>
      </c>
      <c r="AD719" t="s">
        <v>74</v>
      </c>
      <c r="AE719" t="s">
        <v>74</v>
      </c>
      <c r="AF719" t="s">
        <v>74</v>
      </c>
      <c r="AG719">
        <v>46</v>
      </c>
      <c r="AH719">
        <v>5</v>
      </c>
      <c r="AI719">
        <v>5</v>
      </c>
      <c r="AJ719">
        <v>0</v>
      </c>
      <c r="AK719">
        <v>1</v>
      </c>
      <c r="AL719" t="s">
        <v>13387</v>
      </c>
      <c r="AM719" t="s">
        <v>13388</v>
      </c>
      <c r="AN719" t="s">
        <v>13389</v>
      </c>
      <c r="AO719" t="s">
        <v>74</v>
      </c>
      <c r="AP719" t="s">
        <v>74</v>
      </c>
      <c r="AQ719" t="s">
        <v>13390</v>
      </c>
      <c r="AR719" t="s">
        <v>74</v>
      </c>
      <c r="AS719" t="s">
        <v>74</v>
      </c>
      <c r="AT719" t="s">
        <v>74</v>
      </c>
      <c r="AU719">
        <v>2014</v>
      </c>
      <c r="AV719" t="s">
        <v>74</v>
      </c>
      <c r="AW719" t="s">
        <v>74</v>
      </c>
      <c r="AX719" t="s">
        <v>74</v>
      </c>
      <c r="AY719" t="s">
        <v>74</v>
      </c>
      <c r="AZ719" t="s">
        <v>74</v>
      </c>
      <c r="BA719" t="s">
        <v>74</v>
      </c>
      <c r="BB719">
        <v>201</v>
      </c>
      <c r="BC719">
        <v>218</v>
      </c>
      <c r="BD719" t="s">
        <v>74</v>
      </c>
      <c r="BE719" t="s">
        <v>74</v>
      </c>
      <c r="BF719" t="s">
        <v>74</v>
      </c>
      <c r="BG719" t="s">
        <v>13391</v>
      </c>
      <c r="BH719" t="s">
        <v>74</v>
      </c>
      <c r="BI719">
        <v>18</v>
      </c>
      <c r="BJ719" t="s">
        <v>13392</v>
      </c>
      <c r="BK719" t="s">
        <v>8815</v>
      </c>
      <c r="BL719" t="s">
        <v>13393</v>
      </c>
      <c r="BM719" t="s">
        <v>13394</v>
      </c>
      <c r="BN719" t="s">
        <v>74</v>
      </c>
      <c r="BO719" t="s">
        <v>74</v>
      </c>
      <c r="BP719" t="s">
        <v>74</v>
      </c>
      <c r="BQ719" t="s">
        <v>74</v>
      </c>
      <c r="BR719" t="s">
        <v>104</v>
      </c>
      <c r="BS719" t="s">
        <v>13403</v>
      </c>
      <c r="BT719" t="str">
        <f>HYPERLINK("https%3A%2F%2Fwww.webofscience.com%2Fwos%2Fwoscc%2Ffull-record%2FWOS:000334351200013","View Full Record in Web of Science")</f>
        <v>View Full Record in Web of Science</v>
      </c>
    </row>
    <row r="720" spans="1:72" x14ac:dyDescent="0.15">
      <c r="A720" t="s">
        <v>8803</v>
      </c>
      <c r="B720" t="s">
        <v>13404</v>
      </c>
      <c r="C720" t="s">
        <v>74</v>
      </c>
      <c r="D720" t="s">
        <v>13380</v>
      </c>
      <c r="E720" t="s">
        <v>74</v>
      </c>
      <c r="F720" t="s">
        <v>13405</v>
      </c>
      <c r="G720" t="s">
        <v>74</v>
      </c>
      <c r="H720" t="s">
        <v>74</v>
      </c>
      <c r="I720" t="s">
        <v>13406</v>
      </c>
      <c r="J720" t="s">
        <v>13383</v>
      </c>
      <c r="K720" t="s">
        <v>74</v>
      </c>
      <c r="L720" t="s">
        <v>74</v>
      </c>
      <c r="M720" t="s">
        <v>78</v>
      </c>
      <c r="N720" t="s">
        <v>8809</v>
      </c>
      <c r="O720" t="s">
        <v>74</v>
      </c>
      <c r="P720" t="s">
        <v>74</v>
      </c>
      <c r="Q720" t="s">
        <v>74</v>
      </c>
      <c r="R720" t="s">
        <v>74</v>
      </c>
      <c r="S720" t="s">
        <v>74</v>
      </c>
      <c r="T720" t="s">
        <v>74</v>
      </c>
      <c r="U720" t="s">
        <v>74</v>
      </c>
      <c r="V720" t="s">
        <v>74</v>
      </c>
      <c r="W720" t="s">
        <v>13407</v>
      </c>
      <c r="X720" t="s">
        <v>13408</v>
      </c>
      <c r="Y720" t="s">
        <v>13409</v>
      </c>
      <c r="Z720" t="s">
        <v>74</v>
      </c>
      <c r="AA720" t="s">
        <v>74</v>
      </c>
      <c r="AB720" t="s">
        <v>74</v>
      </c>
      <c r="AC720" t="s">
        <v>74</v>
      </c>
      <c r="AD720" t="s">
        <v>74</v>
      </c>
      <c r="AE720" t="s">
        <v>74</v>
      </c>
      <c r="AF720" t="s">
        <v>74</v>
      </c>
      <c r="AG720">
        <v>22</v>
      </c>
      <c r="AH720">
        <v>0</v>
      </c>
      <c r="AI720">
        <v>0</v>
      </c>
      <c r="AJ720">
        <v>0</v>
      </c>
      <c r="AK720">
        <v>1</v>
      </c>
      <c r="AL720" t="s">
        <v>13387</v>
      </c>
      <c r="AM720" t="s">
        <v>13388</v>
      </c>
      <c r="AN720" t="s">
        <v>13410</v>
      </c>
      <c r="AO720" t="s">
        <v>74</v>
      </c>
      <c r="AP720" t="s">
        <v>74</v>
      </c>
      <c r="AQ720" t="s">
        <v>13390</v>
      </c>
      <c r="AR720" t="s">
        <v>74</v>
      </c>
      <c r="AS720" t="s">
        <v>74</v>
      </c>
      <c r="AT720" t="s">
        <v>74</v>
      </c>
      <c r="AU720">
        <v>2014</v>
      </c>
      <c r="AV720" t="s">
        <v>74</v>
      </c>
      <c r="AW720" t="s">
        <v>74</v>
      </c>
      <c r="AX720" t="s">
        <v>74</v>
      </c>
      <c r="AY720" t="s">
        <v>74</v>
      </c>
      <c r="AZ720" t="s">
        <v>74</v>
      </c>
      <c r="BA720" t="s">
        <v>74</v>
      </c>
      <c r="BB720">
        <v>219</v>
      </c>
      <c r="BC720">
        <v>237</v>
      </c>
      <c r="BD720" t="s">
        <v>74</v>
      </c>
      <c r="BE720" t="s">
        <v>74</v>
      </c>
      <c r="BF720" t="s">
        <v>74</v>
      </c>
      <c r="BG720" t="s">
        <v>13391</v>
      </c>
      <c r="BH720" t="s">
        <v>74</v>
      </c>
      <c r="BI720">
        <v>19</v>
      </c>
      <c r="BJ720" t="s">
        <v>13392</v>
      </c>
      <c r="BK720" t="s">
        <v>8815</v>
      </c>
      <c r="BL720" t="s">
        <v>13393</v>
      </c>
      <c r="BM720" t="s">
        <v>13394</v>
      </c>
      <c r="BN720" t="s">
        <v>74</v>
      </c>
      <c r="BO720" t="s">
        <v>74</v>
      </c>
      <c r="BP720" t="s">
        <v>74</v>
      </c>
      <c r="BQ720" t="s">
        <v>74</v>
      </c>
      <c r="BR720" t="s">
        <v>104</v>
      </c>
      <c r="BS720" t="s">
        <v>13411</v>
      </c>
      <c r="BT720" t="str">
        <f>HYPERLINK("https%3A%2F%2Fwww.webofscience.com%2Fwos%2Fwoscc%2Ffull-record%2FWOS:000334351200014","View Full Record in Web of Science")</f>
        <v>View Full Record in Web of Science</v>
      </c>
    </row>
    <row r="721" spans="1:72" x14ac:dyDescent="0.15">
      <c r="A721" t="s">
        <v>72</v>
      </c>
      <c r="B721" t="s">
        <v>13412</v>
      </c>
      <c r="C721" t="s">
        <v>74</v>
      </c>
      <c r="D721" t="s">
        <v>74</v>
      </c>
      <c r="E721" t="s">
        <v>74</v>
      </c>
      <c r="F721" t="s">
        <v>13413</v>
      </c>
      <c r="G721" t="s">
        <v>74</v>
      </c>
      <c r="H721" t="s">
        <v>74</v>
      </c>
      <c r="I721" t="s">
        <v>13414</v>
      </c>
      <c r="J721" t="s">
        <v>10826</v>
      </c>
      <c r="K721" t="s">
        <v>74</v>
      </c>
      <c r="L721" t="s">
        <v>74</v>
      </c>
      <c r="M721" t="s">
        <v>78</v>
      </c>
      <c r="N721" t="s">
        <v>79</v>
      </c>
      <c r="O721" t="s">
        <v>74</v>
      </c>
      <c r="P721" t="s">
        <v>74</v>
      </c>
      <c r="Q721" t="s">
        <v>74</v>
      </c>
      <c r="R721" t="s">
        <v>74</v>
      </c>
      <c r="S721" t="s">
        <v>74</v>
      </c>
      <c r="T721" t="s">
        <v>13415</v>
      </c>
      <c r="U721" t="s">
        <v>13416</v>
      </c>
      <c r="V721" t="s">
        <v>13417</v>
      </c>
      <c r="W721" t="s">
        <v>13418</v>
      </c>
      <c r="X721" t="s">
        <v>13419</v>
      </c>
      <c r="Y721" t="s">
        <v>13420</v>
      </c>
      <c r="Z721" t="s">
        <v>13421</v>
      </c>
      <c r="AA721" t="s">
        <v>13422</v>
      </c>
      <c r="AB721" t="s">
        <v>13423</v>
      </c>
      <c r="AC721" t="s">
        <v>13424</v>
      </c>
      <c r="AD721" t="s">
        <v>13425</v>
      </c>
      <c r="AE721" t="s">
        <v>13426</v>
      </c>
      <c r="AF721" t="s">
        <v>74</v>
      </c>
      <c r="AG721">
        <v>38</v>
      </c>
      <c r="AH721">
        <v>22</v>
      </c>
      <c r="AI721">
        <v>25</v>
      </c>
      <c r="AJ721">
        <v>1</v>
      </c>
      <c r="AK721">
        <v>40</v>
      </c>
      <c r="AL721" t="s">
        <v>10310</v>
      </c>
      <c r="AM721" t="s">
        <v>10311</v>
      </c>
      <c r="AN721" t="s">
        <v>10312</v>
      </c>
      <c r="AO721" t="s">
        <v>10838</v>
      </c>
      <c r="AP721" t="s">
        <v>10839</v>
      </c>
      <c r="AQ721" t="s">
        <v>74</v>
      </c>
      <c r="AR721" t="s">
        <v>10840</v>
      </c>
      <c r="AS721" t="s">
        <v>10841</v>
      </c>
      <c r="AT721" t="s">
        <v>74</v>
      </c>
      <c r="AU721">
        <v>2014</v>
      </c>
      <c r="AV721">
        <v>505</v>
      </c>
      <c r="AW721" t="s">
        <v>74</v>
      </c>
      <c r="AX721" t="s">
        <v>74</v>
      </c>
      <c r="AY721" t="s">
        <v>74</v>
      </c>
      <c r="AZ721" t="s">
        <v>74</v>
      </c>
      <c r="BA721" t="s">
        <v>74</v>
      </c>
      <c r="BB721">
        <v>193</v>
      </c>
      <c r="BC721">
        <v>208</v>
      </c>
      <c r="BD721" t="s">
        <v>74</v>
      </c>
      <c r="BE721" t="s">
        <v>13427</v>
      </c>
      <c r="BF721" t="str">
        <f>HYPERLINK("http://dx.doi.org/10.3354/meps10792","http://dx.doi.org/10.3354/meps10792")</f>
        <v>http://dx.doi.org/10.3354/meps10792</v>
      </c>
      <c r="BG721" t="s">
        <v>74</v>
      </c>
      <c r="BH721" t="s">
        <v>74</v>
      </c>
      <c r="BI721">
        <v>16</v>
      </c>
      <c r="BJ721" t="s">
        <v>10843</v>
      </c>
      <c r="BK721" t="s">
        <v>101</v>
      </c>
      <c r="BL721" t="s">
        <v>10844</v>
      </c>
      <c r="BM721" t="s">
        <v>13428</v>
      </c>
      <c r="BN721" t="s">
        <v>74</v>
      </c>
      <c r="BO721" t="s">
        <v>6867</v>
      </c>
      <c r="BP721" t="s">
        <v>74</v>
      </c>
      <c r="BQ721" t="s">
        <v>74</v>
      </c>
      <c r="BR721" t="s">
        <v>104</v>
      </c>
      <c r="BS721" t="s">
        <v>13429</v>
      </c>
      <c r="BT721" t="str">
        <f>HYPERLINK("https%3A%2F%2Fwww.webofscience.com%2Fwos%2Fwoscc%2Ffull-record%2FWOS:000336913000015","View Full Record in Web of Science")</f>
        <v>View Full Record in Web of Science</v>
      </c>
    </row>
    <row r="722" spans="1:72" x14ac:dyDescent="0.15">
      <c r="A722" t="s">
        <v>72</v>
      </c>
      <c r="B722" t="s">
        <v>13430</v>
      </c>
      <c r="C722" t="s">
        <v>74</v>
      </c>
      <c r="D722" t="s">
        <v>74</v>
      </c>
      <c r="E722" t="s">
        <v>74</v>
      </c>
      <c r="F722" t="s">
        <v>13431</v>
      </c>
      <c r="G722" t="s">
        <v>74</v>
      </c>
      <c r="H722" t="s">
        <v>74</v>
      </c>
      <c r="I722" t="s">
        <v>13432</v>
      </c>
      <c r="J722" t="s">
        <v>10826</v>
      </c>
      <c r="K722" t="s">
        <v>74</v>
      </c>
      <c r="L722" t="s">
        <v>74</v>
      </c>
      <c r="M722" t="s">
        <v>78</v>
      </c>
      <c r="N722" t="s">
        <v>79</v>
      </c>
      <c r="O722" t="s">
        <v>74</v>
      </c>
      <c r="P722" t="s">
        <v>74</v>
      </c>
      <c r="Q722" t="s">
        <v>74</v>
      </c>
      <c r="R722" t="s">
        <v>74</v>
      </c>
      <c r="S722" t="s">
        <v>74</v>
      </c>
      <c r="T722" t="s">
        <v>13433</v>
      </c>
      <c r="U722" t="s">
        <v>13434</v>
      </c>
      <c r="V722" t="s">
        <v>13435</v>
      </c>
      <c r="W722" t="s">
        <v>13436</v>
      </c>
      <c r="X722" t="s">
        <v>13437</v>
      </c>
      <c r="Y722" t="s">
        <v>13438</v>
      </c>
      <c r="Z722" t="s">
        <v>13439</v>
      </c>
      <c r="AA722" t="s">
        <v>13440</v>
      </c>
      <c r="AB722" t="s">
        <v>13441</v>
      </c>
      <c r="AC722" t="s">
        <v>13442</v>
      </c>
      <c r="AD722" t="s">
        <v>13443</v>
      </c>
      <c r="AE722" t="s">
        <v>13444</v>
      </c>
      <c r="AF722" t="s">
        <v>74</v>
      </c>
      <c r="AG722">
        <v>66</v>
      </c>
      <c r="AH722">
        <v>62</v>
      </c>
      <c r="AI722">
        <v>68</v>
      </c>
      <c r="AJ722">
        <v>0</v>
      </c>
      <c r="AK722">
        <v>60</v>
      </c>
      <c r="AL722" t="s">
        <v>10310</v>
      </c>
      <c r="AM722" t="s">
        <v>10311</v>
      </c>
      <c r="AN722" t="s">
        <v>10312</v>
      </c>
      <c r="AO722" t="s">
        <v>10838</v>
      </c>
      <c r="AP722" t="s">
        <v>10839</v>
      </c>
      <c r="AQ722" t="s">
        <v>74</v>
      </c>
      <c r="AR722" t="s">
        <v>10840</v>
      </c>
      <c r="AS722" t="s">
        <v>10841</v>
      </c>
      <c r="AT722" t="s">
        <v>74</v>
      </c>
      <c r="AU722">
        <v>2014</v>
      </c>
      <c r="AV722">
        <v>505</v>
      </c>
      <c r="AW722" t="s">
        <v>74</v>
      </c>
      <c r="AX722" t="s">
        <v>74</v>
      </c>
      <c r="AY722" t="s">
        <v>74</v>
      </c>
      <c r="AZ722" t="s">
        <v>74</v>
      </c>
      <c r="BA722" t="s">
        <v>74</v>
      </c>
      <c r="BB722">
        <v>267</v>
      </c>
      <c r="BC722">
        <v>280</v>
      </c>
      <c r="BD722" t="s">
        <v>74</v>
      </c>
      <c r="BE722" t="s">
        <v>13445</v>
      </c>
      <c r="BF722" t="str">
        <f>HYPERLINK("http://dx.doi.org/10.3354/meps10795","http://dx.doi.org/10.3354/meps10795")</f>
        <v>http://dx.doi.org/10.3354/meps10795</v>
      </c>
      <c r="BG722" t="s">
        <v>74</v>
      </c>
      <c r="BH722" t="s">
        <v>74</v>
      </c>
      <c r="BI722">
        <v>14</v>
      </c>
      <c r="BJ722" t="s">
        <v>10843</v>
      </c>
      <c r="BK722" t="s">
        <v>101</v>
      </c>
      <c r="BL722" t="s">
        <v>10844</v>
      </c>
      <c r="BM722" t="s">
        <v>13428</v>
      </c>
      <c r="BN722" t="s">
        <v>74</v>
      </c>
      <c r="BO722" t="s">
        <v>6867</v>
      </c>
      <c r="BP722" t="s">
        <v>74</v>
      </c>
      <c r="BQ722" t="s">
        <v>74</v>
      </c>
      <c r="BR722" t="s">
        <v>104</v>
      </c>
      <c r="BS722" t="s">
        <v>13446</v>
      </c>
      <c r="BT722" t="str">
        <f>HYPERLINK("https%3A%2F%2Fwww.webofscience.com%2Fwos%2Fwoscc%2Ffull-record%2FWOS:000336913000020","View Full Record in Web of Science")</f>
        <v>View Full Record in Web of Science</v>
      </c>
    </row>
    <row r="723" spans="1:72" x14ac:dyDescent="0.15">
      <c r="A723" t="s">
        <v>72</v>
      </c>
      <c r="B723" t="s">
        <v>13447</v>
      </c>
      <c r="C723" t="s">
        <v>74</v>
      </c>
      <c r="D723" t="s">
        <v>74</v>
      </c>
      <c r="E723" t="s">
        <v>74</v>
      </c>
      <c r="F723" t="s">
        <v>13448</v>
      </c>
      <c r="G723" t="s">
        <v>74</v>
      </c>
      <c r="H723" t="s">
        <v>74</v>
      </c>
      <c r="I723" t="s">
        <v>13449</v>
      </c>
      <c r="J723" t="s">
        <v>13450</v>
      </c>
      <c r="K723" t="s">
        <v>74</v>
      </c>
      <c r="L723" t="s">
        <v>74</v>
      </c>
      <c r="M723" t="s">
        <v>78</v>
      </c>
      <c r="N723" t="s">
        <v>79</v>
      </c>
      <c r="O723" t="s">
        <v>74</v>
      </c>
      <c r="P723" t="s">
        <v>74</v>
      </c>
      <c r="Q723" t="s">
        <v>74</v>
      </c>
      <c r="R723" t="s">
        <v>74</v>
      </c>
      <c r="S723" t="s">
        <v>74</v>
      </c>
      <c r="T723" t="s">
        <v>13451</v>
      </c>
      <c r="U723" t="s">
        <v>13452</v>
      </c>
      <c r="V723" t="s">
        <v>13453</v>
      </c>
      <c r="W723" t="s">
        <v>13454</v>
      </c>
      <c r="X723" t="s">
        <v>13455</v>
      </c>
      <c r="Y723" t="s">
        <v>13456</v>
      </c>
      <c r="Z723" t="s">
        <v>13457</v>
      </c>
      <c r="AA723" t="s">
        <v>13458</v>
      </c>
      <c r="AB723" t="s">
        <v>13459</v>
      </c>
      <c r="AC723" t="s">
        <v>13460</v>
      </c>
      <c r="AD723" t="s">
        <v>13461</v>
      </c>
      <c r="AE723" t="s">
        <v>13462</v>
      </c>
      <c r="AF723" t="s">
        <v>74</v>
      </c>
      <c r="AG723">
        <v>20</v>
      </c>
      <c r="AH723">
        <v>7</v>
      </c>
      <c r="AI723">
        <v>11</v>
      </c>
      <c r="AJ723">
        <v>1</v>
      </c>
      <c r="AK723">
        <v>7</v>
      </c>
      <c r="AL723" t="s">
        <v>5746</v>
      </c>
      <c r="AM723" t="s">
        <v>5747</v>
      </c>
      <c r="AN723" t="s">
        <v>5748</v>
      </c>
      <c r="AO723" t="s">
        <v>13463</v>
      </c>
      <c r="AP723" t="s">
        <v>13464</v>
      </c>
      <c r="AQ723" t="s">
        <v>74</v>
      </c>
      <c r="AR723" t="s">
        <v>13450</v>
      </c>
      <c r="AS723" t="s">
        <v>13465</v>
      </c>
      <c r="AT723" t="s">
        <v>74</v>
      </c>
      <c r="AU723">
        <v>2014</v>
      </c>
      <c r="AV723">
        <v>53</v>
      </c>
      <c r="AW723">
        <v>2</v>
      </c>
      <c r="AX723" t="s">
        <v>74</v>
      </c>
      <c r="AY723" t="s">
        <v>74</v>
      </c>
      <c r="AZ723" t="s">
        <v>74</v>
      </c>
      <c r="BA723" t="s">
        <v>74</v>
      </c>
      <c r="BB723">
        <v>188</v>
      </c>
      <c r="BC723">
        <v>194</v>
      </c>
      <c r="BD723" t="s">
        <v>74</v>
      </c>
      <c r="BE723" t="s">
        <v>13466</v>
      </c>
      <c r="BF723" t="str">
        <f>HYPERLINK("http://dx.doi.org/10.2216/13-210.1","http://dx.doi.org/10.2216/13-210.1")</f>
        <v>http://dx.doi.org/10.2216/13-210.1</v>
      </c>
      <c r="BG723" t="s">
        <v>74</v>
      </c>
      <c r="BH723" t="s">
        <v>74</v>
      </c>
      <c r="BI723">
        <v>7</v>
      </c>
      <c r="BJ723" t="s">
        <v>857</v>
      </c>
      <c r="BK723" t="s">
        <v>101</v>
      </c>
      <c r="BL723" t="s">
        <v>857</v>
      </c>
      <c r="BM723" t="s">
        <v>13467</v>
      </c>
      <c r="BN723" t="s">
        <v>74</v>
      </c>
      <c r="BO723" t="s">
        <v>234</v>
      </c>
      <c r="BP723" t="s">
        <v>74</v>
      </c>
      <c r="BQ723" t="s">
        <v>74</v>
      </c>
      <c r="BR723" t="s">
        <v>104</v>
      </c>
      <c r="BS723" t="s">
        <v>13468</v>
      </c>
      <c r="BT723" t="str">
        <f>HYPERLINK("https%3A%2F%2Fwww.webofscience.com%2Fwos%2Fwoscc%2Ffull-record%2FWOS:000336981600008","View Full Record in Web of Science")</f>
        <v>View Full Record in Web of Science</v>
      </c>
    </row>
    <row r="724" spans="1:72" x14ac:dyDescent="0.15">
      <c r="A724" t="s">
        <v>72</v>
      </c>
      <c r="B724" t="s">
        <v>13469</v>
      </c>
      <c r="C724" t="s">
        <v>74</v>
      </c>
      <c r="D724" t="s">
        <v>74</v>
      </c>
      <c r="E724" t="s">
        <v>74</v>
      </c>
      <c r="F724" t="s">
        <v>13470</v>
      </c>
      <c r="G724" t="s">
        <v>74</v>
      </c>
      <c r="H724" t="s">
        <v>74</v>
      </c>
      <c r="I724" t="s">
        <v>13471</v>
      </c>
      <c r="J724" t="s">
        <v>1376</v>
      </c>
      <c r="K724" t="s">
        <v>74</v>
      </c>
      <c r="L724" t="s">
        <v>74</v>
      </c>
      <c r="M724" t="s">
        <v>78</v>
      </c>
      <c r="N724" t="s">
        <v>933</v>
      </c>
      <c r="O724" t="s">
        <v>74</v>
      </c>
      <c r="P724" t="s">
        <v>74</v>
      </c>
      <c r="Q724" t="s">
        <v>74</v>
      </c>
      <c r="R724" t="s">
        <v>74</v>
      </c>
      <c r="S724" t="s">
        <v>74</v>
      </c>
      <c r="T724" t="s">
        <v>13472</v>
      </c>
      <c r="U724" t="s">
        <v>13473</v>
      </c>
      <c r="V724" t="s">
        <v>13474</v>
      </c>
      <c r="W724" t="s">
        <v>13475</v>
      </c>
      <c r="X724" t="s">
        <v>13476</v>
      </c>
      <c r="Y724" t="s">
        <v>13477</v>
      </c>
      <c r="Z724" t="s">
        <v>13478</v>
      </c>
      <c r="AA724" t="s">
        <v>74</v>
      </c>
      <c r="AB724" t="s">
        <v>13479</v>
      </c>
      <c r="AC724" t="s">
        <v>13480</v>
      </c>
      <c r="AD724" t="s">
        <v>13481</v>
      </c>
      <c r="AE724" t="s">
        <v>13482</v>
      </c>
      <c r="AF724" t="s">
        <v>74</v>
      </c>
      <c r="AG724">
        <v>139</v>
      </c>
      <c r="AH724">
        <v>161</v>
      </c>
      <c r="AI724">
        <v>167</v>
      </c>
      <c r="AJ724">
        <v>2</v>
      </c>
      <c r="AK724">
        <v>68</v>
      </c>
      <c r="AL724" t="s">
        <v>403</v>
      </c>
      <c r="AM724" t="s">
        <v>404</v>
      </c>
      <c r="AN724" t="s">
        <v>405</v>
      </c>
      <c r="AO724" t="s">
        <v>1386</v>
      </c>
      <c r="AP724" t="s">
        <v>1387</v>
      </c>
      <c r="AQ724" t="s">
        <v>74</v>
      </c>
      <c r="AR724" t="s">
        <v>1388</v>
      </c>
      <c r="AS724" t="s">
        <v>1389</v>
      </c>
      <c r="AT724" t="s">
        <v>13186</v>
      </c>
      <c r="AU724">
        <v>2014</v>
      </c>
      <c r="AV724">
        <v>140</v>
      </c>
      <c r="AW724">
        <v>678</v>
      </c>
      <c r="AX724" t="s">
        <v>659</v>
      </c>
      <c r="AY724" t="s">
        <v>74</v>
      </c>
      <c r="AZ724" t="s">
        <v>74</v>
      </c>
      <c r="BA724" t="s">
        <v>74</v>
      </c>
      <c r="BB724">
        <v>1</v>
      </c>
      <c r="BC724">
        <v>21</v>
      </c>
      <c r="BD724" t="s">
        <v>74</v>
      </c>
      <c r="BE724" t="s">
        <v>13483</v>
      </c>
      <c r="BF724" t="str">
        <f>HYPERLINK("http://dx.doi.org/10.1002/qj.2132","http://dx.doi.org/10.1002/qj.2132")</f>
        <v>http://dx.doi.org/10.1002/qj.2132</v>
      </c>
      <c r="BG724" t="s">
        <v>74</v>
      </c>
      <c r="BH724" t="s">
        <v>74</v>
      </c>
      <c r="BI724">
        <v>21</v>
      </c>
      <c r="BJ724" t="s">
        <v>1391</v>
      </c>
      <c r="BK724" t="s">
        <v>101</v>
      </c>
      <c r="BL724" t="s">
        <v>1391</v>
      </c>
      <c r="BM724" t="s">
        <v>13484</v>
      </c>
      <c r="BN724" t="s">
        <v>74</v>
      </c>
      <c r="BO724" t="s">
        <v>74</v>
      </c>
      <c r="BP724" t="s">
        <v>74</v>
      </c>
      <c r="BQ724" t="s">
        <v>74</v>
      </c>
      <c r="BR724" t="s">
        <v>104</v>
      </c>
      <c r="BS724" t="s">
        <v>13485</v>
      </c>
      <c r="BT724" t="str">
        <f>HYPERLINK("https%3A%2F%2Fwww.webofscience.com%2Fwos%2Fwoscc%2Ffull-record%2FWOS:000336908400001","View Full Record in Web of Science")</f>
        <v>View Full Record in Web of Science</v>
      </c>
    </row>
    <row r="725" spans="1:72" x14ac:dyDescent="0.15">
      <c r="A725" t="s">
        <v>72</v>
      </c>
      <c r="B725" t="s">
        <v>13486</v>
      </c>
      <c r="C725" t="s">
        <v>74</v>
      </c>
      <c r="D725" t="s">
        <v>74</v>
      </c>
      <c r="E725" t="s">
        <v>74</v>
      </c>
      <c r="F725" t="s">
        <v>13487</v>
      </c>
      <c r="G725" t="s">
        <v>74</v>
      </c>
      <c r="H725" t="s">
        <v>74</v>
      </c>
      <c r="I725" t="s">
        <v>13488</v>
      </c>
      <c r="J725" t="s">
        <v>13489</v>
      </c>
      <c r="K725" t="s">
        <v>74</v>
      </c>
      <c r="L725" t="s">
        <v>74</v>
      </c>
      <c r="M725" t="s">
        <v>78</v>
      </c>
      <c r="N725" t="s">
        <v>79</v>
      </c>
      <c r="O725" t="s">
        <v>74</v>
      </c>
      <c r="P725" t="s">
        <v>74</v>
      </c>
      <c r="Q725" t="s">
        <v>74</v>
      </c>
      <c r="R725" t="s">
        <v>74</v>
      </c>
      <c r="S725" t="s">
        <v>74</v>
      </c>
      <c r="T725" t="s">
        <v>74</v>
      </c>
      <c r="U725" t="s">
        <v>74</v>
      </c>
      <c r="V725" t="s">
        <v>13490</v>
      </c>
      <c r="W725" t="s">
        <v>13491</v>
      </c>
      <c r="X725" t="s">
        <v>13492</v>
      </c>
      <c r="Y725" t="s">
        <v>13493</v>
      </c>
      <c r="Z725" t="s">
        <v>13494</v>
      </c>
      <c r="AA725" t="s">
        <v>74</v>
      </c>
      <c r="AB725" t="s">
        <v>74</v>
      </c>
      <c r="AC725" t="s">
        <v>74</v>
      </c>
      <c r="AD725" t="s">
        <v>74</v>
      </c>
      <c r="AE725" t="s">
        <v>74</v>
      </c>
      <c r="AF725" t="s">
        <v>74</v>
      </c>
      <c r="AG725">
        <v>128</v>
      </c>
      <c r="AH725">
        <v>3</v>
      </c>
      <c r="AI725">
        <v>3</v>
      </c>
      <c r="AJ725">
        <v>0</v>
      </c>
      <c r="AK725">
        <v>6</v>
      </c>
      <c r="AL725" t="s">
        <v>13495</v>
      </c>
      <c r="AM725" t="s">
        <v>13496</v>
      </c>
      <c r="AN725" t="s">
        <v>13497</v>
      </c>
      <c r="AO725" t="s">
        <v>13498</v>
      </c>
      <c r="AP725" t="s">
        <v>13499</v>
      </c>
      <c r="AQ725" t="s">
        <v>74</v>
      </c>
      <c r="AR725" t="s">
        <v>13500</v>
      </c>
      <c r="AS725" t="s">
        <v>13501</v>
      </c>
      <c r="AT725" t="s">
        <v>74</v>
      </c>
      <c r="AU725">
        <v>2014</v>
      </c>
      <c r="AV725">
        <v>33</v>
      </c>
      <c r="AW725">
        <v>1</v>
      </c>
      <c r="AX725" t="s">
        <v>74</v>
      </c>
      <c r="AY725" t="s">
        <v>74</v>
      </c>
      <c r="AZ725" t="s">
        <v>74</v>
      </c>
      <c r="BA725" t="s">
        <v>74</v>
      </c>
      <c r="BB725">
        <v>67</v>
      </c>
      <c r="BC725">
        <v>121</v>
      </c>
      <c r="BD725" t="s">
        <v>74</v>
      </c>
      <c r="BE725" t="s">
        <v>74</v>
      </c>
      <c r="BF725" t="s">
        <v>74</v>
      </c>
      <c r="BG725" t="s">
        <v>74</v>
      </c>
      <c r="BH725" t="s">
        <v>74</v>
      </c>
      <c r="BI725">
        <v>55</v>
      </c>
      <c r="BJ725" t="s">
        <v>13502</v>
      </c>
      <c r="BK725" t="s">
        <v>479</v>
      </c>
      <c r="BL725" t="s">
        <v>13503</v>
      </c>
      <c r="BM725" t="s">
        <v>13504</v>
      </c>
      <c r="BN725" t="s">
        <v>74</v>
      </c>
      <c r="BO725" t="s">
        <v>74</v>
      </c>
      <c r="BP725" t="s">
        <v>74</v>
      </c>
      <c r="BQ725" t="s">
        <v>74</v>
      </c>
      <c r="BR725" t="s">
        <v>104</v>
      </c>
      <c r="BS725" t="s">
        <v>13505</v>
      </c>
      <c r="BT725" t="str">
        <f>HYPERLINK("https%3A%2F%2Fwww.webofscience.com%2Fwos%2Fwoscc%2Ffull-record%2FWOS:000336458700007","View Full Record in Web of Science")</f>
        <v>View Full Record in Web of Science</v>
      </c>
    </row>
    <row r="726" spans="1:72" x14ac:dyDescent="0.15">
      <c r="A726" t="s">
        <v>72</v>
      </c>
      <c r="B726" t="s">
        <v>13506</v>
      </c>
      <c r="C726" t="s">
        <v>74</v>
      </c>
      <c r="D726" t="s">
        <v>74</v>
      </c>
      <c r="E726" t="s">
        <v>74</v>
      </c>
      <c r="F726" t="s">
        <v>13507</v>
      </c>
      <c r="G726" t="s">
        <v>74</v>
      </c>
      <c r="H726" t="s">
        <v>74</v>
      </c>
      <c r="I726" t="s">
        <v>13508</v>
      </c>
      <c r="J726" t="s">
        <v>13509</v>
      </c>
      <c r="K726" t="s">
        <v>74</v>
      </c>
      <c r="L726" t="s">
        <v>74</v>
      </c>
      <c r="M726" t="s">
        <v>78</v>
      </c>
      <c r="N726" t="s">
        <v>79</v>
      </c>
      <c r="O726" t="s">
        <v>74</v>
      </c>
      <c r="P726" t="s">
        <v>74</v>
      </c>
      <c r="Q726" t="s">
        <v>74</v>
      </c>
      <c r="R726" t="s">
        <v>74</v>
      </c>
      <c r="S726" t="s">
        <v>74</v>
      </c>
      <c r="T726" t="s">
        <v>13510</v>
      </c>
      <c r="U726" t="s">
        <v>13511</v>
      </c>
      <c r="V726" t="s">
        <v>13512</v>
      </c>
      <c r="W726" t="s">
        <v>13513</v>
      </c>
      <c r="X726" t="s">
        <v>13514</v>
      </c>
      <c r="Y726" t="s">
        <v>13515</v>
      </c>
      <c r="Z726" t="s">
        <v>13516</v>
      </c>
      <c r="AA726" t="s">
        <v>74</v>
      </c>
      <c r="AB726" t="s">
        <v>74</v>
      </c>
      <c r="AC726" t="s">
        <v>13517</v>
      </c>
      <c r="AD726" t="s">
        <v>13518</v>
      </c>
      <c r="AE726" t="s">
        <v>13519</v>
      </c>
      <c r="AF726" t="s">
        <v>74</v>
      </c>
      <c r="AG726">
        <v>45</v>
      </c>
      <c r="AH726">
        <v>4</v>
      </c>
      <c r="AI726">
        <v>5</v>
      </c>
      <c r="AJ726">
        <v>0</v>
      </c>
      <c r="AK726">
        <v>19</v>
      </c>
      <c r="AL726" t="s">
        <v>13520</v>
      </c>
      <c r="AM726" t="s">
        <v>13521</v>
      </c>
      <c r="AN726" t="s">
        <v>13522</v>
      </c>
      <c r="AO726" t="s">
        <v>74</v>
      </c>
      <c r="AP726" t="s">
        <v>13523</v>
      </c>
      <c r="AQ726" t="s">
        <v>74</v>
      </c>
      <c r="AR726" t="s">
        <v>13524</v>
      </c>
      <c r="AS726" t="s">
        <v>13525</v>
      </c>
      <c r="AT726" t="s">
        <v>74</v>
      </c>
      <c r="AU726">
        <v>2014</v>
      </c>
      <c r="AV726">
        <v>13</v>
      </c>
      <c r="AW726">
        <v>2</v>
      </c>
      <c r="AX726" t="s">
        <v>74</v>
      </c>
      <c r="AY726" t="s">
        <v>74</v>
      </c>
      <c r="AZ726" t="s">
        <v>74</v>
      </c>
      <c r="BA726" t="s">
        <v>74</v>
      </c>
      <c r="BB726">
        <v>3474</v>
      </c>
      <c r="BC726">
        <v>3485</v>
      </c>
      <c r="BD726" t="s">
        <v>74</v>
      </c>
      <c r="BE726" t="s">
        <v>13526</v>
      </c>
      <c r="BF726" t="str">
        <f>HYPERLINK("http://dx.doi.org/10.4238/2014.April.30.8","http://dx.doi.org/10.4238/2014.April.30.8")</f>
        <v>http://dx.doi.org/10.4238/2014.April.30.8</v>
      </c>
      <c r="BG726" t="s">
        <v>74</v>
      </c>
      <c r="BH726" t="s">
        <v>74</v>
      </c>
      <c r="BI726">
        <v>12</v>
      </c>
      <c r="BJ726" t="s">
        <v>13527</v>
      </c>
      <c r="BK726" t="s">
        <v>101</v>
      </c>
      <c r="BL726" t="s">
        <v>13527</v>
      </c>
      <c r="BM726" t="s">
        <v>13528</v>
      </c>
      <c r="BN726">
        <v>24841792</v>
      </c>
      <c r="BO726" t="s">
        <v>200</v>
      </c>
      <c r="BP726" t="s">
        <v>74</v>
      </c>
      <c r="BQ726" t="s">
        <v>74</v>
      </c>
      <c r="BR726" t="s">
        <v>104</v>
      </c>
      <c r="BS726" t="s">
        <v>13529</v>
      </c>
      <c r="BT726" t="str">
        <f>HYPERLINK("https%3A%2F%2Fwww.webofscience.com%2Fwos%2Fwoscc%2Ffull-record%2FWOS:000336729500118","View Full Record in Web of Science")</f>
        <v>View Full Record in Web of Science</v>
      </c>
    </row>
    <row r="727" spans="1:72" x14ac:dyDescent="0.15">
      <c r="A727" t="s">
        <v>72</v>
      </c>
      <c r="B727" t="s">
        <v>13530</v>
      </c>
      <c r="C727" t="s">
        <v>74</v>
      </c>
      <c r="D727" t="s">
        <v>74</v>
      </c>
      <c r="E727" t="s">
        <v>74</v>
      </c>
      <c r="F727" t="s">
        <v>13531</v>
      </c>
      <c r="G727" t="s">
        <v>74</v>
      </c>
      <c r="H727" t="s">
        <v>74</v>
      </c>
      <c r="I727" t="s">
        <v>13532</v>
      </c>
      <c r="J727" t="s">
        <v>10866</v>
      </c>
      <c r="K727" t="s">
        <v>74</v>
      </c>
      <c r="L727" t="s">
        <v>74</v>
      </c>
      <c r="M727" t="s">
        <v>78</v>
      </c>
      <c r="N727" t="s">
        <v>79</v>
      </c>
      <c r="O727" t="s">
        <v>74</v>
      </c>
      <c r="P727" t="s">
        <v>74</v>
      </c>
      <c r="Q727" t="s">
        <v>74</v>
      </c>
      <c r="R727" t="s">
        <v>74</v>
      </c>
      <c r="S727" t="s">
        <v>74</v>
      </c>
      <c r="T727" t="s">
        <v>13533</v>
      </c>
      <c r="U727" t="s">
        <v>13534</v>
      </c>
      <c r="V727" t="s">
        <v>13535</v>
      </c>
      <c r="W727" t="s">
        <v>13536</v>
      </c>
      <c r="X727" t="s">
        <v>1799</v>
      </c>
      <c r="Y727" t="s">
        <v>1800</v>
      </c>
      <c r="Z727" t="s">
        <v>1801</v>
      </c>
      <c r="AA727" t="s">
        <v>13537</v>
      </c>
      <c r="AB727" t="s">
        <v>13538</v>
      </c>
      <c r="AC727" t="s">
        <v>13539</v>
      </c>
      <c r="AD727" t="s">
        <v>13540</v>
      </c>
      <c r="AE727" t="s">
        <v>13541</v>
      </c>
      <c r="AF727" t="s">
        <v>74</v>
      </c>
      <c r="AG727">
        <v>63</v>
      </c>
      <c r="AH727">
        <v>18</v>
      </c>
      <c r="AI727">
        <v>19</v>
      </c>
      <c r="AJ727">
        <v>0</v>
      </c>
      <c r="AK727">
        <v>8</v>
      </c>
      <c r="AL727" t="s">
        <v>13336</v>
      </c>
      <c r="AM727" t="s">
        <v>8793</v>
      </c>
      <c r="AN727" t="s">
        <v>12208</v>
      </c>
      <c r="AO727" t="s">
        <v>10877</v>
      </c>
      <c r="AP727" t="s">
        <v>10878</v>
      </c>
      <c r="AQ727" t="s">
        <v>74</v>
      </c>
      <c r="AR727" t="s">
        <v>10866</v>
      </c>
      <c r="AS727" t="s">
        <v>10879</v>
      </c>
      <c r="AT727" t="s">
        <v>74</v>
      </c>
      <c r="AU727">
        <v>2014</v>
      </c>
      <c r="AV727" t="s">
        <v>74</v>
      </c>
      <c r="AW727">
        <v>411</v>
      </c>
      <c r="AX727" t="s">
        <v>74</v>
      </c>
      <c r="AY727" t="s">
        <v>74</v>
      </c>
      <c r="AZ727" t="s">
        <v>74</v>
      </c>
      <c r="BA727" t="s">
        <v>74</v>
      </c>
      <c r="BB727">
        <v>105</v>
      </c>
      <c r="BC727">
        <v>143</v>
      </c>
      <c r="BD727" t="s">
        <v>74</v>
      </c>
      <c r="BE727" t="s">
        <v>13542</v>
      </c>
      <c r="BF727" t="str">
        <f>HYPERLINK("http://dx.doi.org/10.3897/zookeys.411.7346","http://dx.doi.org/10.3897/zookeys.411.7346")</f>
        <v>http://dx.doi.org/10.3897/zookeys.411.7346</v>
      </c>
      <c r="BG727" t="s">
        <v>74</v>
      </c>
      <c r="BH727" t="s">
        <v>74</v>
      </c>
      <c r="BI727">
        <v>39</v>
      </c>
      <c r="BJ727" t="s">
        <v>384</v>
      </c>
      <c r="BK727" t="s">
        <v>101</v>
      </c>
      <c r="BL727" t="s">
        <v>384</v>
      </c>
      <c r="BM727" t="s">
        <v>13543</v>
      </c>
      <c r="BN727">
        <v>24899857</v>
      </c>
      <c r="BO727" t="s">
        <v>1826</v>
      </c>
      <c r="BP727" t="s">
        <v>74</v>
      </c>
      <c r="BQ727" t="s">
        <v>74</v>
      </c>
      <c r="BR727" t="s">
        <v>104</v>
      </c>
      <c r="BS727" t="s">
        <v>13544</v>
      </c>
      <c r="BT727" t="str">
        <f>HYPERLINK("https%3A%2F%2Fwww.webofscience.com%2Fwos%2Fwoscc%2Ffull-record%2FWOS:000336843900004","View Full Record in Web of Science")</f>
        <v>View Full Record in Web of Science</v>
      </c>
    </row>
    <row r="728" spans="1:72" x14ac:dyDescent="0.15">
      <c r="A728" t="s">
        <v>72</v>
      </c>
      <c r="B728" t="s">
        <v>13545</v>
      </c>
      <c r="C728" t="s">
        <v>74</v>
      </c>
      <c r="D728" t="s">
        <v>74</v>
      </c>
      <c r="E728" t="s">
        <v>74</v>
      </c>
      <c r="F728" t="s">
        <v>13546</v>
      </c>
      <c r="G728" t="s">
        <v>74</v>
      </c>
      <c r="H728" t="s">
        <v>74</v>
      </c>
      <c r="I728" t="s">
        <v>13547</v>
      </c>
      <c r="J728" t="s">
        <v>10362</v>
      </c>
      <c r="K728" t="s">
        <v>74</v>
      </c>
      <c r="L728" t="s">
        <v>74</v>
      </c>
      <c r="M728" t="s">
        <v>78</v>
      </c>
      <c r="N728" t="s">
        <v>79</v>
      </c>
      <c r="O728" t="s">
        <v>74</v>
      </c>
      <c r="P728" t="s">
        <v>74</v>
      </c>
      <c r="Q728" t="s">
        <v>74</v>
      </c>
      <c r="R728" t="s">
        <v>74</v>
      </c>
      <c r="S728" t="s">
        <v>74</v>
      </c>
      <c r="T728" t="s">
        <v>13548</v>
      </c>
      <c r="U728" t="s">
        <v>13549</v>
      </c>
      <c r="V728" t="s">
        <v>13550</v>
      </c>
      <c r="W728" t="s">
        <v>13551</v>
      </c>
      <c r="X728" t="s">
        <v>12221</v>
      </c>
      <c r="Y728" t="s">
        <v>13552</v>
      </c>
      <c r="Z728" t="s">
        <v>13553</v>
      </c>
      <c r="AA728" t="s">
        <v>13554</v>
      </c>
      <c r="AB728" t="s">
        <v>13555</v>
      </c>
      <c r="AC728" t="s">
        <v>13556</v>
      </c>
      <c r="AD728" t="s">
        <v>13557</v>
      </c>
      <c r="AE728" t="s">
        <v>13558</v>
      </c>
      <c r="AF728" t="s">
        <v>74</v>
      </c>
      <c r="AG728">
        <v>22</v>
      </c>
      <c r="AH728">
        <v>41</v>
      </c>
      <c r="AI728">
        <v>44</v>
      </c>
      <c r="AJ728">
        <v>2</v>
      </c>
      <c r="AK728">
        <v>19</v>
      </c>
      <c r="AL728" t="s">
        <v>91</v>
      </c>
      <c r="AM728" t="s">
        <v>1948</v>
      </c>
      <c r="AN728" t="s">
        <v>2519</v>
      </c>
      <c r="AO728" t="s">
        <v>10374</v>
      </c>
      <c r="AP728" t="s">
        <v>10375</v>
      </c>
      <c r="AQ728" t="s">
        <v>74</v>
      </c>
      <c r="AR728" t="s">
        <v>10376</v>
      </c>
      <c r="AS728" t="s">
        <v>10377</v>
      </c>
      <c r="AT728" t="s">
        <v>74</v>
      </c>
      <c r="AU728">
        <v>2014</v>
      </c>
      <c r="AV728">
        <v>60</v>
      </c>
      <c r="AW728">
        <v>220</v>
      </c>
      <c r="AX728" t="s">
        <v>74</v>
      </c>
      <c r="AY728" t="s">
        <v>74</v>
      </c>
      <c r="AZ728" t="s">
        <v>74</v>
      </c>
      <c r="BA728" t="s">
        <v>74</v>
      </c>
      <c r="BB728">
        <v>323</v>
      </c>
      <c r="BC728">
        <v>332</v>
      </c>
      <c r="BD728" t="s">
        <v>74</v>
      </c>
      <c r="BE728" t="s">
        <v>13559</v>
      </c>
      <c r="BF728" t="str">
        <f>HYPERLINK("http://dx.doi.org/10.3189/2014JoG13J061","http://dx.doi.org/10.3189/2014JoG13J061")</f>
        <v>http://dx.doi.org/10.3189/2014JoG13J061</v>
      </c>
      <c r="BG728" t="s">
        <v>74</v>
      </c>
      <c r="BH728" t="s">
        <v>74</v>
      </c>
      <c r="BI728">
        <v>10</v>
      </c>
      <c r="BJ728" t="s">
        <v>1415</v>
      </c>
      <c r="BK728" t="s">
        <v>101</v>
      </c>
      <c r="BL728" t="s">
        <v>1416</v>
      </c>
      <c r="BM728" t="s">
        <v>13560</v>
      </c>
      <c r="BN728" t="s">
        <v>74</v>
      </c>
      <c r="BO728" t="s">
        <v>2501</v>
      </c>
      <c r="BP728" t="s">
        <v>74</v>
      </c>
      <c r="BQ728" t="s">
        <v>74</v>
      </c>
      <c r="BR728" t="s">
        <v>104</v>
      </c>
      <c r="BS728" t="s">
        <v>13561</v>
      </c>
      <c r="BT728" t="str">
        <f>HYPERLINK("https%3A%2F%2Fwww.webofscience.com%2Fwos%2Fwoscc%2Ffull-record%2FWOS:000336198100012","View Full Record in Web of Science")</f>
        <v>View Full Record in Web of Science</v>
      </c>
    </row>
    <row r="729" spans="1:72" x14ac:dyDescent="0.15">
      <c r="A729" t="s">
        <v>72</v>
      </c>
      <c r="B729" t="s">
        <v>13562</v>
      </c>
      <c r="C729" t="s">
        <v>74</v>
      </c>
      <c r="D729" t="s">
        <v>74</v>
      </c>
      <c r="E729" t="s">
        <v>74</v>
      </c>
      <c r="F729" t="s">
        <v>13563</v>
      </c>
      <c r="G729" t="s">
        <v>74</v>
      </c>
      <c r="H729" t="s">
        <v>74</v>
      </c>
      <c r="I729" t="s">
        <v>13564</v>
      </c>
      <c r="J729" t="s">
        <v>10362</v>
      </c>
      <c r="K729" t="s">
        <v>74</v>
      </c>
      <c r="L729" t="s">
        <v>74</v>
      </c>
      <c r="M729" t="s">
        <v>78</v>
      </c>
      <c r="N729" t="s">
        <v>79</v>
      </c>
      <c r="O729" t="s">
        <v>74</v>
      </c>
      <c r="P729" t="s">
        <v>74</v>
      </c>
      <c r="Q729" t="s">
        <v>74</v>
      </c>
      <c r="R729" t="s">
        <v>74</v>
      </c>
      <c r="S729" t="s">
        <v>74</v>
      </c>
      <c r="T729" t="s">
        <v>13565</v>
      </c>
      <c r="U729" t="s">
        <v>13566</v>
      </c>
      <c r="V729" t="s">
        <v>13567</v>
      </c>
      <c r="W729" t="s">
        <v>13568</v>
      </c>
      <c r="X729" t="s">
        <v>13569</v>
      </c>
      <c r="Y729" t="s">
        <v>13570</v>
      </c>
      <c r="Z729" t="s">
        <v>13571</v>
      </c>
      <c r="AA729" t="s">
        <v>74</v>
      </c>
      <c r="AB729" t="s">
        <v>13572</v>
      </c>
      <c r="AC729" t="s">
        <v>13573</v>
      </c>
      <c r="AD729" t="s">
        <v>13574</v>
      </c>
      <c r="AE729" t="s">
        <v>13575</v>
      </c>
      <c r="AF729" t="s">
        <v>74</v>
      </c>
      <c r="AG729">
        <v>67</v>
      </c>
      <c r="AH729">
        <v>31</v>
      </c>
      <c r="AI729">
        <v>36</v>
      </c>
      <c r="AJ729">
        <v>0</v>
      </c>
      <c r="AK729">
        <v>25</v>
      </c>
      <c r="AL729" t="s">
        <v>91</v>
      </c>
      <c r="AM729" t="s">
        <v>1948</v>
      </c>
      <c r="AN729" t="s">
        <v>2519</v>
      </c>
      <c r="AO729" t="s">
        <v>10374</v>
      </c>
      <c r="AP729" t="s">
        <v>10375</v>
      </c>
      <c r="AQ729" t="s">
        <v>74</v>
      </c>
      <c r="AR729" t="s">
        <v>10376</v>
      </c>
      <c r="AS729" t="s">
        <v>10377</v>
      </c>
      <c r="AT729" t="s">
        <v>74</v>
      </c>
      <c r="AU729">
        <v>2014</v>
      </c>
      <c r="AV729">
        <v>60</v>
      </c>
      <c r="AW729">
        <v>220</v>
      </c>
      <c r="AX729" t="s">
        <v>74</v>
      </c>
      <c r="AY729" t="s">
        <v>74</v>
      </c>
      <c r="AZ729" t="s">
        <v>74</v>
      </c>
      <c r="BA729" t="s">
        <v>74</v>
      </c>
      <c r="BB729">
        <v>361</v>
      </c>
      <c r="BC729">
        <v>374</v>
      </c>
      <c r="BD729" t="s">
        <v>74</v>
      </c>
      <c r="BE729" t="s">
        <v>13576</v>
      </c>
      <c r="BF729" t="str">
        <f>HYPERLINK("http://dx.doi.org/10.3189/2014JoG13J095","http://dx.doi.org/10.3189/2014JoG13J095")</f>
        <v>http://dx.doi.org/10.3189/2014JoG13J095</v>
      </c>
      <c r="BG729" t="s">
        <v>74</v>
      </c>
      <c r="BH729" t="s">
        <v>74</v>
      </c>
      <c r="BI729">
        <v>14</v>
      </c>
      <c r="BJ729" t="s">
        <v>1415</v>
      </c>
      <c r="BK729" t="s">
        <v>101</v>
      </c>
      <c r="BL729" t="s">
        <v>1416</v>
      </c>
      <c r="BM729" t="s">
        <v>13560</v>
      </c>
      <c r="BN729" t="s">
        <v>74</v>
      </c>
      <c r="BO729" t="s">
        <v>6867</v>
      </c>
      <c r="BP729" t="s">
        <v>74</v>
      </c>
      <c r="BQ729" t="s">
        <v>74</v>
      </c>
      <c r="BR729" t="s">
        <v>104</v>
      </c>
      <c r="BS729" t="s">
        <v>13577</v>
      </c>
      <c r="BT729" t="str">
        <f>HYPERLINK("https%3A%2F%2Fwww.webofscience.com%2Fwos%2Fwoscc%2Ffull-record%2FWOS:000336198100016","View Full Record in Web of Science")</f>
        <v>View Full Record in Web of Science</v>
      </c>
    </row>
    <row r="730" spans="1:72" x14ac:dyDescent="0.15">
      <c r="A730" t="s">
        <v>72</v>
      </c>
      <c r="B730" t="s">
        <v>13578</v>
      </c>
      <c r="C730" t="s">
        <v>74</v>
      </c>
      <c r="D730" t="s">
        <v>74</v>
      </c>
      <c r="E730" t="s">
        <v>74</v>
      </c>
      <c r="F730" t="s">
        <v>13579</v>
      </c>
      <c r="G730" t="s">
        <v>74</v>
      </c>
      <c r="H730" t="s">
        <v>74</v>
      </c>
      <c r="I730" t="s">
        <v>13580</v>
      </c>
      <c r="J730" t="s">
        <v>10362</v>
      </c>
      <c r="K730" t="s">
        <v>74</v>
      </c>
      <c r="L730" t="s">
        <v>74</v>
      </c>
      <c r="M730" t="s">
        <v>78</v>
      </c>
      <c r="N730" t="s">
        <v>79</v>
      </c>
      <c r="O730" t="s">
        <v>74</v>
      </c>
      <c r="P730" t="s">
        <v>74</v>
      </c>
      <c r="Q730" t="s">
        <v>74</v>
      </c>
      <c r="R730" t="s">
        <v>74</v>
      </c>
      <c r="S730" t="s">
        <v>74</v>
      </c>
      <c r="T730" t="s">
        <v>13581</v>
      </c>
      <c r="U730" t="s">
        <v>13582</v>
      </c>
      <c r="V730" t="s">
        <v>13583</v>
      </c>
      <c r="W730" t="s">
        <v>13584</v>
      </c>
      <c r="X730" t="s">
        <v>6763</v>
      </c>
      <c r="Y730" t="s">
        <v>13585</v>
      </c>
      <c r="Z730" t="s">
        <v>13586</v>
      </c>
      <c r="AA730" t="s">
        <v>13587</v>
      </c>
      <c r="AB730" t="s">
        <v>13588</v>
      </c>
      <c r="AC730" t="s">
        <v>13589</v>
      </c>
      <c r="AD730" t="s">
        <v>13590</v>
      </c>
      <c r="AE730" t="s">
        <v>13591</v>
      </c>
      <c r="AF730" t="s">
        <v>74</v>
      </c>
      <c r="AG730">
        <v>50</v>
      </c>
      <c r="AH730">
        <v>9</v>
      </c>
      <c r="AI730">
        <v>9</v>
      </c>
      <c r="AJ730">
        <v>0</v>
      </c>
      <c r="AK730">
        <v>9</v>
      </c>
      <c r="AL730" t="s">
        <v>91</v>
      </c>
      <c r="AM730" t="s">
        <v>1948</v>
      </c>
      <c r="AN730" t="s">
        <v>2519</v>
      </c>
      <c r="AO730" t="s">
        <v>10374</v>
      </c>
      <c r="AP730" t="s">
        <v>10375</v>
      </c>
      <c r="AQ730" t="s">
        <v>74</v>
      </c>
      <c r="AR730" t="s">
        <v>10376</v>
      </c>
      <c r="AS730" t="s">
        <v>10377</v>
      </c>
      <c r="AT730" t="s">
        <v>74</v>
      </c>
      <c r="AU730">
        <v>2014</v>
      </c>
      <c r="AV730">
        <v>60</v>
      </c>
      <c r="AW730">
        <v>220</v>
      </c>
      <c r="AX730" t="s">
        <v>74</v>
      </c>
      <c r="AY730" t="s">
        <v>74</v>
      </c>
      <c r="AZ730" t="s">
        <v>74</v>
      </c>
      <c r="BA730" t="s">
        <v>74</v>
      </c>
      <c r="BB730">
        <v>383</v>
      </c>
      <c r="BC730">
        <v>393</v>
      </c>
      <c r="BD730" t="s">
        <v>74</v>
      </c>
      <c r="BE730" t="s">
        <v>13592</v>
      </c>
      <c r="BF730" t="str">
        <f>HYPERLINK("http://dx.doi.org/10.3189/2014JoG13J082","http://dx.doi.org/10.3189/2014JoG13J082")</f>
        <v>http://dx.doi.org/10.3189/2014JoG13J082</v>
      </c>
      <c r="BG730" t="s">
        <v>74</v>
      </c>
      <c r="BH730" t="s">
        <v>74</v>
      </c>
      <c r="BI730">
        <v>11</v>
      </c>
      <c r="BJ730" t="s">
        <v>1415</v>
      </c>
      <c r="BK730" t="s">
        <v>101</v>
      </c>
      <c r="BL730" t="s">
        <v>1416</v>
      </c>
      <c r="BM730" t="s">
        <v>13560</v>
      </c>
      <c r="BN730" t="s">
        <v>74</v>
      </c>
      <c r="BO730" t="s">
        <v>200</v>
      </c>
      <c r="BP730" t="s">
        <v>74</v>
      </c>
      <c r="BQ730" t="s">
        <v>74</v>
      </c>
      <c r="BR730" t="s">
        <v>104</v>
      </c>
      <c r="BS730" t="s">
        <v>13593</v>
      </c>
      <c r="BT730" t="str">
        <f>HYPERLINK("https%3A%2F%2Fwww.webofscience.com%2Fwos%2Fwoscc%2Ffull-record%2FWOS:000336198100018","View Full Record in Web of Science")</f>
        <v>View Full Record in Web of Science</v>
      </c>
    </row>
    <row r="731" spans="1:72" x14ac:dyDescent="0.15">
      <c r="A731" t="s">
        <v>72</v>
      </c>
      <c r="B731" t="s">
        <v>13594</v>
      </c>
      <c r="C731" t="s">
        <v>74</v>
      </c>
      <c r="D731" t="s">
        <v>74</v>
      </c>
      <c r="E731" t="s">
        <v>74</v>
      </c>
      <c r="F731" t="s">
        <v>13595</v>
      </c>
      <c r="G731" t="s">
        <v>74</v>
      </c>
      <c r="H731" t="s">
        <v>74</v>
      </c>
      <c r="I731" t="s">
        <v>13596</v>
      </c>
      <c r="J731" t="s">
        <v>13360</v>
      </c>
      <c r="K731" t="s">
        <v>74</v>
      </c>
      <c r="L731" t="s">
        <v>74</v>
      </c>
      <c r="M731" t="s">
        <v>78</v>
      </c>
      <c r="N731" t="s">
        <v>79</v>
      </c>
      <c r="O731" t="s">
        <v>74</v>
      </c>
      <c r="P731" t="s">
        <v>74</v>
      </c>
      <c r="Q731" t="s">
        <v>74</v>
      </c>
      <c r="R731" t="s">
        <v>74</v>
      </c>
      <c r="S731" t="s">
        <v>74</v>
      </c>
      <c r="T731" t="s">
        <v>74</v>
      </c>
      <c r="U731" t="s">
        <v>13597</v>
      </c>
      <c r="V731" t="s">
        <v>13598</v>
      </c>
      <c r="W731" t="s">
        <v>13599</v>
      </c>
      <c r="X731" t="s">
        <v>13600</v>
      </c>
      <c r="Y731" t="s">
        <v>13601</v>
      </c>
      <c r="Z731" t="s">
        <v>13602</v>
      </c>
      <c r="AA731" t="s">
        <v>74</v>
      </c>
      <c r="AB731" t="s">
        <v>13603</v>
      </c>
      <c r="AC731" t="s">
        <v>13604</v>
      </c>
      <c r="AD731" t="s">
        <v>13605</v>
      </c>
      <c r="AE731" t="s">
        <v>13606</v>
      </c>
      <c r="AF731" t="s">
        <v>74</v>
      </c>
      <c r="AG731">
        <v>59</v>
      </c>
      <c r="AH731">
        <v>19</v>
      </c>
      <c r="AI731">
        <v>22</v>
      </c>
      <c r="AJ731">
        <v>0</v>
      </c>
      <c r="AK731">
        <v>6</v>
      </c>
      <c r="AL731" t="s">
        <v>13310</v>
      </c>
      <c r="AM731" t="s">
        <v>13311</v>
      </c>
      <c r="AN731" t="s">
        <v>13312</v>
      </c>
      <c r="AO731" t="s">
        <v>13372</v>
      </c>
      <c r="AP731" t="s">
        <v>13373</v>
      </c>
      <c r="AQ731" t="s">
        <v>74</v>
      </c>
      <c r="AR731" t="s">
        <v>13374</v>
      </c>
      <c r="AS731" t="s">
        <v>13375</v>
      </c>
      <c r="AT731" t="s">
        <v>74</v>
      </c>
      <c r="AU731">
        <v>2014</v>
      </c>
      <c r="AV731">
        <v>34</v>
      </c>
      <c r="AW731">
        <v>3</v>
      </c>
      <c r="AX731" t="s">
        <v>74</v>
      </c>
      <c r="AY731" t="s">
        <v>74</v>
      </c>
      <c r="AZ731" t="s">
        <v>74</v>
      </c>
      <c r="BA731" t="s">
        <v>74</v>
      </c>
      <c r="BB731">
        <v>539</v>
      </c>
      <c r="BC731">
        <v>548</v>
      </c>
      <c r="BD731" t="s">
        <v>74</v>
      </c>
      <c r="BE731" t="s">
        <v>13607</v>
      </c>
      <c r="BF731" t="str">
        <f>HYPERLINK("http://dx.doi.org/10.1080/02724634.2013.808205","http://dx.doi.org/10.1080/02724634.2013.808205")</f>
        <v>http://dx.doi.org/10.1080/02724634.2013.808205</v>
      </c>
      <c r="BG731" t="s">
        <v>74</v>
      </c>
      <c r="BH731" t="s">
        <v>74</v>
      </c>
      <c r="BI731">
        <v>10</v>
      </c>
      <c r="BJ731" t="s">
        <v>2715</v>
      </c>
      <c r="BK731" t="s">
        <v>101</v>
      </c>
      <c r="BL731" t="s">
        <v>2715</v>
      </c>
      <c r="BM731" t="s">
        <v>13608</v>
      </c>
      <c r="BN731" t="s">
        <v>74</v>
      </c>
      <c r="BO731" t="s">
        <v>74</v>
      </c>
      <c r="BP731" t="s">
        <v>74</v>
      </c>
      <c r="BQ731" t="s">
        <v>74</v>
      </c>
      <c r="BR731" t="s">
        <v>104</v>
      </c>
      <c r="BS731" t="s">
        <v>13609</v>
      </c>
      <c r="BT731" t="str">
        <f>HYPERLINK("https%3A%2F%2Fwww.webofscience.com%2Fwos%2Fwoscc%2Ffull-record%2FWOS:000336244600004","View Full Record in Web of Science")</f>
        <v>View Full Record in Web of Science</v>
      </c>
    </row>
    <row r="732" spans="1:72" x14ac:dyDescent="0.15">
      <c r="A732" t="s">
        <v>72</v>
      </c>
      <c r="B732" t="s">
        <v>13610</v>
      </c>
      <c r="C732" t="s">
        <v>74</v>
      </c>
      <c r="D732" t="s">
        <v>74</v>
      </c>
      <c r="E732" t="s">
        <v>74</v>
      </c>
      <c r="F732" t="s">
        <v>13611</v>
      </c>
      <c r="G732" t="s">
        <v>74</v>
      </c>
      <c r="H732" t="s">
        <v>74</v>
      </c>
      <c r="I732" t="s">
        <v>13612</v>
      </c>
      <c r="J732" t="s">
        <v>13613</v>
      </c>
      <c r="K732" t="s">
        <v>74</v>
      </c>
      <c r="L732" t="s">
        <v>74</v>
      </c>
      <c r="M732" t="s">
        <v>78</v>
      </c>
      <c r="N732" t="s">
        <v>79</v>
      </c>
      <c r="O732" t="s">
        <v>74</v>
      </c>
      <c r="P732" t="s">
        <v>74</v>
      </c>
      <c r="Q732" t="s">
        <v>74</v>
      </c>
      <c r="R732" t="s">
        <v>74</v>
      </c>
      <c r="S732" t="s">
        <v>74</v>
      </c>
      <c r="T732" t="s">
        <v>13614</v>
      </c>
      <c r="U732" t="s">
        <v>13615</v>
      </c>
      <c r="V732" t="s">
        <v>13616</v>
      </c>
      <c r="W732" t="s">
        <v>13617</v>
      </c>
      <c r="X732" t="s">
        <v>13618</v>
      </c>
      <c r="Y732" t="s">
        <v>13619</v>
      </c>
      <c r="Z732" t="s">
        <v>13620</v>
      </c>
      <c r="AA732" t="s">
        <v>13621</v>
      </c>
      <c r="AB732" t="s">
        <v>13622</v>
      </c>
      <c r="AC732" t="s">
        <v>13623</v>
      </c>
      <c r="AD732" t="s">
        <v>13624</v>
      </c>
      <c r="AE732" t="s">
        <v>13625</v>
      </c>
      <c r="AF732" t="s">
        <v>74</v>
      </c>
      <c r="AG732">
        <v>81</v>
      </c>
      <c r="AH732">
        <v>20</v>
      </c>
      <c r="AI732">
        <v>23</v>
      </c>
      <c r="AJ732">
        <v>1</v>
      </c>
      <c r="AK732">
        <v>26</v>
      </c>
      <c r="AL732" t="s">
        <v>4431</v>
      </c>
      <c r="AM732" t="s">
        <v>4432</v>
      </c>
      <c r="AN732" t="s">
        <v>4433</v>
      </c>
      <c r="AO732" t="s">
        <v>74</v>
      </c>
      <c r="AP732" t="s">
        <v>13626</v>
      </c>
      <c r="AQ732" t="s">
        <v>74</v>
      </c>
      <c r="AR732" t="s">
        <v>13613</v>
      </c>
      <c r="AS732" t="s">
        <v>13627</v>
      </c>
      <c r="AT732" t="s">
        <v>13186</v>
      </c>
      <c r="AU732">
        <v>2014</v>
      </c>
      <c r="AV732">
        <v>6</v>
      </c>
      <c r="AW732">
        <v>1</v>
      </c>
      <c r="AX732" t="s">
        <v>74</v>
      </c>
      <c r="AY732" t="s">
        <v>74</v>
      </c>
      <c r="AZ732" t="s">
        <v>74</v>
      </c>
      <c r="BA732" t="s">
        <v>74</v>
      </c>
      <c r="BB732">
        <v>201</v>
      </c>
      <c r="BC732">
        <v>222</v>
      </c>
      <c r="BD732" t="s">
        <v>74</v>
      </c>
      <c r="BE732" t="s">
        <v>13628</v>
      </c>
      <c r="BF732" t="str">
        <f>HYPERLINK("http://dx.doi.org/10.3390/v6010201","http://dx.doi.org/10.3390/v6010201")</f>
        <v>http://dx.doi.org/10.3390/v6010201</v>
      </c>
      <c r="BG732" t="s">
        <v>74</v>
      </c>
      <c r="BH732" t="s">
        <v>74</v>
      </c>
      <c r="BI732">
        <v>22</v>
      </c>
      <c r="BJ732" t="s">
        <v>13629</v>
      </c>
      <c r="BK732" t="s">
        <v>101</v>
      </c>
      <c r="BL732" t="s">
        <v>13629</v>
      </c>
      <c r="BM732" t="s">
        <v>13630</v>
      </c>
      <c r="BN732">
        <v>24424500</v>
      </c>
      <c r="BO732" t="s">
        <v>2213</v>
      </c>
      <c r="BP732" t="s">
        <v>74</v>
      </c>
      <c r="BQ732" t="s">
        <v>74</v>
      </c>
      <c r="BR732" t="s">
        <v>104</v>
      </c>
      <c r="BS732" t="s">
        <v>13631</v>
      </c>
      <c r="BT732" t="str">
        <f>HYPERLINK("https%3A%2F%2Fwww.webofscience.com%2Fwos%2Fwoscc%2Ffull-record%2FWOS:000336093200011","View Full Record in Web of Science")</f>
        <v>View Full Record in Web of Science</v>
      </c>
    </row>
    <row r="733" spans="1:72" x14ac:dyDescent="0.15">
      <c r="A733" t="s">
        <v>72</v>
      </c>
      <c r="B733" t="s">
        <v>13632</v>
      </c>
      <c r="C733" t="s">
        <v>74</v>
      </c>
      <c r="D733" t="s">
        <v>74</v>
      </c>
      <c r="E733" t="s">
        <v>74</v>
      </c>
      <c r="F733" t="s">
        <v>13633</v>
      </c>
      <c r="G733" t="s">
        <v>74</v>
      </c>
      <c r="H733" t="s">
        <v>74</v>
      </c>
      <c r="I733" t="s">
        <v>13634</v>
      </c>
      <c r="J733" t="s">
        <v>9523</v>
      </c>
      <c r="K733" t="s">
        <v>74</v>
      </c>
      <c r="L733" t="s">
        <v>74</v>
      </c>
      <c r="M733" t="s">
        <v>78</v>
      </c>
      <c r="N733" t="s">
        <v>79</v>
      </c>
      <c r="O733" t="s">
        <v>74</v>
      </c>
      <c r="P733" t="s">
        <v>74</v>
      </c>
      <c r="Q733" t="s">
        <v>74</v>
      </c>
      <c r="R733" t="s">
        <v>74</v>
      </c>
      <c r="S733" t="s">
        <v>74</v>
      </c>
      <c r="T733" t="s">
        <v>13635</v>
      </c>
      <c r="U733" t="s">
        <v>13636</v>
      </c>
      <c r="V733" t="s">
        <v>13637</v>
      </c>
      <c r="W733" t="s">
        <v>13638</v>
      </c>
      <c r="X733" t="s">
        <v>13639</v>
      </c>
      <c r="Y733" t="s">
        <v>13640</v>
      </c>
      <c r="Z733" t="s">
        <v>13641</v>
      </c>
      <c r="AA733" t="s">
        <v>13642</v>
      </c>
      <c r="AB733" t="s">
        <v>13643</v>
      </c>
      <c r="AC733" t="s">
        <v>13644</v>
      </c>
      <c r="AD733" t="s">
        <v>12578</v>
      </c>
      <c r="AE733" t="s">
        <v>13645</v>
      </c>
      <c r="AF733" t="s">
        <v>74</v>
      </c>
      <c r="AG733">
        <v>54</v>
      </c>
      <c r="AH733">
        <v>50</v>
      </c>
      <c r="AI733">
        <v>51</v>
      </c>
      <c r="AJ733">
        <v>1</v>
      </c>
      <c r="AK733">
        <v>35</v>
      </c>
      <c r="AL733" t="s">
        <v>91</v>
      </c>
      <c r="AM733" t="s">
        <v>1948</v>
      </c>
      <c r="AN733" t="s">
        <v>2519</v>
      </c>
      <c r="AO733" t="s">
        <v>9535</v>
      </c>
      <c r="AP733" t="s">
        <v>9536</v>
      </c>
      <c r="AQ733" t="s">
        <v>74</v>
      </c>
      <c r="AR733" t="s">
        <v>9537</v>
      </c>
      <c r="AS733" t="s">
        <v>9538</v>
      </c>
      <c r="AT733" t="s">
        <v>74</v>
      </c>
      <c r="AU733">
        <v>2014</v>
      </c>
      <c r="AV733">
        <v>55</v>
      </c>
      <c r="AW733">
        <v>66</v>
      </c>
      <c r="AX733" t="s">
        <v>74</v>
      </c>
      <c r="AY733" t="s">
        <v>74</v>
      </c>
      <c r="AZ733" t="s">
        <v>74</v>
      </c>
      <c r="BA733" t="s">
        <v>74</v>
      </c>
      <c r="BB733">
        <v>1</v>
      </c>
      <c r="BC733">
        <v>8</v>
      </c>
      <c r="BD733" t="s">
        <v>74</v>
      </c>
      <c r="BE733" t="s">
        <v>13646</v>
      </c>
      <c r="BF733" t="str">
        <f>HYPERLINK("http://dx.doi.org/10.3189/2014AoG66A049","http://dx.doi.org/10.3189/2014AoG66A049")</f>
        <v>http://dx.doi.org/10.3189/2014AoG66A049</v>
      </c>
      <c r="BG733" t="s">
        <v>74</v>
      </c>
      <c r="BH733" t="s">
        <v>74</v>
      </c>
      <c r="BI733">
        <v>8</v>
      </c>
      <c r="BJ733" t="s">
        <v>1415</v>
      </c>
      <c r="BK733" t="s">
        <v>101</v>
      </c>
      <c r="BL733" t="s">
        <v>1416</v>
      </c>
      <c r="BM733" t="s">
        <v>13647</v>
      </c>
      <c r="BN733" t="s">
        <v>74</v>
      </c>
      <c r="BO733" t="s">
        <v>13648</v>
      </c>
      <c r="BP733" t="s">
        <v>74</v>
      </c>
      <c r="BQ733" t="s">
        <v>74</v>
      </c>
      <c r="BR733" t="s">
        <v>104</v>
      </c>
      <c r="BS733" t="s">
        <v>13649</v>
      </c>
      <c r="BT733" t="str">
        <f>HYPERLINK("https%3A%2F%2Fwww.webofscience.com%2Fwos%2Fwoscc%2Ffull-record%2FWOS:000336010200002","View Full Record in Web of Science")</f>
        <v>View Full Record in Web of Science</v>
      </c>
    </row>
    <row r="734" spans="1:72" x14ac:dyDescent="0.15">
      <c r="A734" t="s">
        <v>72</v>
      </c>
      <c r="B734" t="s">
        <v>13650</v>
      </c>
      <c r="C734" t="s">
        <v>74</v>
      </c>
      <c r="D734" t="s">
        <v>74</v>
      </c>
      <c r="E734" t="s">
        <v>74</v>
      </c>
      <c r="F734" t="s">
        <v>13651</v>
      </c>
      <c r="G734" t="s">
        <v>74</v>
      </c>
      <c r="H734" t="s">
        <v>74</v>
      </c>
      <c r="I734" t="s">
        <v>13652</v>
      </c>
      <c r="J734" t="s">
        <v>9523</v>
      </c>
      <c r="K734" t="s">
        <v>74</v>
      </c>
      <c r="L734" t="s">
        <v>74</v>
      </c>
      <c r="M734" t="s">
        <v>78</v>
      </c>
      <c r="N734" t="s">
        <v>79</v>
      </c>
      <c r="O734" t="s">
        <v>74</v>
      </c>
      <c r="P734" t="s">
        <v>74</v>
      </c>
      <c r="Q734" t="s">
        <v>74</v>
      </c>
      <c r="R734" t="s">
        <v>74</v>
      </c>
      <c r="S734" t="s">
        <v>74</v>
      </c>
      <c r="T734" t="s">
        <v>13653</v>
      </c>
      <c r="U734" t="s">
        <v>13654</v>
      </c>
      <c r="V734" t="s">
        <v>13655</v>
      </c>
      <c r="W734" t="s">
        <v>13656</v>
      </c>
      <c r="X734" t="s">
        <v>13657</v>
      </c>
      <c r="Y734" t="s">
        <v>13658</v>
      </c>
      <c r="Z734" t="s">
        <v>12817</v>
      </c>
      <c r="AA734" t="s">
        <v>13659</v>
      </c>
      <c r="AB734" t="s">
        <v>13660</v>
      </c>
      <c r="AC734" t="s">
        <v>13661</v>
      </c>
      <c r="AD734" t="s">
        <v>13662</v>
      </c>
      <c r="AE734" t="s">
        <v>13663</v>
      </c>
      <c r="AF734" t="s">
        <v>74</v>
      </c>
      <c r="AG734">
        <v>35</v>
      </c>
      <c r="AH734">
        <v>14</v>
      </c>
      <c r="AI734">
        <v>17</v>
      </c>
      <c r="AJ734">
        <v>4</v>
      </c>
      <c r="AK734">
        <v>41</v>
      </c>
      <c r="AL734" t="s">
        <v>91</v>
      </c>
      <c r="AM734" t="s">
        <v>1948</v>
      </c>
      <c r="AN734" t="s">
        <v>2519</v>
      </c>
      <c r="AO734" t="s">
        <v>9535</v>
      </c>
      <c r="AP734" t="s">
        <v>9536</v>
      </c>
      <c r="AQ734" t="s">
        <v>74</v>
      </c>
      <c r="AR734" t="s">
        <v>9537</v>
      </c>
      <c r="AS734" t="s">
        <v>9538</v>
      </c>
      <c r="AT734" t="s">
        <v>74</v>
      </c>
      <c r="AU734">
        <v>2014</v>
      </c>
      <c r="AV734">
        <v>55</v>
      </c>
      <c r="AW734">
        <v>66</v>
      </c>
      <c r="AX734" t="s">
        <v>74</v>
      </c>
      <c r="AY734" t="s">
        <v>74</v>
      </c>
      <c r="AZ734" t="s">
        <v>74</v>
      </c>
      <c r="BA734" t="s">
        <v>74</v>
      </c>
      <c r="BB734">
        <v>45</v>
      </c>
      <c r="BC734">
        <v>51</v>
      </c>
      <c r="BD734" t="s">
        <v>74</v>
      </c>
      <c r="BE734" t="s">
        <v>13664</v>
      </c>
      <c r="BF734" t="str">
        <f>HYPERLINK("http://dx.doi.org/10.3189/2014AoG66A185","http://dx.doi.org/10.3189/2014AoG66A185")</f>
        <v>http://dx.doi.org/10.3189/2014AoG66A185</v>
      </c>
      <c r="BG734" t="s">
        <v>74</v>
      </c>
      <c r="BH734" t="s">
        <v>74</v>
      </c>
      <c r="BI734">
        <v>7</v>
      </c>
      <c r="BJ734" t="s">
        <v>1415</v>
      </c>
      <c r="BK734" t="s">
        <v>101</v>
      </c>
      <c r="BL734" t="s">
        <v>1416</v>
      </c>
      <c r="BM734" t="s">
        <v>13647</v>
      </c>
      <c r="BN734" t="s">
        <v>74</v>
      </c>
      <c r="BO734" t="s">
        <v>1607</v>
      </c>
      <c r="BP734" t="s">
        <v>74</v>
      </c>
      <c r="BQ734" t="s">
        <v>74</v>
      </c>
      <c r="BR734" t="s">
        <v>104</v>
      </c>
      <c r="BS734" t="s">
        <v>13665</v>
      </c>
      <c r="BT734" t="str">
        <f>HYPERLINK("https%3A%2F%2Fwww.webofscience.com%2Fwos%2Fwoscc%2Ffull-record%2FWOS:000336010200007","View Full Record in Web of Science")</f>
        <v>View Full Record in Web of Science</v>
      </c>
    </row>
    <row r="735" spans="1:72" x14ac:dyDescent="0.15">
      <c r="A735" t="s">
        <v>72</v>
      </c>
      <c r="B735" t="s">
        <v>13666</v>
      </c>
      <c r="C735" t="s">
        <v>74</v>
      </c>
      <c r="D735" t="s">
        <v>74</v>
      </c>
      <c r="E735" t="s">
        <v>74</v>
      </c>
      <c r="F735" t="s">
        <v>13667</v>
      </c>
      <c r="G735" t="s">
        <v>74</v>
      </c>
      <c r="H735" t="s">
        <v>74</v>
      </c>
      <c r="I735" t="s">
        <v>13668</v>
      </c>
      <c r="J735" t="s">
        <v>9523</v>
      </c>
      <c r="K735" t="s">
        <v>74</v>
      </c>
      <c r="L735" t="s">
        <v>74</v>
      </c>
      <c r="M735" t="s">
        <v>78</v>
      </c>
      <c r="N735" t="s">
        <v>79</v>
      </c>
      <c r="O735" t="s">
        <v>74</v>
      </c>
      <c r="P735" t="s">
        <v>74</v>
      </c>
      <c r="Q735" t="s">
        <v>74</v>
      </c>
      <c r="R735" t="s">
        <v>74</v>
      </c>
      <c r="S735" t="s">
        <v>74</v>
      </c>
      <c r="T735" t="s">
        <v>13669</v>
      </c>
      <c r="U735" t="s">
        <v>13670</v>
      </c>
      <c r="V735" t="s">
        <v>13671</v>
      </c>
      <c r="W735" t="s">
        <v>13672</v>
      </c>
      <c r="X735" t="s">
        <v>13673</v>
      </c>
      <c r="Y735" t="s">
        <v>13674</v>
      </c>
      <c r="Z735" t="s">
        <v>13675</v>
      </c>
      <c r="AA735" t="s">
        <v>13676</v>
      </c>
      <c r="AB735" t="s">
        <v>74</v>
      </c>
      <c r="AC735" t="s">
        <v>13677</v>
      </c>
      <c r="AD735" t="s">
        <v>13678</v>
      </c>
      <c r="AE735" t="s">
        <v>13679</v>
      </c>
      <c r="AF735" t="s">
        <v>74</v>
      </c>
      <c r="AG735">
        <v>35</v>
      </c>
      <c r="AH735">
        <v>6</v>
      </c>
      <c r="AI735">
        <v>7</v>
      </c>
      <c r="AJ735">
        <v>2</v>
      </c>
      <c r="AK735">
        <v>28</v>
      </c>
      <c r="AL735" t="s">
        <v>91</v>
      </c>
      <c r="AM735" t="s">
        <v>1948</v>
      </c>
      <c r="AN735" t="s">
        <v>2519</v>
      </c>
      <c r="AO735" t="s">
        <v>9535</v>
      </c>
      <c r="AP735" t="s">
        <v>9536</v>
      </c>
      <c r="AQ735" t="s">
        <v>74</v>
      </c>
      <c r="AR735" t="s">
        <v>9537</v>
      </c>
      <c r="AS735" t="s">
        <v>9538</v>
      </c>
      <c r="AT735" t="s">
        <v>74</v>
      </c>
      <c r="AU735">
        <v>2014</v>
      </c>
      <c r="AV735">
        <v>55</v>
      </c>
      <c r="AW735">
        <v>66</v>
      </c>
      <c r="AX735" t="s">
        <v>74</v>
      </c>
      <c r="AY735" t="s">
        <v>74</v>
      </c>
      <c r="AZ735" t="s">
        <v>74</v>
      </c>
      <c r="BA735" t="s">
        <v>74</v>
      </c>
      <c r="BB735">
        <v>81</v>
      </c>
      <c r="BC735">
        <v>86</v>
      </c>
      <c r="BD735" t="s">
        <v>74</v>
      </c>
      <c r="BE735" t="s">
        <v>13680</v>
      </c>
      <c r="BF735" t="str">
        <f>HYPERLINK("http://dx.doi.org/10.3189/2014AoG66A154","http://dx.doi.org/10.3189/2014AoG66A154")</f>
        <v>http://dx.doi.org/10.3189/2014AoG66A154</v>
      </c>
      <c r="BG735" t="s">
        <v>74</v>
      </c>
      <c r="BH735" t="s">
        <v>74</v>
      </c>
      <c r="BI735">
        <v>6</v>
      </c>
      <c r="BJ735" t="s">
        <v>1415</v>
      </c>
      <c r="BK735" t="s">
        <v>101</v>
      </c>
      <c r="BL735" t="s">
        <v>1416</v>
      </c>
      <c r="BM735" t="s">
        <v>13647</v>
      </c>
      <c r="BN735" t="s">
        <v>74</v>
      </c>
      <c r="BO735" t="s">
        <v>200</v>
      </c>
      <c r="BP735" t="s">
        <v>74</v>
      </c>
      <c r="BQ735" t="s">
        <v>74</v>
      </c>
      <c r="BR735" t="s">
        <v>104</v>
      </c>
      <c r="BS735" t="s">
        <v>13681</v>
      </c>
      <c r="BT735" t="str">
        <f>HYPERLINK("https%3A%2F%2Fwww.webofscience.com%2Fwos%2Fwoscc%2Ffull-record%2FWOS:000336010200011","View Full Record in Web of Science")</f>
        <v>View Full Record in Web of Science</v>
      </c>
    </row>
    <row r="736" spans="1:72" x14ac:dyDescent="0.15">
      <c r="A736" t="s">
        <v>72</v>
      </c>
      <c r="B736" t="s">
        <v>13682</v>
      </c>
      <c r="C736" t="s">
        <v>74</v>
      </c>
      <c r="D736" t="s">
        <v>74</v>
      </c>
      <c r="E736" t="s">
        <v>74</v>
      </c>
      <c r="F736" t="s">
        <v>13683</v>
      </c>
      <c r="G736" t="s">
        <v>74</v>
      </c>
      <c r="H736" t="s">
        <v>74</v>
      </c>
      <c r="I736" t="s">
        <v>13684</v>
      </c>
      <c r="J736" t="s">
        <v>9523</v>
      </c>
      <c r="K736" t="s">
        <v>74</v>
      </c>
      <c r="L736" t="s">
        <v>74</v>
      </c>
      <c r="M736" t="s">
        <v>78</v>
      </c>
      <c r="N736" t="s">
        <v>79</v>
      </c>
      <c r="O736" t="s">
        <v>74</v>
      </c>
      <c r="P736" t="s">
        <v>74</v>
      </c>
      <c r="Q736" t="s">
        <v>74</v>
      </c>
      <c r="R736" t="s">
        <v>74</v>
      </c>
      <c r="S736" t="s">
        <v>74</v>
      </c>
      <c r="T736" t="s">
        <v>13685</v>
      </c>
      <c r="U736" t="s">
        <v>13686</v>
      </c>
      <c r="V736" t="s">
        <v>13687</v>
      </c>
      <c r="W736" t="s">
        <v>13688</v>
      </c>
      <c r="X736" t="s">
        <v>13689</v>
      </c>
      <c r="Y736" t="s">
        <v>13690</v>
      </c>
      <c r="Z736" t="s">
        <v>13691</v>
      </c>
      <c r="AA736" t="s">
        <v>13692</v>
      </c>
      <c r="AB736" t="s">
        <v>13693</v>
      </c>
      <c r="AC736" t="s">
        <v>13694</v>
      </c>
      <c r="AD736" t="s">
        <v>13695</v>
      </c>
      <c r="AE736" t="s">
        <v>13696</v>
      </c>
      <c r="AF736" t="s">
        <v>74</v>
      </c>
      <c r="AG736">
        <v>41</v>
      </c>
      <c r="AH736">
        <v>16</v>
      </c>
      <c r="AI736">
        <v>18</v>
      </c>
      <c r="AJ736">
        <v>1</v>
      </c>
      <c r="AK736">
        <v>17</v>
      </c>
      <c r="AL736" t="s">
        <v>91</v>
      </c>
      <c r="AM736" t="s">
        <v>1948</v>
      </c>
      <c r="AN736" t="s">
        <v>2519</v>
      </c>
      <c r="AO736" t="s">
        <v>9535</v>
      </c>
      <c r="AP736" t="s">
        <v>9536</v>
      </c>
      <c r="AQ736" t="s">
        <v>74</v>
      </c>
      <c r="AR736" t="s">
        <v>9537</v>
      </c>
      <c r="AS736" t="s">
        <v>9538</v>
      </c>
      <c r="AT736" t="s">
        <v>74</v>
      </c>
      <c r="AU736">
        <v>2014</v>
      </c>
      <c r="AV736">
        <v>55</v>
      </c>
      <c r="AW736">
        <v>66</v>
      </c>
      <c r="AX736" t="s">
        <v>74</v>
      </c>
      <c r="AY736" t="s">
        <v>74</v>
      </c>
      <c r="AZ736" t="s">
        <v>74</v>
      </c>
      <c r="BA736" t="s">
        <v>74</v>
      </c>
      <c r="BB736">
        <v>87</v>
      </c>
      <c r="BC736">
        <v>96</v>
      </c>
      <c r="BD736" t="s">
        <v>74</v>
      </c>
      <c r="BE736" t="s">
        <v>13697</v>
      </c>
      <c r="BF736" t="str">
        <f>HYPERLINK("http://dx.doi.org/10.3189/2014AoG66A216","http://dx.doi.org/10.3189/2014AoG66A216")</f>
        <v>http://dx.doi.org/10.3189/2014AoG66A216</v>
      </c>
      <c r="BG736" t="s">
        <v>74</v>
      </c>
      <c r="BH736" t="s">
        <v>74</v>
      </c>
      <c r="BI736">
        <v>10</v>
      </c>
      <c r="BJ736" t="s">
        <v>1415</v>
      </c>
      <c r="BK736" t="s">
        <v>101</v>
      </c>
      <c r="BL736" t="s">
        <v>1416</v>
      </c>
      <c r="BM736" t="s">
        <v>13647</v>
      </c>
      <c r="BN736" t="s">
        <v>74</v>
      </c>
      <c r="BO736" t="s">
        <v>200</v>
      </c>
      <c r="BP736" t="s">
        <v>74</v>
      </c>
      <c r="BQ736" t="s">
        <v>74</v>
      </c>
      <c r="BR736" t="s">
        <v>104</v>
      </c>
      <c r="BS736" t="s">
        <v>13698</v>
      </c>
      <c r="BT736" t="str">
        <f>HYPERLINK("https%3A%2F%2Fwww.webofscience.com%2Fwos%2Fwoscc%2Ffull-record%2FWOS:000336010200012","View Full Record in Web of Science")</f>
        <v>View Full Record in Web of Science</v>
      </c>
    </row>
    <row r="737" spans="1:72" x14ac:dyDescent="0.15">
      <c r="A737" t="s">
        <v>72</v>
      </c>
      <c r="B737" t="s">
        <v>13699</v>
      </c>
      <c r="C737" t="s">
        <v>74</v>
      </c>
      <c r="D737" t="s">
        <v>74</v>
      </c>
      <c r="E737" t="s">
        <v>74</v>
      </c>
      <c r="F737" t="s">
        <v>13700</v>
      </c>
      <c r="G737" t="s">
        <v>74</v>
      </c>
      <c r="H737" t="s">
        <v>74</v>
      </c>
      <c r="I737" t="s">
        <v>13701</v>
      </c>
      <c r="J737" t="s">
        <v>9523</v>
      </c>
      <c r="K737" t="s">
        <v>74</v>
      </c>
      <c r="L737" t="s">
        <v>74</v>
      </c>
      <c r="M737" t="s">
        <v>78</v>
      </c>
      <c r="N737" t="s">
        <v>79</v>
      </c>
      <c r="O737" t="s">
        <v>74</v>
      </c>
      <c r="P737" t="s">
        <v>74</v>
      </c>
      <c r="Q737" t="s">
        <v>74</v>
      </c>
      <c r="R737" t="s">
        <v>74</v>
      </c>
      <c r="S737" t="s">
        <v>74</v>
      </c>
      <c r="T737" t="s">
        <v>13702</v>
      </c>
      <c r="U737" t="s">
        <v>13703</v>
      </c>
      <c r="V737" t="s">
        <v>13704</v>
      </c>
      <c r="W737" t="s">
        <v>13705</v>
      </c>
      <c r="X737" t="s">
        <v>13706</v>
      </c>
      <c r="Y737" t="s">
        <v>13707</v>
      </c>
      <c r="Z737" t="s">
        <v>13708</v>
      </c>
      <c r="AA737" t="s">
        <v>13709</v>
      </c>
      <c r="AB737" t="s">
        <v>13710</v>
      </c>
      <c r="AC737" t="s">
        <v>13711</v>
      </c>
      <c r="AD737" t="s">
        <v>13712</v>
      </c>
      <c r="AE737" t="s">
        <v>13713</v>
      </c>
      <c r="AF737" t="s">
        <v>74</v>
      </c>
      <c r="AG737">
        <v>49</v>
      </c>
      <c r="AH737">
        <v>9</v>
      </c>
      <c r="AI737">
        <v>11</v>
      </c>
      <c r="AJ737">
        <v>1</v>
      </c>
      <c r="AK737">
        <v>20</v>
      </c>
      <c r="AL737" t="s">
        <v>91</v>
      </c>
      <c r="AM737" t="s">
        <v>1948</v>
      </c>
      <c r="AN737" t="s">
        <v>2519</v>
      </c>
      <c r="AO737" t="s">
        <v>9535</v>
      </c>
      <c r="AP737" t="s">
        <v>9536</v>
      </c>
      <c r="AQ737" t="s">
        <v>74</v>
      </c>
      <c r="AR737" t="s">
        <v>9537</v>
      </c>
      <c r="AS737" t="s">
        <v>9538</v>
      </c>
      <c r="AT737" t="s">
        <v>74</v>
      </c>
      <c r="AU737">
        <v>2014</v>
      </c>
      <c r="AV737">
        <v>55</v>
      </c>
      <c r="AW737">
        <v>66</v>
      </c>
      <c r="AX737" t="s">
        <v>74</v>
      </c>
      <c r="AY737" t="s">
        <v>74</v>
      </c>
      <c r="AZ737" t="s">
        <v>74</v>
      </c>
      <c r="BA737" t="s">
        <v>74</v>
      </c>
      <c r="BB737">
        <v>105</v>
      </c>
      <c r="BC737">
        <v>110</v>
      </c>
      <c r="BD737" t="s">
        <v>74</v>
      </c>
      <c r="BE737" t="s">
        <v>13714</v>
      </c>
      <c r="BF737" t="str">
        <f>HYPERLINK("http://dx.doi.org/10.3189/2014AoG66A151","http://dx.doi.org/10.3189/2014AoG66A151")</f>
        <v>http://dx.doi.org/10.3189/2014AoG66A151</v>
      </c>
      <c r="BG737" t="s">
        <v>74</v>
      </c>
      <c r="BH737" t="s">
        <v>74</v>
      </c>
      <c r="BI737">
        <v>6</v>
      </c>
      <c r="BJ737" t="s">
        <v>1415</v>
      </c>
      <c r="BK737" t="s">
        <v>101</v>
      </c>
      <c r="BL737" t="s">
        <v>1416</v>
      </c>
      <c r="BM737" t="s">
        <v>13647</v>
      </c>
      <c r="BN737" t="s">
        <v>74</v>
      </c>
      <c r="BO737" t="s">
        <v>5507</v>
      </c>
      <c r="BP737" t="s">
        <v>74</v>
      </c>
      <c r="BQ737" t="s">
        <v>74</v>
      </c>
      <c r="BR737" t="s">
        <v>104</v>
      </c>
      <c r="BS737" t="s">
        <v>13715</v>
      </c>
      <c r="BT737" t="str">
        <f>HYPERLINK("https%3A%2F%2Fwww.webofscience.com%2Fwos%2Fwoscc%2Ffull-record%2FWOS:000336010200014","View Full Record in Web of Science")</f>
        <v>View Full Record in Web of Science</v>
      </c>
    </row>
    <row r="738" spans="1:72" x14ac:dyDescent="0.15">
      <c r="A738" t="s">
        <v>72</v>
      </c>
      <c r="B738" t="s">
        <v>13716</v>
      </c>
      <c r="C738" t="s">
        <v>74</v>
      </c>
      <c r="D738" t="s">
        <v>74</v>
      </c>
      <c r="E738" t="s">
        <v>74</v>
      </c>
      <c r="F738" t="s">
        <v>13717</v>
      </c>
      <c r="G738" t="s">
        <v>74</v>
      </c>
      <c r="H738" t="s">
        <v>74</v>
      </c>
      <c r="I738" t="s">
        <v>13718</v>
      </c>
      <c r="J738" t="s">
        <v>9523</v>
      </c>
      <c r="K738" t="s">
        <v>74</v>
      </c>
      <c r="L738" t="s">
        <v>74</v>
      </c>
      <c r="M738" t="s">
        <v>78</v>
      </c>
      <c r="N738" t="s">
        <v>79</v>
      </c>
      <c r="O738" t="s">
        <v>74</v>
      </c>
      <c r="P738" t="s">
        <v>74</v>
      </c>
      <c r="Q738" t="s">
        <v>74</v>
      </c>
      <c r="R738" t="s">
        <v>74</v>
      </c>
      <c r="S738" t="s">
        <v>74</v>
      </c>
      <c r="T738" t="s">
        <v>13719</v>
      </c>
      <c r="U738" t="s">
        <v>13720</v>
      </c>
      <c r="V738" t="s">
        <v>13721</v>
      </c>
      <c r="W738" t="s">
        <v>13722</v>
      </c>
      <c r="X738" t="s">
        <v>13723</v>
      </c>
      <c r="Y738" t="s">
        <v>13724</v>
      </c>
      <c r="Z738" t="s">
        <v>13725</v>
      </c>
      <c r="AA738" t="s">
        <v>13726</v>
      </c>
      <c r="AB738" t="s">
        <v>13727</v>
      </c>
      <c r="AC738" t="s">
        <v>13728</v>
      </c>
      <c r="AD738" t="s">
        <v>13729</v>
      </c>
      <c r="AE738" t="s">
        <v>13730</v>
      </c>
      <c r="AF738" t="s">
        <v>74</v>
      </c>
      <c r="AG738">
        <v>32</v>
      </c>
      <c r="AH738">
        <v>3</v>
      </c>
      <c r="AI738">
        <v>3</v>
      </c>
      <c r="AJ738">
        <v>0</v>
      </c>
      <c r="AK738">
        <v>11</v>
      </c>
      <c r="AL738" t="s">
        <v>91</v>
      </c>
      <c r="AM738" t="s">
        <v>1948</v>
      </c>
      <c r="AN738" t="s">
        <v>2519</v>
      </c>
      <c r="AO738" t="s">
        <v>9535</v>
      </c>
      <c r="AP738" t="s">
        <v>9536</v>
      </c>
      <c r="AQ738" t="s">
        <v>74</v>
      </c>
      <c r="AR738" t="s">
        <v>9537</v>
      </c>
      <c r="AS738" t="s">
        <v>9538</v>
      </c>
      <c r="AT738" t="s">
        <v>74</v>
      </c>
      <c r="AU738">
        <v>2014</v>
      </c>
      <c r="AV738">
        <v>55</v>
      </c>
      <c r="AW738">
        <v>66</v>
      </c>
      <c r="AX738" t="s">
        <v>74</v>
      </c>
      <c r="AY738" t="s">
        <v>74</v>
      </c>
      <c r="AZ738" t="s">
        <v>74</v>
      </c>
      <c r="BA738" t="s">
        <v>74</v>
      </c>
      <c r="BB738">
        <v>205</v>
      </c>
      <c r="BC738">
        <v>212</v>
      </c>
      <c r="BD738" t="s">
        <v>74</v>
      </c>
      <c r="BE738" t="s">
        <v>13731</v>
      </c>
      <c r="BF738" t="str">
        <f>HYPERLINK("http://dx.doi.org/10.3189/2014AoG66A188","http://dx.doi.org/10.3189/2014AoG66A188")</f>
        <v>http://dx.doi.org/10.3189/2014AoG66A188</v>
      </c>
      <c r="BG738" t="s">
        <v>74</v>
      </c>
      <c r="BH738" t="s">
        <v>74</v>
      </c>
      <c r="BI738">
        <v>8</v>
      </c>
      <c r="BJ738" t="s">
        <v>1415</v>
      </c>
      <c r="BK738" t="s">
        <v>101</v>
      </c>
      <c r="BL738" t="s">
        <v>1416</v>
      </c>
      <c r="BM738" t="s">
        <v>13647</v>
      </c>
      <c r="BN738" t="s">
        <v>74</v>
      </c>
      <c r="BO738" t="s">
        <v>200</v>
      </c>
      <c r="BP738" t="s">
        <v>74</v>
      </c>
      <c r="BQ738" t="s">
        <v>74</v>
      </c>
      <c r="BR738" t="s">
        <v>104</v>
      </c>
      <c r="BS738" t="s">
        <v>13732</v>
      </c>
      <c r="BT738" t="str">
        <f>HYPERLINK("https%3A%2F%2Fwww.webofscience.com%2Fwos%2Fwoscc%2Ffull-record%2FWOS:000336010200025","View Full Record in Web of Science")</f>
        <v>View Full Record in Web of Science</v>
      </c>
    </row>
    <row r="739" spans="1:72" x14ac:dyDescent="0.15">
      <c r="A739" t="s">
        <v>72</v>
      </c>
      <c r="B739" t="s">
        <v>13733</v>
      </c>
      <c r="C739" t="s">
        <v>74</v>
      </c>
      <c r="D739" t="s">
        <v>74</v>
      </c>
      <c r="E739" t="s">
        <v>74</v>
      </c>
      <c r="F739" t="s">
        <v>13734</v>
      </c>
      <c r="G739" t="s">
        <v>74</v>
      </c>
      <c r="H739" t="s">
        <v>74</v>
      </c>
      <c r="I739" t="s">
        <v>13735</v>
      </c>
      <c r="J739" t="s">
        <v>9523</v>
      </c>
      <c r="K739" t="s">
        <v>74</v>
      </c>
      <c r="L739" t="s">
        <v>74</v>
      </c>
      <c r="M739" t="s">
        <v>78</v>
      </c>
      <c r="N739" t="s">
        <v>79</v>
      </c>
      <c r="O739" t="s">
        <v>74</v>
      </c>
      <c r="P739" t="s">
        <v>74</v>
      </c>
      <c r="Q739" t="s">
        <v>74</v>
      </c>
      <c r="R739" t="s">
        <v>74</v>
      </c>
      <c r="S739" t="s">
        <v>74</v>
      </c>
      <c r="T739" t="s">
        <v>13736</v>
      </c>
      <c r="U739" t="s">
        <v>13737</v>
      </c>
      <c r="V739" t="s">
        <v>13738</v>
      </c>
      <c r="W739" t="s">
        <v>13739</v>
      </c>
      <c r="X739" t="s">
        <v>13740</v>
      </c>
      <c r="Y739" t="s">
        <v>13741</v>
      </c>
      <c r="Z739" t="s">
        <v>13742</v>
      </c>
      <c r="AA739" t="s">
        <v>13743</v>
      </c>
      <c r="AB739" t="s">
        <v>13744</v>
      </c>
      <c r="AC739" t="s">
        <v>13745</v>
      </c>
      <c r="AD739" t="s">
        <v>13746</v>
      </c>
      <c r="AE739" t="s">
        <v>13747</v>
      </c>
      <c r="AF739" t="s">
        <v>74</v>
      </c>
      <c r="AG739">
        <v>46</v>
      </c>
      <c r="AH739">
        <v>5</v>
      </c>
      <c r="AI739">
        <v>6</v>
      </c>
      <c r="AJ739">
        <v>0</v>
      </c>
      <c r="AK739">
        <v>15</v>
      </c>
      <c r="AL739" t="s">
        <v>91</v>
      </c>
      <c r="AM739" t="s">
        <v>1948</v>
      </c>
      <c r="AN739" t="s">
        <v>2519</v>
      </c>
      <c r="AO739" t="s">
        <v>9535</v>
      </c>
      <c r="AP739" t="s">
        <v>9536</v>
      </c>
      <c r="AQ739" t="s">
        <v>74</v>
      </c>
      <c r="AR739" t="s">
        <v>9537</v>
      </c>
      <c r="AS739" t="s">
        <v>9538</v>
      </c>
      <c r="AT739" t="s">
        <v>74</v>
      </c>
      <c r="AU739">
        <v>2014</v>
      </c>
      <c r="AV739">
        <v>55</v>
      </c>
      <c r="AW739">
        <v>66</v>
      </c>
      <c r="AX739" t="s">
        <v>74</v>
      </c>
      <c r="AY739" t="s">
        <v>74</v>
      </c>
      <c r="AZ739" t="s">
        <v>74</v>
      </c>
      <c r="BA739" t="s">
        <v>74</v>
      </c>
      <c r="BB739">
        <v>248</v>
      </c>
      <c r="BC739">
        <v>258</v>
      </c>
      <c r="BD739" t="s">
        <v>74</v>
      </c>
      <c r="BE739" t="s">
        <v>13748</v>
      </c>
      <c r="BF739" t="str">
        <f>HYPERLINK("http://dx.doi.org/10.3189/2014AoG66A014","http://dx.doi.org/10.3189/2014AoG66A014")</f>
        <v>http://dx.doi.org/10.3189/2014AoG66A014</v>
      </c>
      <c r="BG739" t="s">
        <v>74</v>
      </c>
      <c r="BH739" t="s">
        <v>74</v>
      </c>
      <c r="BI739">
        <v>11</v>
      </c>
      <c r="BJ739" t="s">
        <v>1415</v>
      </c>
      <c r="BK739" t="s">
        <v>101</v>
      </c>
      <c r="BL739" t="s">
        <v>1416</v>
      </c>
      <c r="BM739" t="s">
        <v>13647</v>
      </c>
      <c r="BN739" t="s">
        <v>74</v>
      </c>
      <c r="BO739" t="s">
        <v>200</v>
      </c>
      <c r="BP739" t="s">
        <v>74</v>
      </c>
      <c r="BQ739" t="s">
        <v>74</v>
      </c>
      <c r="BR739" t="s">
        <v>104</v>
      </c>
      <c r="BS739" t="s">
        <v>13749</v>
      </c>
      <c r="BT739" t="str">
        <f>HYPERLINK("https%3A%2F%2Fwww.webofscience.com%2Fwos%2Fwoscc%2Ffull-record%2FWOS:000336010200030","View Full Record in Web of Science")</f>
        <v>View Full Record in Web of Science</v>
      </c>
    </row>
    <row r="740" spans="1:72" x14ac:dyDescent="0.15">
      <c r="A740" t="s">
        <v>72</v>
      </c>
      <c r="B740" t="s">
        <v>13750</v>
      </c>
      <c r="C740" t="s">
        <v>74</v>
      </c>
      <c r="D740" t="s">
        <v>74</v>
      </c>
      <c r="E740" t="s">
        <v>74</v>
      </c>
      <c r="F740" t="s">
        <v>13751</v>
      </c>
      <c r="G740" t="s">
        <v>74</v>
      </c>
      <c r="H740" t="s">
        <v>74</v>
      </c>
      <c r="I740" t="s">
        <v>13752</v>
      </c>
      <c r="J740" t="s">
        <v>9523</v>
      </c>
      <c r="K740" t="s">
        <v>74</v>
      </c>
      <c r="L740" t="s">
        <v>74</v>
      </c>
      <c r="M740" t="s">
        <v>78</v>
      </c>
      <c r="N740" t="s">
        <v>79</v>
      </c>
      <c r="O740" t="s">
        <v>74</v>
      </c>
      <c r="P740" t="s">
        <v>74</v>
      </c>
      <c r="Q740" t="s">
        <v>74</v>
      </c>
      <c r="R740" t="s">
        <v>74</v>
      </c>
      <c r="S740" t="s">
        <v>74</v>
      </c>
      <c r="T740" t="s">
        <v>13753</v>
      </c>
      <c r="U740" t="s">
        <v>13754</v>
      </c>
      <c r="V740" t="s">
        <v>13755</v>
      </c>
      <c r="W740" t="s">
        <v>13756</v>
      </c>
      <c r="X740" t="s">
        <v>3274</v>
      </c>
      <c r="Y740" t="s">
        <v>13757</v>
      </c>
      <c r="Z740" t="s">
        <v>13758</v>
      </c>
      <c r="AA740" t="s">
        <v>13759</v>
      </c>
      <c r="AB740" t="s">
        <v>13760</v>
      </c>
      <c r="AC740" t="s">
        <v>13761</v>
      </c>
      <c r="AD740" t="s">
        <v>3279</v>
      </c>
      <c r="AE740" t="s">
        <v>13762</v>
      </c>
      <c r="AF740" t="s">
        <v>74</v>
      </c>
      <c r="AG740">
        <v>23</v>
      </c>
      <c r="AH740">
        <v>28</v>
      </c>
      <c r="AI740">
        <v>34</v>
      </c>
      <c r="AJ740">
        <v>0</v>
      </c>
      <c r="AK740">
        <v>12</v>
      </c>
      <c r="AL740" t="s">
        <v>91</v>
      </c>
      <c r="AM740" t="s">
        <v>1948</v>
      </c>
      <c r="AN740" t="s">
        <v>2519</v>
      </c>
      <c r="AO740" t="s">
        <v>9535</v>
      </c>
      <c r="AP740" t="s">
        <v>9536</v>
      </c>
      <c r="AQ740" t="s">
        <v>74</v>
      </c>
      <c r="AR740" t="s">
        <v>9537</v>
      </c>
      <c r="AS740" t="s">
        <v>9538</v>
      </c>
      <c r="AT740" t="s">
        <v>74</v>
      </c>
      <c r="AU740">
        <v>2014</v>
      </c>
      <c r="AV740">
        <v>55</v>
      </c>
      <c r="AW740">
        <v>66</v>
      </c>
      <c r="AX740" t="s">
        <v>74</v>
      </c>
      <c r="AY740" t="s">
        <v>74</v>
      </c>
      <c r="AZ740" t="s">
        <v>74</v>
      </c>
      <c r="BA740" t="s">
        <v>74</v>
      </c>
      <c r="BB740">
        <v>259</v>
      </c>
      <c r="BC740">
        <v>266</v>
      </c>
      <c r="BD740" t="s">
        <v>74</v>
      </c>
      <c r="BE740" t="s">
        <v>13763</v>
      </c>
      <c r="BF740" t="str">
        <f>HYPERLINK("http://dx.doi.org/10.3189/2014AoG66A189","http://dx.doi.org/10.3189/2014AoG66A189")</f>
        <v>http://dx.doi.org/10.3189/2014AoG66A189</v>
      </c>
      <c r="BG740" t="s">
        <v>74</v>
      </c>
      <c r="BH740" t="s">
        <v>74</v>
      </c>
      <c r="BI740">
        <v>8</v>
      </c>
      <c r="BJ740" t="s">
        <v>1415</v>
      </c>
      <c r="BK740" t="s">
        <v>101</v>
      </c>
      <c r="BL740" t="s">
        <v>1416</v>
      </c>
      <c r="BM740" t="s">
        <v>13647</v>
      </c>
      <c r="BN740" t="s">
        <v>74</v>
      </c>
      <c r="BO740" t="s">
        <v>200</v>
      </c>
      <c r="BP740" t="s">
        <v>74</v>
      </c>
      <c r="BQ740" t="s">
        <v>74</v>
      </c>
      <c r="BR740" t="s">
        <v>104</v>
      </c>
      <c r="BS740" t="s">
        <v>13764</v>
      </c>
      <c r="BT740" t="str">
        <f>HYPERLINK("https%3A%2F%2Fwww.webofscience.com%2Fwos%2Fwoscc%2Ffull-record%2FWOS:000336010200031","View Full Record in Web of Science")</f>
        <v>View Full Record in Web of Science</v>
      </c>
    </row>
    <row r="741" spans="1:72" x14ac:dyDescent="0.15">
      <c r="A741" t="s">
        <v>72</v>
      </c>
      <c r="B741" t="s">
        <v>13765</v>
      </c>
      <c r="C741" t="s">
        <v>74</v>
      </c>
      <c r="D741" t="s">
        <v>74</v>
      </c>
      <c r="E741" t="s">
        <v>74</v>
      </c>
      <c r="F741" t="s">
        <v>13766</v>
      </c>
      <c r="G741" t="s">
        <v>74</v>
      </c>
      <c r="H741" t="s">
        <v>74</v>
      </c>
      <c r="I741" t="s">
        <v>13767</v>
      </c>
      <c r="J741" t="s">
        <v>13768</v>
      </c>
      <c r="K741" t="s">
        <v>74</v>
      </c>
      <c r="L741" t="s">
        <v>74</v>
      </c>
      <c r="M741" t="s">
        <v>78</v>
      </c>
      <c r="N741" t="s">
        <v>79</v>
      </c>
      <c r="O741" t="s">
        <v>74</v>
      </c>
      <c r="P741" t="s">
        <v>74</v>
      </c>
      <c r="Q741" t="s">
        <v>74</v>
      </c>
      <c r="R741" t="s">
        <v>74</v>
      </c>
      <c r="S741" t="s">
        <v>74</v>
      </c>
      <c r="T741" t="s">
        <v>13769</v>
      </c>
      <c r="U741" t="s">
        <v>13770</v>
      </c>
      <c r="V741" t="s">
        <v>13771</v>
      </c>
      <c r="W741" t="s">
        <v>13772</v>
      </c>
      <c r="X741" t="s">
        <v>13773</v>
      </c>
      <c r="Y741" t="s">
        <v>13774</v>
      </c>
      <c r="Z741" t="s">
        <v>13775</v>
      </c>
      <c r="AA741" t="s">
        <v>13776</v>
      </c>
      <c r="AB741" t="s">
        <v>13777</v>
      </c>
      <c r="AC741" t="s">
        <v>13778</v>
      </c>
      <c r="AD741" t="s">
        <v>13779</v>
      </c>
      <c r="AE741" t="s">
        <v>13780</v>
      </c>
      <c r="AF741" t="s">
        <v>74</v>
      </c>
      <c r="AG741">
        <v>45</v>
      </c>
      <c r="AH741">
        <v>6</v>
      </c>
      <c r="AI741">
        <v>7</v>
      </c>
      <c r="AJ741">
        <v>1</v>
      </c>
      <c r="AK741">
        <v>9</v>
      </c>
      <c r="AL741" t="s">
        <v>10310</v>
      </c>
      <c r="AM741" t="s">
        <v>10311</v>
      </c>
      <c r="AN741" t="s">
        <v>10312</v>
      </c>
      <c r="AO741" t="s">
        <v>13781</v>
      </c>
      <c r="AP741" t="s">
        <v>13782</v>
      </c>
      <c r="AQ741" t="s">
        <v>74</v>
      </c>
      <c r="AR741" t="s">
        <v>13783</v>
      </c>
      <c r="AS741" t="s">
        <v>13784</v>
      </c>
      <c r="AT741" t="s">
        <v>74</v>
      </c>
      <c r="AU741">
        <v>2014</v>
      </c>
      <c r="AV741">
        <v>20</v>
      </c>
      <c r="AW741">
        <v>3</v>
      </c>
      <c r="AX741" t="s">
        <v>74</v>
      </c>
      <c r="AY741" t="s">
        <v>74</v>
      </c>
      <c r="AZ741" t="s">
        <v>74</v>
      </c>
      <c r="BA741" t="s">
        <v>74</v>
      </c>
      <c r="BB741">
        <v>235</v>
      </c>
      <c r="BC741">
        <v>243</v>
      </c>
      <c r="BD741" t="s">
        <v>74</v>
      </c>
      <c r="BE741" t="s">
        <v>13785</v>
      </c>
      <c r="BF741" t="str">
        <f>HYPERLINK("http://dx.doi.org/10.3354/ab00557","http://dx.doi.org/10.3354/ab00557")</f>
        <v>http://dx.doi.org/10.3354/ab00557</v>
      </c>
      <c r="BG741" t="s">
        <v>74</v>
      </c>
      <c r="BH741" t="s">
        <v>74</v>
      </c>
      <c r="BI741">
        <v>9</v>
      </c>
      <c r="BJ741" t="s">
        <v>1028</v>
      </c>
      <c r="BK741" t="s">
        <v>101</v>
      </c>
      <c r="BL741" t="s">
        <v>1028</v>
      </c>
      <c r="BM741" t="s">
        <v>13786</v>
      </c>
      <c r="BN741" t="s">
        <v>74</v>
      </c>
      <c r="BO741" t="s">
        <v>1890</v>
      </c>
      <c r="BP741" t="s">
        <v>74</v>
      </c>
      <c r="BQ741" t="s">
        <v>74</v>
      </c>
      <c r="BR741" t="s">
        <v>104</v>
      </c>
      <c r="BS741" t="s">
        <v>13787</v>
      </c>
      <c r="BT741" t="str">
        <f>HYPERLINK("https%3A%2F%2Fwww.webofscience.com%2Fwos%2Fwoscc%2Ffull-record%2FWOS:000335827900006","View Full Record in Web of Science")</f>
        <v>View Full Record in Web of Science</v>
      </c>
    </row>
    <row r="742" spans="1:72" x14ac:dyDescent="0.15">
      <c r="A742" t="s">
        <v>72</v>
      </c>
      <c r="B742" t="s">
        <v>13788</v>
      </c>
      <c r="C742" t="s">
        <v>74</v>
      </c>
      <c r="D742" t="s">
        <v>74</v>
      </c>
      <c r="E742" t="s">
        <v>74</v>
      </c>
      <c r="F742" t="s">
        <v>13789</v>
      </c>
      <c r="G742" t="s">
        <v>74</v>
      </c>
      <c r="H742" t="s">
        <v>74</v>
      </c>
      <c r="I742" t="s">
        <v>13790</v>
      </c>
      <c r="J742" t="s">
        <v>11283</v>
      </c>
      <c r="K742" t="s">
        <v>74</v>
      </c>
      <c r="L742" t="s">
        <v>74</v>
      </c>
      <c r="M742" t="s">
        <v>78</v>
      </c>
      <c r="N742" t="s">
        <v>79</v>
      </c>
      <c r="O742" t="s">
        <v>74</v>
      </c>
      <c r="P742" t="s">
        <v>74</v>
      </c>
      <c r="Q742" t="s">
        <v>74</v>
      </c>
      <c r="R742" t="s">
        <v>74</v>
      </c>
      <c r="S742" t="s">
        <v>74</v>
      </c>
      <c r="T742" t="s">
        <v>74</v>
      </c>
      <c r="U742" t="s">
        <v>13791</v>
      </c>
      <c r="V742" t="s">
        <v>13792</v>
      </c>
      <c r="W742" t="s">
        <v>13793</v>
      </c>
      <c r="X742" t="s">
        <v>13794</v>
      </c>
      <c r="Y742" t="s">
        <v>13795</v>
      </c>
      <c r="Z742" t="s">
        <v>13796</v>
      </c>
      <c r="AA742" t="s">
        <v>74</v>
      </c>
      <c r="AB742" t="s">
        <v>13797</v>
      </c>
      <c r="AC742" t="s">
        <v>13798</v>
      </c>
      <c r="AD742" t="s">
        <v>13799</v>
      </c>
      <c r="AE742" t="s">
        <v>13800</v>
      </c>
      <c r="AF742" t="s">
        <v>74</v>
      </c>
      <c r="AG742">
        <v>39</v>
      </c>
      <c r="AH742">
        <v>8</v>
      </c>
      <c r="AI742">
        <v>8</v>
      </c>
      <c r="AJ742">
        <v>1</v>
      </c>
      <c r="AK742">
        <v>12</v>
      </c>
      <c r="AL742" t="s">
        <v>1463</v>
      </c>
      <c r="AM742" t="s">
        <v>1464</v>
      </c>
      <c r="AN742" t="s">
        <v>1465</v>
      </c>
      <c r="AO742" t="s">
        <v>11295</v>
      </c>
      <c r="AP742" t="s">
        <v>11296</v>
      </c>
      <c r="AQ742" t="s">
        <v>74</v>
      </c>
      <c r="AR742" t="s">
        <v>11297</v>
      </c>
      <c r="AS742" t="s">
        <v>11298</v>
      </c>
      <c r="AT742" t="s">
        <v>74</v>
      </c>
      <c r="AU742">
        <v>2014</v>
      </c>
      <c r="AV742">
        <v>14</v>
      </c>
      <c r="AW742">
        <v>8</v>
      </c>
      <c r="AX742" t="s">
        <v>74</v>
      </c>
      <c r="AY742" t="s">
        <v>74</v>
      </c>
      <c r="AZ742" t="s">
        <v>74</v>
      </c>
      <c r="BA742" t="s">
        <v>74</v>
      </c>
      <c r="BB742">
        <v>3843</v>
      </c>
      <c r="BC742">
        <v>3853</v>
      </c>
      <c r="BD742" t="s">
        <v>74</v>
      </c>
      <c r="BE742" t="s">
        <v>13801</v>
      </c>
      <c r="BF742" t="str">
        <f>HYPERLINK("http://dx.doi.org/10.5194/acp-14-3843-2014","http://dx.doi.org/10.5194/acp-14-3843-2014")</f>
        <v>http://dx.doi.org/10.5194/acp-14-3843-2014</v>
      </c>
      <c r="BG742" t="s">
        <v>74</v>
      </c>
      <c r="BH742" t="s">
        <v>74</v>
      </c>
      <c r="BI742">
        <v>11</v>
      </c>
      <c r="BJ742" t="s">
        <v>3817</v>
      </c>
      <c r="BK742" t="s">
        <v>101</v>
      </c>
      <c r="BL742" t="s">
        <v>1081</v>
      </c>
      <c r="BM742" t="s">
        <v>13802</v>
      </c>
      <c r="BN742" t="s">
        <v>74</v>
      </c>
      <c r="BO742" t="s">
        <v>9228</v>
      </c>
      <c r="BP742" t="s">
        <v>74</v>
      </c>
      <c r="BQ742" t="s">
        <v>74</v>
      </c>
      <c r="BR742" t="s">
        <v>104</v>
      </c>
      <c r="BS742" t="s">
        <v>13803</v>
      </c>
      <c r="BT742" t="str">
        <f>HYPERLINK("https%3A%2F%2Fwww.webofscience.com%2Fwos%2Fwoscc%2Ffull-record%2FWOS:000335923300005","View Full Record in Web of Science")</f>
        <v>View Full Record in Web of Science</v>
      </c>
    </row>
    <row r="743" spans="1:72" x14ac:dyDescent="0.15">
      <c r="A743" t="s">
        <v>72</v>
      </c>
      <c r="B743" t="s">
        <v>13804</v>
      </c>
      <c r="C743" t="s">
        <v>74</v>
      </c>
      <c r="D743" t="s">
        <v>74</v>
      </c>
      <c r="E743" t="s">
        <v>74</v>
      </c>
      <c r="F743" t="s">
        <v>13805</v>
      </c>
      <c r="G743" t="s">
        <v>74</v>
      </c>
      <c r="H743" t="s">
        <v>74</v>
      </c>
      <c r="I743" t="s">
        <v>13806</v>
      </c>
      <c r="J743" t="s">
        <v>11283</v>
      </c>
      <c r="K743" t="s">
        <v>74</v>
      </c>
      <c r="L743" t="s">
        <v>74</v>
      </c>
      <c r="M743" t="s">
        <v>78</v>
      </c>
      <c r="N743" t="s">
        <v>79</v>
      </c>
      <c r="O743" t="s">
        <v>74</v>
      </c>
      <c r="P743" t="s">
        <v>74</v>
      </c>
      <c r="Q743" t="s">
        <v>74</v>
      </c>
      <c r="R743" t="s">
        <v>74</v>
      </c>
      <c r="S743" t="s">
        <v>74</v>
      </c>
      <c r="T743" t="s">
        <v>74</v>
      </c>
      <c r="U743" t="s">
        <v>13807</v>
      </c>
      <c r="V743" t="s">
        <v>13808</v>
      </c>
      <c r="W743" t="s">
        <v>13809</v>
      </c>
      <c r="X743" t="s">
        <v>13810</v>
      </c>
      <c r="Y743" t="s">
        <v>13811</v>
      </c>
      <c r="Z743" t="s">
        <v>13812</v>
      </c>
      <c r="AA743" t="s">
        <v>13813</v>
      </c>
      <c r="AB743" t="s">
        <v>13814</v>
      </c>
      <c r="AC743" t="s">
        <v>13815</v>
      </c>
      <c r="AD743" t="s">
        <v>13815</v>
      </c>
      <c r="AE743" t="s">
        <v>13816</v>
      </c>
      <c r="AF743" t="s">
        <v>74</v>
      </c>
      <c r="AG743">
        <v>170</v>
      </c>
      <c r="AH743">
        <v>25</v>
      </c>
      <c r="AI743">
        <v>29</v>
      </c>
      <c r="AJ743">
        <v>1</v>
      </c>
      <c r="AK743">
        <v>52</v>
      </c>
      <c r="AL743" t="s">
        <v>1463</v>
      </c>
      <c r="AM743" t="s">
        <v>1464</v>
      </c>
      <c r="AN743" t="s">
        <v>1465</v>
      </c>
      <c r="AO743" t="s">
        <v>11295</v>
      </c>
      <c r="AP743" t="s">
        <v>11296</v>
      </c>
      <c r="AQ743" t="s">
        <v>74</v>
      </c>
      <c r="AR743" t="s">
        <v>11297</v>
      </c>
      <c r="AS743" t="s">
        <v>11298</v>
      </c>
      <c r="AT743" t="s">
        <v>74</v>
      </c>
      <c r="AU743">
        <v>2014</v>
      </c>
      <c r="AV743">
        <v>14</v>
      </c>
      <c r="AW743">
        <v>8</v>
      </c>
      <c r="AX743" t="s">
        <v>74</v>
      </c>
      <c r="AY743" t="s">
        <v>74</v>
      </c>
      <c r="AZ743" t="s">
        <v>74</v>
      </c>
      <c r="BA743" t="s">
        <v>74</v>
      </c>
      <c r="BB743">
        <v>4135</v>
      </c>
      <c r="BC743">
        <v>4167</v>
      </c>
      <c r="BD743" t="s">
        <v>74</v>
      </c>
      <c r="BE743" t="s">
        <v>13817</v>
      </c>
      <c r="BF743" t="str">
        <f>HYPERLINK("http://dx.doi.org/10.5194/acp-14-4135-2014","http://dx.doi.org/10.5194/acp-14-4135-2014")</f>
        <v>http://dx.doi.org/10.5194/acp-14-4135-2014</v>
      </c>
      <c r="BG743" t="s">
        <v>74</v>
      </c>
      <c r="BH743" t="s">
        <v>74</v>
      </c>
      <c r="BI743">
        <v>33</v>
      </c>
      <c r="BJ743" t="s">
        <v>3817</v>
      </c>
      <c r="BK743" t="s">
        <v>101</v>
      </c>
      <c r="BL743" t="s">
        <v>1081</v>
      </c>
      <c r="BM743" t="s">
        <v>13802</v>
      </c>
      <c r="BN743" t="s">
        <v>74</v>
      </c>
      <c r="BO743" t="s">
        <v>6156</v>
      </c>
      <c r="BP743" t="s">
        <v>74</v>
      </c>
      <c r="BQ743" t="s">
        <v>74</v>
      </c>
      <c r="BR743" t="s">
        <v>104</v>
      </c>
      <c r="BS743" t="s">
        <v>13818</v>
      </c>
      <c r="BT743" t="str">
        <f>HYPERLINK("https%3A%2F%2Fwww.webofscience.com%2Fwos%2Fwoscc%2Ffull-record%2FWOS:000335923300023","View Full Record in Web of Science")</f>
        <v>View Full Record in Web of Science</v>
      </c>
    </row>
    <row r="744" spans="1:72" x14ac:dyDescent="0.15">
      <c r="A744" t="s">
        <v>72</v>
      </c>
      <c r="B744" t="s">
        <v>13819</v>
      </c>
      <c r="C744" t="s">
        <v>74</v>
      </c>
      <c r="D744" t="s">
        <v>74</v>
      </c>
      <c r="E744" t="s">
        <v>74</v>
      </c>
      <c r="F744" t="s">
        <v>13820</v>
      </c>
      <c r="G744" t="s">
        <v>74</v>
      </c>
      <c r="H744" t="s">
        <v>74</v>
      </c>
      <c r="I744" t="s">
        <v>13821</v>
      </c>
      <c r="J744" t="s">
        <v>13822</v>
      </c>
      <c r="K744" t="s">
        <v>74</v>
      </c>
      <c r="L744" t="s">
        <v>74</v>
      </c>
      <c r="M744" t="s">
        <v>78</v>
      </c>
      <c r="N744" t="s">
        <v>79</v>
      </c>
      <c r="O744" t="s">
        <v>74</v>
      </c>
      <c r="P744" t="s">
        <v>74</v>
      </c>
      <c r="Q744" t="s">
        <v>74</v>
      </c>
      <c r="R744" t="s">
        <v>74</v>
      </c>
      <c r="S744" t="s">
        <v>74</v>
      </c>
      <c r="T744" t="s">
        <v>13823</v>
      </c>
      <c r="U744" t="s">
        <v>13824</v>
      </c>
      <c r="V744" t="s">
        <v>13825</v>
      </c>
      <c r="W744" t="s">
        <v>13826</v>
      </c>
      <c r="X744" t="s">
        <v>13827</v>
      </c>
      <c r="Y744" t="s">
        <v>13828</v>
      </c>
      <c r="Z744" t="s">
        <v>13829</v>
      </c>
      <c r="AA744" t="s">
        <v>74</v>
      </c>
      <c r="AB744" t="s">
        <v>74</v>
      </c>
      <c r="AC744" t="s">
        <v>13830</v>
      </c>
      <c r="AD744" t="s">
        <v>6768</v>
      </c>
      <c r="AE744" t="s">
        <v>74</v>
      </c>
      <c r="AF744" t="s">
        <v>74</v>
      </c>
      <c r="AG744">
        <v>39</v>
      </c>
      <c r="AH744">
        <v>5</v>
      </c>
      <c r="AI744">
        <v>5</v>
      </c>
      <c r="AJ744">
        <v>1</v>
      </c>
      <c r="AK744">
        <v>21</v>
      </c>
      <c r="AL744" t="s">
        <v>5746</v>
      </c>
      <c r="AM744" t="s">
        <v>5747</v>
      </c>
      <c r="AN744" t="s">
        <v>5748</v>
      </c>
      <c r="AO744" t="s">
        <v>13831</v>
      </c>
      <c r="AP744" t="s">
        <v>13832</v>
      </c>
      <c r="AQ744" t="s">
        <v>74</v>
      </c>
      <c r="AR744" t="s">
        <v>13822</v>
      </c>
      <c r="AS744" t="s">
        <v>13833</v>
      </c>
      <c r="AT744" t="s">
        <v>74</v>
      </c>
      <c r="AU744">
        <v>2014</v>
      </c>
      <c r="AV744">
        <v>4</v>
      </c>
      <c r="AW744">
        <v>2</v>
      </c>
      <c r="AX744" t="s">
        <v>74</v>
      </c>
      <c r="AY744" t="s">
        <v>74</v>
      </c>
      <c r="AZ744" t="s">
        <v>74</v>
      </c>
      <c r="BA744" t="s">
        <v>74</v>
      </c>
      <c r="BB744">
        <v>105</v>
      </c>
      <c r="BC744">
        <v>112</v>
      </c>
      <c r="BD744" t="s">
        <v>74</v>
      </c>
      <c r="BE744" t="s">
        <v>13834</v>
      </c>
      <c r="BF744" t="str">
        <f>HYPERLINK("http://dx.doi.org/10.5268/IW-4.2.679","http://dx.doi.org/10.5268/IW-4.2.679")</f>
        <v>http://dx.doi.org/10.5268/IW-4.2.679</v>
      </c>
      <c r="BG744" t="s">
        <v>74</v>
      </c>
      <c r="BH744" t="s">
        <v>74</v>
      </c>
      <c r="BI744">
        <v>8</v>
      </c>
      <c r="BJ744" t="s">
        <v>13835</v>
      </c>
      <c r="BK744" t="s">
        <v>101</v>
      </c>
      <c r="BL744" t="s">
        <v>1028</v>
      </c>
      <c r="BM744" t="s">
        <v>13836</v>
      </c>
      <c r="BN744" t="s">
        <v>74</v>
      </c>
      <c r="BO744" t="s">
        <v>270</v>
      </c>
      <c r="BP744" t="s">
        <v>74</v>
      </c>
      <c r="BQ744" t="s">
        <v>74</v>
      </c>
      <c r="BR744" t="s">
        <v>104</v>
      </c>
      <c r="BS744" t="s">
        <v>13837</v>
      </c>
      <c r="BT744" t="str">
        <f>HYPERLINK("https%3A%2F%2Fwww.webofscience.com%2Fwos%2Fwoscc%2Ffull-record%2FWOS:000335927100001","View Full Record in Web of Science")</f>
        <v>View Full Record in Web of Science</v>
      </c>
    </row>
    <row r="745" spans="1:72" x14ac:dyDescent="0.15">
      <c r="A745" t="s">
        <v>72</v>
      </c>
      <c r="B745" t="s">
        <v>13838</v>
      </c>
      <c r="C745" t="s">
        <v>74</v>
      </c>
      <c r="D745" t="s">
        <v>74</v>
      </c>
      <c r="E745" t="s">
        <v>74</v>
      </c>
      <c r="F745" t="s">
        <v>13839</v>
      </c>
      <c r="G745" t="s">
        <v>74</v>
      </c>
      <c r="H745" t="s">
        <v>74</v>
      </c>
      <c r="I745" t="s">
        <v>13840</v>
      </c>
      <c r="J745" t="s">
        <v>863</v>
      </c>
      <c r="K745" t="s">
        <v>74</v>
      </c>
      <c r="L745" t="s">
        <v>74</v>
      </c>
      <c r="M745" t="s">
        <v>78</v>
      </c>
      <c r="N745" t="s">
        <v>79</v>
      </c>
      <c r="O745" t="s">
        <v>74</v>
      </c>
      <c r="P745" t="s">
        <v>74</v>
      </c>
      <c r="Q745" t="s">
        <v>74</v>
      </c>
      <c r="R745" t="s">
        <v>74</v>
      </c>
      <c r="S745" t="s">
        <v>74</v>
      </c>
      <c r="T745" t="s">
        <v>13841</v>
      </c>
      <c r="U745" t="s">
        <v>13842</v>
      </c>
      <c r="V745" t="s">
        <v>13843</v>
      </c>
      <c r="W745" t="s">
        <v>13844</v>
      </c>
      <c r="X745" t="s">
        <v>13845</v>
      </c>
      <c r="Y745" t="s">
        <v>13846</v>
      </c>
      <c r="Z745" t="s">
        <v>13847</v>
      </c>
      <c r="AA745" t="s">
        <v>13848</v>
      </c>
      <c r="AB745" t="s">
        <v>13849</v>
      </c>
      <c r="AC745" t="s">
        <v>13850</v>
      </c>
      <c r="AD745" t="s">
        <v>13851</v>
      </c>
      <c r="AE745" t="s">
        <v>13852</v>
      </c>
      <c r="AF745" t="s">
        <v>74</v>
      </c>
      <c r="AG745">
        <v>68</v>
      </c>
      <c r="AH745">
        <v>12</v>
      </c>
      <c r="AI745">
        <v>13</v>
      </c>
      <c r="AJ745">
        <v>1</v>
      </c>
      <c r="AK745">
        <v>17</v>
      </c>
      <c r="AL745" t="s">
        <v>876</v>
      </c>
      <c r="AM745" t="s">
        <v>877</v>
      </c>
      <c r="AN745" t="s">
        <v>878</v>
      </c>
      <c r="AO745" t="s">
        <v>879</v>
      </c>
      <c r="AP745" t="s">
        <v>880</v>
      </c>
      <c r="AQ745" t="s">
        <v>74</v>
      </c>
      <c r="AR745" t="s">
        <v>881</v>
      </c>
      <c r="AS745" t="s">
        <v>882</v>
      </c>
      <c r="AT745" t="s">
        <v>13186</v>
      </c>
      <c r="AU745">
        <v>2014</v>
      </c>
      <c r="AV745">
        <v>44</v>
      </c>
      <c r="AW745">
        <v>1</v>
      </c>
      <c r="AX745" t="s">
        <v>74</v>
      </c>
      <c r="AY745" t="s">
        <v>74</v>
      </c>
      <c r="AZ745" t="s">
        <v>74</v>
      </c>
      <c r="BA745" t="s">
        <v>74</v>
      </c>
      <c r="BB745">
        <v>68</v>
      </c>
      <c r="BC745">
        <v>85</v>
      </c>
      <c r="BD745" t="s">
        <v>74</v>
      </c>
      <c r="BE745" t="s">
        <v>13853</v>
      </c>
      <c r="BF745" t="str">
        <f>HYPERLINK("http://dx.doi.org/10.1175/JPO-D-13-0116.1","http://dx.doi.org/10.1175/JPO-D-13-0116.1")</f>
        <v>http://dx.doi.org/10.1175/JPO-D-13-0116.1</v>
      </c>
      <c r="BG745" t="s">
        <v>74</v>
      </c>
      <c r="BH745" t="s">
        <v>74</v>
      </c>
      <c r="BI745">
        <v>18</v>
      </c>
      <c r="BJ745" t="s">
        <v>785</v>
      </c>
      <c r="BK745" t="s">
        <v>101</v>
      </c>
      <c r="BL745" t="s">
        <v>785</v>
      </c>
      <c r="BM745" t="s">
        <v>13854</v>
      </c>
      <c r="BN745" t="s">
        <v>74</v>
      </c>
      <c r="BO745" t="s">
        <v>1244</v>
      </c>
      <c r="BP745" t="s">
        <v>74</v>
      </c>
      <c r="BQ745" t="s">
        <v>74</v>
      </c>
      <c r="BR745" t="s">
        <v>104</v>
      </c>
      <c r="BS745" t="s">
        <v>13855</v>
      </c>
      <c r="BT745" t="str">
        <f>HYPERLINK("https%3A%2F%2Fwww.webofscience.com%2Fwos%2Fwoscc%2Ffull-record%2FWOS:000335802100012","View Full Record in Web of Science")</f>
        <v>View Full Record in Web of Science</v>
      </c>
    </row>
    <row r="746" spans="1:72" x14ac:dyDescent="0.15">
      <c r="A746" t="s">
        <v>72</v>
      </c>
      <c r="B746" t="s">
        <v>13856</v>
      </c>
      <c r="C746" t="s">
        <v>74</v>
      </c>
      <c r="D746" t="s">
        <v>74</v>
      </c>
      <c r="E746" t="s">
        <v>74</v>
      </c>
      <c r="F746" t="s">
        <v>13857</v>
      </c>
      <c r="G746" t="s">
        <v>74</v>
      </c>
      <c r="H746" t="s">
        <v>74</v>
      </c>
      <c r="I746" t="s">
        <v>13858</v>
      </c>
      <c r="J746" t="s">
        <v>863</v>
      </c>
      <c r="K746" t="s">
        <v>74</v>
      </c>
      <c r="L746" t="s">
        <v>74</v>
      </c>
      <c r="M746" t="s">
        <v>78</v>
      </c>
      <c r="N746" t="s">
        <v>79</v>
      </c>
      <c r="O746" t="s">
        <v>74</v>
      </c>
      <c r="P746" t="s">
        <v>74</v>
      </c>
      <c r="Q746" t="s">
        <v>74</v>
      </c>
      <c r="R746" t="s">
        <v>74</v>
      </c>
      <c r="S746" t="s">
        <v>74</v>
      </c>
      <c r="T746" t="s">
        <v>13859</v>
      </c>
      <c r="U746" t="s">
        <v>13860</v>
      </c>
      <c r="V746" t="s">
        <v>13861</v>
      </c>
      <c r="W746" t="s">
        <v>13862</v>
      </c>
      <c r="X746" t="s">
        <v>13863</v>
      </c>
      <c r="Y746" t="s">
        <v>13864</v>
      </c>
      <c r="Z746" t="s">
        <v>13865</v>
      </c>
      <c r="AA746" t="s">
        <v>74</v>
      </c>
      <c r="AB746" t="s">
        <v>74</v>
      </c>
      <c r="AC746" t="s">
        <v>74</v>
      </c>
      <c r="AD746" t="s">
        <v>74</v>
      </c>
      <c r="AE746" t="s">
        <v>74</v>
      </c>
      <c r="AF746" t="s">
        <v>74</v>
      </c>
      <c r="AG746">
        <v>76</v>
      </c>
      <c r="AH746">
        <v>58</v>
      </c>
      <c r="AI746">
        <v>62</v>
      </c>
      <c r="AJ746">
        <v>0</v>
      </c>
      <c r="AK746">
        <v>44</v>
      </c>
      <c r="AL746" t="s">
        <v>876</v>
      </c>
      <c r="AM746" t="s">
        <v>877</v>
      </c>
      <c r="AN746" t="s">
        <v>878</v>
      </c>
      <c r="AO746" t="s">
        <v>879</v>
      </c>
      <c r="AP746" t="s">
        <v>880</v>
      </c>
      <c r="AQ746" t="s">
        <v>74</v>
      </c>
      <c r="AR746" t="s">
        <v>881</v>
      </c>
      <c r="AS746" t="s">
        <v>882</v>
      </c>
      <c r="AT746" t="s">
        <v>13186</v>
      </c>
      <c r="AU746">
        <v>2014</v>
      </c>
      <c r="AV746">
        <v>44</v>
      </c>
      <c r="AW746">
        <v>1</v>
      </c>
      <c r="AX746" t="s">
        <v>74</v>
      </c>
      <c r="AY746" t="s">
        <v>74</v>
      </c>
      <c r="AZ746" t="s">
        <v>74</v>
      </c>
      <c r="BA746" t="s">
        <v>74</v>
      </c>
      <c r="BB746">
        <v>384</v>
      </c>
      <c r="BC746">
        <v>409</v>
      </c>
      <c r="BD746" t="s">
        <v>74</v>
      </c>
      <c r="BE746" t="s">
        <v>13866</v>
      </c>
      <c r="BF746" t="str">
        <f>HYPERLINK("http://dx.doi.org/10.1175/JPO-D-13-030.1","http://dx.doi.org/10.1175/JPO-D-13-030.1")</f>
        <v>http://dx.doi.org/10.1175/JPO-D-13-030.1</v>
      </c>
      <c r="BG746" t="s">
        <v>74</v>
      </c>
      <c r="BH746" t="s">
        <v>74</v>
      </c>
      <c r="BI746">
        <v>26</v>
      </c>
      <c r="BJ746" t="s">
        <v>785</v>
      </c>
      <c r="BK746" t="s">
        <v>101</v>
      </c>
      <c r="BL746" t="s">
        <v>785</v>
      </c>
      <c r="BM746" t="s">
        <v>13854</v>
      </c>
      <c r="BN746" t="s">
        <v>74</v>
      </c>
      <c r="BO746" t="s">
        <v>6867</v>
      </c>
      <c r="BP746" t="s">
        <v>74</v>
      </c>
      <c r="BQ746" t="s">
        <v>74</v>
      </c>
      <c r="BR746" t="s">
        <v>104</v>
      </c>
      <c r="BS746" t="s">
        <v>13867</v>
      </c>
      <c r="BT746" t="str">
        <f>HYPERLINK("https%3A%2F%2Fwww.webofscience.com%2Fwos%2Fwoscc%2Ffull-record%2FWOS:000335802100029","View Full Record in Web of Science")</f>
        <v>View Full Record in Web of Science</v>
      </c>
    </row>
    <row r="747" spans="1:72" x14ac:dyDescent="0.15">
      <c r="A747" t="s">
        <v>72</v>
      </c>
      <c r="B747" t="s">
        <v>13868</v>
      </c>
      <c r="C747" t="s">
        <v>74</v>
      </c>
      <c r="D747" t="s">
        <v>74</v>
      </c>
      <c r="E747" t="s">
        <v>74</v>
      </c>
      <c r="F747" t="s">
        <v>13869</v>
      </c>
      <c r="G747" t="s">
        <v>74</v>
      </c>
      <c r="H747" t="s">
        <v>74</v>
      </c>
      <c r="I747" t="s">
        <v>13870</v>
      </c>
      <c r="J747" t="s">
        <v>10826</v>
      </c>
      <c r="K747" t="s">
        <v>74</v>
      </c>
      <c r="L747" t="s">
        <v>74</v>
      </c>
      <c r="M747" t="s">
        <v>78</v>
      </c>
      <c r="N747" t="s">
        <v>79</v>
      </c>
      <c r="O747" t="s">
        <v>74</v>
      </c>
      <c r="P747" t="s">
        <v>74</v>
      </c>
      <c r="Q747" t="s">
        <v>74</v>
      </c>
      <c r="R747" t="s">
        <v>74</v>
      </c>
      <c r="S747" t="s">
        <v>74</v>
      </c>
      <c r="T747" t="s">
        <v>13871</v>
      </c>
      <c r="U747" t="s">
        <v>13872</v>
      </c>
      <c r="V747" t="s">
        <v>13873</v>
      </c>
      <c r="W747" t="s">
        <v>13874</v>
      </c>
      <c r="X747" t="s">
        <v>13875</v>
      </c>
      <c r="Y747" t="s">
        <v>13876</v>
      </c>
      <c r="Z747" t="s">
        <v>13877</v>
      </c>
      <c r="AA747" t="s">
        <v>13878</v>
      </c>
      <c r="AB747" t="s">
        <v>13879</v>
      </c>
      <c r="AC747" t="s">
        <v>13880</v>
      </c>
      <c r="AD747" t="s">
        <v>13881</v>
      </c>
      <c r="AE747" t="s">
        <v>13882</v>
      </c>
      <c r="AF747" t="s">
        <v>74</v>
      </c>
      <c r="AG747">
        <v>46</v>
      </c>
      <c r="AH747">
        <v>9</v>
      </c>
      <c r="AI747">
        <v>9</v>
      </c>
      <c r="AJ747">
        <v>3</v>
      </c>
      <c r="AK747">
        <v>28</v>
      </c>
      <c r="AL747" t="s">
        <v>10310</v>
      </c>
      <c r="AM747" t="s">
        <v>10311</v>
      </c>
      <c r="AN747" t="s">
        <v>10312</v>
      </c>
      <c r="AO747" t="s">
        <v>10838</v>
      </c>
      <c r="AP747" t="s">
        <v>10839</v>
      </c>
      <c r="AQ747" t="s">
        <v>74</v>
      </c>
      <c r="AR747" t="s">
        <v>10840</v>
      </c>
      <c r="AS747" t="s">
        <v>10841</v>
      </c>
      <c r="AT747" t="s">
        <v>74</v>
      </c>
      <c r="AU747">
        <v>2014</v>
      </c>
      <c r="AV747">
        <v>504</v>
      </c>
      <c r="AW747" t="s">
        <v>74</v>
      </c>
      <c r="AX747" t="s">
        <v>74</v>
      </c>
      <c r="AY747" t="s">
        <v>74</v>
      </c>
      <c r="AZ747" t="s">
        <v>74</v>
      </c>
      <c r="BA747" t="s">
        <v>74</v>
      </c>
      <c r="BB747">
        <v>253</v>
      </c>
      <c r="BC747">
        <v>263</v>
      </c>
      <c r="BD747" t="s">
        <v>74</v>
      </c>
      <c r="BE747" t="s">
        <v>13883</v>
      </c>
      <c r="BF747" t="str">
        <f>HYPERLINK("http://dx.doi.org/10.3354/meps10738","http://dx.doi.org/10.3354/meps10738")</f>
        <v>http://dx.doi.org/10.3354/meps10738</v>
      </c>
      <c r="BG747" t="s">
        <v>74</v>
      </c>
      <c r="BH747" t="s">
        <v>74</v>
      </c>
      <c r="BI747">
        <v>11</v>
      </c>
      <c r="BJ747" t="s">
        <v>10843</v>
      </c>
      <c r="BK747" t="s">
        <v>101</v>
      </c>
      <c r="BL747" t="s">
        <v>10844</v>
      </c>
      <c r="BM747" t="s">
        <v>13884</v>
      </c>
      <c r="BN747" t="s">
        <v>74</v>
      </c>
      <c r="BO747" t="s">
        <v>200</v>
      </c>
      <c r="BP747" t="s">
        <v>74</v>
      </c>
      <c r="BQ747" t="s">
        <v>74</v>
      </c>
      <c r="BR747" t="s">
        <v>104</v>
      </c>
      <c r="BS747" t="s">
        <v>13885</v>
      </c>
      <c r="BT747" t="str">
        <f>HYPERLINK("https%3A%2F%2Fwww.webofscience.com%2Fwos%2Fwoscc%2Ffull-record%2FWOS:000335963100019","View Full Record in Web of Science")</f>
        <v>View Full Record in Web of Science</v>
      </c>
    </row>
    <row r="748" spans="1:72" x14ac:dyDescent="0.15">
      <c r="A748" t="s">
        <v>72</v>
      </c>
      <c r="B748" t="s">
        <v>13886</v>
      </c>
      <c r="C748" t="s">
        <v>74</v>
      </c>
      <c r="D748" t="s">
        <v>74</v>
      </c>
      <c r="E748" t="s">
        <v>74</v>
      </c>
      <c r="F748" t="s">
        <v>13887</v>
      </c>
      <c r="G748" t="s">
        <v>74</v>
      </c>
      <c r="H748" t="s">
        <v>74</v>
      </c>
      <c r="I748" t="s">
        <v>13888</v>
      </c>
      <c r="J748" t="s">
        <v>13889</v>
      </c>
      <c r="K748" t="s">
        <v>74</v>
      </c>
      <c r="L748" t="s">
        <v>74</v>
      </c>
      <c r="M748" t="s">
        <v>78</v>
      </c>
      <c r="N748" t="s">
        <v>79</v>
      </c>
      <c r="O748" t="s">
        <v>74</v>
      </c>
      <c r="P748" t="s">
        <v>74</v>
      </c>
      <c r="Q748" t="s">
        <v>74</v>
      </c>
      <c r="R748" t="s">
        <v>74</v>
      </c>
      <c r="S748" t="s">
        <v>74</v>
      </c>
      <c r="T748" t="s">
        <v>13890</v>
      </c>
      <c r="U748" t="s">
        <v>13891</v>
      </c>
      <c r="V748" t="s">
        <v>13892</v>
      </c>
      <c r="W748" t="s">
        <v>13893</v>
      </c>
      <c r="X748" t="s">
        <v>13894</v>
      </c>
      <c r="Y748" t="s">
        <v>13895</v>
      </c>
      <c r="Z748" t="s">
        <v>13896</v>
      </c>
      <c r="AA748" t="s">
        <v>13897</v>
      </c>
      <c r="AB748" t="s">
        <v>13898</v>
      </c>
      <c r="AC748" t="s">
        <v>13899</v>
      </c>
      <c r="AD748" t="s">
        <v>13900</v>
      </c>
      <c r="AE748" t="s">
        <v>13901</v>
      </c>
      <c r="AF748" t="s">
        <v>74</v>
      </c>
      <c r="AG748">
        <v>47</v>
      </c>
      <c r="AH748">
        <v>10</v>
      </c>
      <c r="AI748">
        <v>10</v>
      </c>
      <c r="AJ748">
        <v>0</v>
      </c>
      <c r="AK748">
        <v>10</v>
      </c>
      <c r="AL748" t="s">
        <v>4431</v>
      </c>
      <c r="AM748" t="s">
        <v>4432</v>
      </c>
      <c r="AN748" t="s">
        <v>4433</v>
      </c>
      <c r="AO748" t="s">
        <v>74</v>
      </c>
      <c r="AP748" t="s">
        <v>13902</v>
      </c>
      <c r="AQ748" t="s">
        <v>74</v>
      </c>
      <c r="AR748" t="s">
        <v>13903</v>
      </c>
      <c r="AS748" t="s">
        <v>13904</v>
      </c>
      <c r="AT748" t="s">
        <v>13186</v>
      </c>
      <c r="AU748">
        <v>2014</v>
      </c>
      <c r="AV748">
        <v>14</v>
      </c>
      <c r="AW748">
        <v>1</v>
      </c>
      <c r="AX748" t="s">
        <v>74</v>
      </c>
      <c r="AY748" t="s">
        <v>74</v>
      </c>
      <c r="AZ748" t="s">
        <v>74</v>
      </c>
      <c r="BA748" t="s">
        <v>74</v>
      </c>
      <c r="BB748">
        <v>672</v>
      </c>
      <c r="BC748">
        <v>690</v>
      </c>
      <c r="BD748" t="s">
        <v>74</v>
      </c>
      <c r="BE748" t="s">
        <v>13905</v>
      </c>
      <c r="BF748" t="str">
        <f>HYPERLINK("http://dx.doi.org/10.3390/s140100672","http://dx.doi.org/10.3390/s140100672")</f>
        <v>http://dx.doi.org/10.3390/s140100672</v>
      </c>
      <c r="BG748" t="s">
        <v>74</v>
      </c>
      <c r="BH748" t="s">
        <v>74</v>
      </c>
      <c r="BI748">
        <v>19</v>
      </c>
      <c r="BJ748" t="s">
        <v>13906</v>
      </c>
      <c r="BK748" t="s">
        <v>101</v>
      </c>
      <c r="BL748" t="s">
        <v>13907</v>
      </c>
      <c r="BM748" t="s">
        <v>13908</v>
      </c>
      <c r="BN748">
        <v>24451461</v>
      </c>
      <c r="BO748" t="s">
        <v>2318</v>
      </c>
      <c r="BP748" t="s">
        <v>74</v>
      </c>
      <c r="BQ748" t="s">
        <v>74</v>
      </c>
      <c r="BR748" t="s">
        <v>104</v>
      </c>
      <c r="BS748" t="s">
        <v>13909</v>
      </c>
      <c r="BT748" t="str">
        <f>HYPERLINK("https%3A%2F%2Fwww.webofscience.com%2Fwos%2Fwoscc%2Ffull-record%2FWOS:000336039100038","View Full Record in Web of Science")</f>
        <v>View Full Record in Web of Science</v>
      </c>
    </row>
    <row r="749" spans="1:72" x14ac:dyDescent="0.15">
      <c r="A749" t="s">
        <v>9250</v>
      </c>
      <c r="B749" t="s">
        <v>13910</v>
      </c>
      <c r="C749" t="s">
        <v>13911</v>
      </c>
      <c r="D749" t="s">
        <v>74</v>
      </c>
      <c r="E749" t="s">
        <v>74</v>
      </c>
      <c r="F749" t="s">
        <v>13912</v>
      </c>
      <c r="G749" t="s">
        <v>13911</v>
      </c>
      <c r="H749" t="s">
        <v>74</v>
      </c>
      <c r="I749" t="s">
        <v>13913</v>
      </c>
      <c r="J749" t="s">
        <v>13914</v>
      </c>
      <c r="K749" t="s">
        <v>13915</v>
      </c>
      <c r="L749" t="s">
        <v>74</v>
      </c>
      <c r="M749" t="s">
        <v>78</v>
      </c>
      <c r="N749" t="s">
        <v>8809</v>
      </c>
      <c r="O749" t="s">
        <v>74</v>
      </c>
      <c r="P749" t="s">
        <v>74</v>
      </c>
      <c r="Q749" t="s">
        <v>74</v>
      </c>
      <c r="R749" t="s">
        <v>74</v>
      </c>
      <c r="S749" t="s">
        <v>74</v>
      </c>
      <c r="T749" t="s">
        <v>74</v>
      </c>
      <c r="U749" t="s">
        <v>13916</v>
      </c>
      <c r="V749" t="s">
        <v>13917</v>
      </c>
      <c r="W749" t="s">
        <v>13918</v>
      </c>
      <c r="X749" t="s">
        <v>13919</v>
      </c>
      <c r="Y749" t="s">
        <v>13920</v>
      </c>
      <c r="Z749" t="s">
        <v>74</v>
      </c>
      <c r="AA749" t="s">
        <v>13921</v>
      </c>
      <c r="AB749" t="s">
        <v>13922</v>
      </c>
      <c r="AC749" t="s">
        <v>74</v>
      </c>
      <c r="AD749" t="s">
        <v>74</v>
      </c>
      <c r="AE749" t="s">
        <v>74</v>
      </c>
      <c r="AF749" t="s">
        <v>74</v>
      </c>
      <c r="AG749">
        <v>51</v>
      </c>
      <c r="AH749">
        <v>0</v>
      </c>
      <c r="AI749">
        <v>0</v>
      </c>
      <c r="AJ749">
        <v>0</v>
      </c>
      <c r="AK749">
        <v>5</v>
      </c>
      <c r="AL749" t="s">
        <v>145</v>
      </c>
      <c r="AM749" t="s">
        <v>92</v>
      </c>
      <c r="AN749" t="s">
        <v>11731</v>
      </c>
      <c r="AO749" t="s">
        <v>13923</v>
      </c>
      <c r="AP749" t="s">
        <v>74</v>
      </c>
      <c r="AQ749" t="s">
        <v>13924</v>
      </c>
      <c r="AR749" t="s">
        <v>13925</v>
      </c>
      <c r="AS749" t="s">
        <v>74</v>
      </c>
      <c r="AT749" t="s">
        <v>74</v>
      </c>
      <c r="AU749">
        <v>2014</v>
      </c>
      <c r="AV749" t="s">
        <v>74</v>
      </c>
      <c r="AW749" t="s">
        <v>74</v>
      </c>
      <c r="AX749" t="s">
        <v>74</v>
      </c>
      <c r="AY749" t="s">
        <v>74</v>
      </c>
      <c r="AZ749" t="s">
        <v>74</v>
      </c>
      <c r="BA749" t="s">
        <v>74</v>
      </c>
      <c r="BB749">
        <v>28</v>
      </c>
      <c r="BC749">
        <v>43</v>
      </c>
      <c r="BD749" t="s">
        <v>74</v>
      </c>
      <c r="BE749" t="s">
        <v>13926</v>
      </c>
      <c r="BF749" t="str">
        <f>HYPERLINK("http://dx.doi.org/10.1007/978-94-007-7332-5_3","http://dx.doi.org/10.1007/978-94-007-7332-5_3")</f>
        <v>http://dx.doi.org/10.1007/978-94-007-7332-5_3</v>
      </c>
      <c r="BG749" t="s">
        <v>13927</v>
      </c>
      <c r="BH749" t="s">
        <v>74</v>
      </c>
      <c r="BI749">
        <v>16</v>
      </c>
      <c r="BJ749" t="s">
        <v>13928</v>
      </c>
      <c r="BK749" t="s">
        <v>13929</v>
      </c>
      <c r="BL749" t="s">
        <v>13928</v>
      </c>
      <c r="BM749" t="s">
        <v>13930</v>
      </c>
      <c r="BN749" t="s">
        <v>74</v>
      </c>
      <c r="BO749" t="s">
        <v>74</v>
      </c>
      <c r="BP749" t="s">
        <v>74</v>
      </c>
      <c r="BQ749" t="s">
        <v>74</v>
      </c>
      <c r="BR749" t="s">
        <v>104</v>
      </c>
      <c r="BS749" t="s">
        <v>13931</v>
      </c>
      <c r="BT749" t="str">
        <f>HYPERLINK("https%3A%2F%2Fwww.webofscience.com%2Fwos%2Fwoscc%2Ffull-record%2FWOS:000332728800005","View Full Record in Web of Science")</f>
        <v>View Full Record in Web of Science</v>
      </c>
    </row>
    <row r="750" spans="1:72" x14ac:dyDescent="0.15">
      <c r="A750" t="s">
        <v>72</v>
      </c>
      <c r="B750" t="s">
        <v>13932</v>
      </c>
      <c r="C750" t="s">
        <v>74</v>
      </c>
      <c r="D750" t="s">
        <v>74</v>
      </c>
      <c r="E750" t="s">
        <v>74</v>
      </c>
      <c r="F750" t="s">
        <v>13933</v>
      </c>
      <c r="G750" t="s">
        <v>74</v>
      </c>
      <c r="H750" t="s">
        <v>74</v>
      </c>
      <c r="I750" t="s">
        <v>13934</v>
      </c>
      <c r="J750" t="s">
        <v>10826</v>
      </c>
      <c r="K750" t="s">
        <v>74</v>
      </c>
      <c r="L750" t="s">
        <v>74</v>
      </c>
      <c r="M750" t="s">
        <v>78</v>
      </c>
      <c r="N750" t="s">
        <v>79</v>
      </c>
      <c r="O750" t="s">
        <v>74</v>
      </c>
      <c r="P750" t="s">
        <v>74</v>
      </c>
      <c r="Q750" t="s">
        <v>74</v>
      </c>
      <c r="R750" t="s">
        <v>74</v>
      </c>
      <c r="S750" t="s">
        <v>74</v>
      </c>
      <c r="T750" t="s">
        <v>13935</v>
      </c>
      <c r="U750" t="s">
        <v>13936</v>
      </c>
      <c r="V750" t="s">
        <v>13937</v>
      </c>
      <c r="W750" t="s">
        <v>13938</v>
      </c>
      <c r="X750" t="s">
        <v>13939</v>
      </c>
      <c r="Y750" t="s">
        <v>13940</v>
      </c>
      <c r="Z750" t="s">
        <v>13941</v>
      </c>
      <c r="AA750" t="s">
        <v>13942</v>
      </c>
      <c r="AB750" t="s">
        <v>13943</v>
      </c>
      <c r="AC750" t="s">
        <v>13944</v>
      </c>
      <c r="AD750" t="s">
        <v>13945</v>
      </c>
      <c r="AE750" t="s">
        <v>13946</v>
      </c>
      <c r="AF750" t="s">
        <v>74</v>
      </c>
      <c r="AG750">
        <v>84</v>
      </c>
      <c r="AH750">
        <v>10</v>
      </c>
      <c r="AI750">
        <v>12</v>
      </c>
      <c r="AJ750">
        <v>0</v>
      </c>
      <c r="AK750">
        <v>32</v>
      </c>
      <c r="AL750" t="s">
        <v>10310</v>
      </c>
      <c r="AM750" t="s">
        <v>10311</v>
      </c>
      <c r="AN750" t="s">
        <v>10312</v>
      </c>
      <c r="AO750" t="s">
        <v>10838</v>
      </c>
      <c r="AP750" t="s">
        <v>10839</v>
      </c>
      <c r="AQ750" t="s">
        <v>74</v>
      </c>
      <c r="AR750" t="s">
        <v>10840</v>
      </c>
      <c r="AS750" t="s">
        <v>10841</v>
      </c>
      <c r="AT750" t="s">
        <v>74</v>
      </c>
      <c r="AU750">
        <v>2014</v>
      </c>
      <c r="AV750">
        <v>503</v>
      </c>
      <c r="AW750" t="s">
        <v>74</v>
      </c>
      <c r="AX750" t="s">
        <v>74</v>
      </c>
      <c r="AY750" t="s">
        <v>74</v>
      </c>
      <c r="AZ750" t="s">
        <v>74</v>
      </c>
      <c r="BA750" t="s">
        <v>74</v>
      </c>
      <c r="BB750">
        <v>263</v>
      </c>
      <c r="BC750">
        <v>277</v>
      </c>
      <c r="BD750" t="s">
        <v>74</v>
      </c>
      <c r="BE750" t="s">
        <v>13947</v>
      </c>
      <c r="BF750" t="str">
        <f>HYPERLINK("http://dx.doi.org/10.3354/meps10740","http://dx.doi.org/10.3354/meps10740")</f>
        <v>http://dx.doi.org/10.3354/meps10740</v>
      </c>
      <c r="BG750" t="s">
        <v>74</v>
      </c>
      <c r="BH750" t="s">
        <v>74</v>
      </c>
      <c r="BI750">
        <v>15</v>
      </c>
      <c r="BJ750" t="s">
        <v>10843</v>
      </c>
      <c r="BK750" t="s">
        <v>101</v>
      </c>
      <c r="BL750" t="s">
        <v>10844</v>
      </c>
      <c r="BM750" t="s">
        <v>13948</v>
      </c>
      <c r="BN750" t="s">
        <v>74</v>
      </c>
      <c r="BO750" t="s">
        <v>1607</v>
      </c>
      <c r="BP750" t="s">
        <v>74</v>
      </c>
      <c r="BQ750" t="s">
        <v>74</v>
      </c>
      <c r="BR750" t="s">
        <v>104</v>
      </c>
      <c r="BS750" t="s">
        <v>13949</v>
      </c>
      <c r="BT750" t="str">
        <f>HYPERLINK("https%3A%2F%2Fwww.webofscience.com%2Fwos%2Fwoscc%2Ffull-record%2FWOS:000335581700018","View Full Record in Web of Science")</f>
        <v>View Full Record in Web of Science</v>
      </c>
    </row>
    <row r="751" spans="1:72" x14ac:dyDescent="0.15">
      <c r="A751" t="s">
        <v>72</v>
      </c>
      <c r="B751" t="s">
        <v>13950</v>
      </c>
      <c r="C751" t="s">
        <v>74</v>
      </c>
      <c r="D751" t="s">
        <v>74</v>
      </c>
      <c r="E751" t="s">
        <v>74</v>
      </c>
      <c r="F751" t="s">
        <v>13951</v>
      </c>
      <c r="G751" t="s">
        <v>74</v>
      </c>
      <c r="H751" t="s">
        <v>74</v>
      </c>
      <c r="I751" t="s">
        <v>13952</v>
      </c>
      <c r="J751" t="s">
        <v>13953</v>
      </c>
      <c r="K751" t="s">
        <v>74</v>
      </c>
      <c r="L751" t="s">
        <v>74</v>
      </c>
      <c r="M751" t="s">
        <v>78</v>
      </c>
      <c r="N751" t="s">
        <v>79</v>
      </c>
      <c r="O751" t="s">
        <v>74</v>
      </c>
      <c r="P751" t="s">
        <v>74</v>
      </c>
      <c r="Q751" t="s">
        <v>74</v>
      </c>
      <c r="R751" t="s">
        <v>74</v>
      </c>
      <c r="S751" t="s">
        <v>74</v>
      </c>
      <c r="T751" t="s">
        <v>13954</v>
      </c>
      <c r="U751" t="s">
        <v>13955</v>
      </c>
      <c r="V751" t="s">
        <v>13956</v>
      </c>
      <c r="W751" t="s">
        <v>13957</v>
      </c>
      <c r="X751" t="s">
        <v>13958</v>
      </c>
      <c r="Y751" t="s">
        <v>13959</v>
      </c>
      <c r="Z751" t="s">
        <v>13960</v>
      </c>
      <c r="AA751" t="s">
        <v>13961</v>
      </c>
      <c r="AB751" t="s">
        <v>13962</v>
      </c>
      <c r="AC751" t="s">
        <v>13963</v>
      </c>
      <c r="AD751" t="s">
        <v>3279</v>
      </c>
      <c r="AE751" t="s">
        <v>13964</v>
      </c>
      <c r="AF751" t="s">
        <v>74</v>
      </c>
      <c r="AG751">
        <v>29</v>
      </c>
      <c r="AH751">
        <v>5</v>
      </c>
      <c r="AI751">
        <v>7</v>
      </c>
      <c r="AJ751">
        <v>1</v>
      </c>
      <c r="AK751">
        <v>40</v>
      </c>
      <c r="AL751" t="s">
        <v>2666</v>
      </c>
      <c r="AM751" t="s">
        <v>92</v>
      </c>
      <c r="AN751" t="s">
        <v>2667</v>
      </c>
      <c r="AO751" t="s">
        <v>13965</v>
      </c>
      <c r="AP751" t="s">
        <v>13966</v>
      </c>
      <c r="AQ751" t="s">
        <v>74</v>
      </c>
      <c r="AR751" t="s">
        <v>13967</v>
      </c>
      <c r="AS751" t="s">
        <v>3624</v>
      </c>
      <c r="AT751" t="s">
        <v>13186</v>
      </c>
      <c r="AU751">
        <v>2014</v>
      </c>
      <c r="AV751">
        <v>83</v>
      </c>
      <c r="AW751" t="s">
        <v>1531</v>
      </c>
      <c r="AX751" t="s">
        <v>74</v>
      </c>
      <c r="AY751" t="s">
        <v>74</v>
      </c>
      <c r="AZ751" t="s">
        <v>74</v>
      </c>
      <c r="BA751" t="s">
        <v>74</v>
      </c>
      <c r="BB751">
        <v>77</v>
      </c>
      <c r="BC751">
        <v>84</v>
      </c>
      <c r="BD751" t="s">
        <v>74</v>
      </c>
      <c r="BE751" t="s">
        <v>13968</v>
      </c>
      <c r="BF751" t="str">
        <f>HYPERLINK("http://dx.doi.org/10.1134/S0026261714020143","http://dx.doi.org/10.1134/S0026261714020143")</f>
        <v>http://dx.doi.org/10.1134/S0026261714020143</v>
      </c>
      <c r="BG751" t="s">
        <v>74</v>
      </c>
      <c r="BH751" t="s">
        <v>74</v>
      </c>
      <c r="BI751">
        <v>8</v>
      </c>
      <c r="BJ751" t="s">
        <v>3624</v>
      </c>
      <c r="BK751" t="s">
        <v>101</v>
      </c>
      <c r="BL751" t="s">
        <v>3624</v>
      </c>
      <c r="BM751" t="s">
        <v>13969</v>
      </c>
      <c r="BN751" t="s">
        <v>74</v>
      </c>
      <c r="BO751" t="s">
        <v>74</v>
      </c>
      <c r="BP751" t="s">
        <v>74</v>
      </c>
      <c r="BQ751" t="s">
        <v>74</v>
      </c>
      <c r="BR751" t="s">
        <v>104</v>
      </c>
      <c r="BS751" t="s">
        <v>13970</v>
      </c>
      <c r="BT751" t="str">
        <f>HYPERLINK("https%3A%2F%2Fwww.webofscience.com%2Fwos%2Fwoscc%2Ffull-record%2FWOS:000335678500009","View Full Record in Web of Science")</f>
        <v>View Full Record in Web of Science</v>
      </c>
    </row>
    <row r="752" spans="1:72" x14ac:dyDescent="0.15">
      <c r="A752" t="s">
        <v>72</v>
      </c>
      <c r="B752" t="s">
        <v>13971</v>
      </c>
      <c r="C752" t="s">
        <v>74</v>
      </c>
      <c r="D752" t="s">
        <v>74</v>
      </c>
      <c r="E752" t="s">
        <v>74</v>
      </c>
      <c r="F752" t="s">
        <v>13972</v>
      </c>
      <c r="G752" t="s">
        <v>74</v>
      </c>
      <c r="H752" t="s">
        <v>74</v>
      </c>
      <c r="I752" t="s">
        <v>13973</v>
      </c>
      <c r="J752" t="s">
        <v>11504</v>
      </c>
      <c r="K752" t="s">
        <v>74</v>
      </c>
      <c r="L752" t="s">
        <v>74</v>
      </c>
      <c r="M752" t="s">
        <v>78</v>
      </c>
      <c r="N752" t="s">
        <v>79</v>
      </c>
      <c r="O752" t="s">
        <v>74</v>
      </c>
      <c r="P752" t="s">
        <v>74</v>
      </c>
      <c r="Q752" t="s">
        <v>74</v>
      </c>
      <c r="R752" t="s">
        <v>74</v>
      </c>
      <c r="S752" t="s">
        <v>74</v>
      </c>
      <c r="T752" t="s">
        <v>74</v>
      </c>
      <c r="U752" t="s">
        <v>13974</v>
      </c>
      <c r="V752" t="s">
        <v>13975</v>
      </c>
      <c r="W752" t="s">
        <v>13976</v>
      </c>
      <c r="X752" t="s">
        <v>13977</v>
      </c>
      <c r="Y752" t="s">
        <v>13978</v>
      </c>
      <c r="Z752" t="s">
        <v>13979</v>
      </c>
      <c r="AA752" t="s">
        <v>13980</v>
      </c>
      <c r="AB752" t="s">
        <v>13981</v>
      </c>
      <c r="AC752" t="s">
        <v>74</v>
      </c>
      <c r="AD752" t="s">
        <v>74</v>
      </c>
      <c r="AE752" t="s">
        <v>74</v>
      </c>
      <c r="AF752" t="s">
        <v>74</v>
      </c>
      <c r="AG752">
        <v>26</v>
      </c>
      <c r="AH752">
        <v>31</v>
      </c>
      <c r="AI752">
        <v>32</v>
      </c>
      <c r="AJ752">
        <v>0</v>
      </c>
      <c r="AK752">
        <v>11</v>
      </c>
      <c r="AL752" t="s">
        <v>1463</v>
      </c>
      <c r="AM752" t="s">
        <v>1464</v>
      </c>
      <c r="AN752" t="s">
        <v>1465</v>
      </c>
      <c r="AO752" t="s">
        <v>11516</v>
      </c>
      <c r="AP752" t="s">
        <v>11517</v>
      </c>
      <c r="AQ752" t="s">
        <v>74</v>
      </c>
      <c r="AR752" t="s">
        <v>11518</v>
      </c>
      <c r="AS752" t="s">
        <v>11519</v>
      </c>
      <c r="AT752" t="s">
        <v>74</v>
      </c>
      <c r="AU752">
        <v>2014</v>
      </c>
      <c r="AV752">
        <v>7</v>
      </c>
      <c r="AW752">
        <v>4</v>
      </c>
      <c r="AX752" t="s">
        <v>74</v>
      </c>
      <c r="AY752" t="s">
        <v>74</v>
      </c>
      <c r="AZ752" t="s">
        <v>74</v>
      </c>
      <c r="BA752" t="s">
        <v>74</v>
      </c>
      <c r="BB752">
        <v>1043</v>
      </c>
      <c r="BC752">
        <v>1055</v>
      </c>
      <c r="BD752" t="s">
        <v>74</v>
      </c>
      <c r="BE752" t="s">
        <v>13982</v>
      </c>
      <c r="BF752" t="str">
        <f>HYPERLINK("http://dx.doi.org/10.5194/amt-7-1043-2014","http://dx.doi.org/10.5194/amt-7-1043-2014")</f>
        <v>http://dx.doi.org/10.5194/amt-7-1043-2014</v>
      </c>
      <c r="BG752" t="s">
        <v>74</v>
      </c>
      <c r="BH752" t="s">
        <v>74</v>
      </c>
      <c r="BI752">
        <v>13</v>
      </c>
      <c r="BJ752" t="s">
        <v>1391</v>
      </c>
      <c r="BK752" t="s">
        <v>101</v>
      </c>
      <c r="BL752" t="s">
        <v>1391</v>
      </c>
      <c r="BM752" t="s">
        <v>13983</v>
      </c>
      <c r="BN752" t="s">
        <v>74</v>
      </c>
      <c r="BO752" t="s">
        <v>9228</v>
      </c>
      <c r="BP752" t="s">
        <v>74</v>
      </c>
      <c r="BQ752" t="s">
        <v>74</v>
      </c>
      <c r="BR752" t="s">
        <v>104</v>
      </c>
      <c r="BS752" t="s">
        <v>13984</v>
      </c>
      <c r="BT752" t="str">
        <f>HYPERLINK("https%3A%2F%2Fwww.webofscience.com%2Fwos%2Fwoscc%2Ffull-record%2FWOS:000335373600012","View Full Record in Web of Science")</f>
        <v>View Full Record in Web of Science</v>
      </c>
    </row>
    <row r="753" spans="1:72" x14ac:dyDescent="0.15">
      <c r="A753" t="s">
        <v>72</v>
      </c>
      <c r="B753" t="s">
        <v>13985</v>
      </c>
      <c r="C753" t="s">
        <v>74</v>
      </c>
      <c r="D753" t="s">
        <v>74</v>
      </c>
      <c r="E753" t="s">
        <v>74</v>
      </c>
      <c r="F753" t="s">
        <v>13986</v>
      </c>
      <c r="G753" t="s">
        <v>74</v>
      </c>
      <c r="H753" t="s">
        <v>74</v>
      </c>
      <c r="I753" t="s">
        <v>13987</v>
      </c>
      <c r="J753" t="s">
        <v>10325</v>
      </c>
      <c r="K753" t="s">
        <v>74</v>
      </c>
      <c r="L753" t="s">
        <v>74</v>
      </c>
      <c r="M753" t="s">
        <v>78</v>
      </c>
      <c r="N753" t="s">
        <v>79</v>
      </c>
      <c r="O753" t="s">
        <v>74</v>
      </c>
      <c r="P753" t="s">
        <v>74</v>
      </c>
      <c r="Q753" t="s">
        <v>74</v>
      </c>
      <c r="R753" t="s">
        <v>74</v>
      </c>
      <c r="S753" t="s">
        <v>74</v>
      </c>
      <c r="T753" t="s">
        <v>74</v>
      </c>
      <c r="U753" t="s">
        <v>13988</v>
      </c>
      <c r="V753" t="s">
        <v>13989</v>
      </c>
      <c r="W753" t="s">
        <v>13990</v>
      </c>
      <c r="X753" t="s">
        <v>13991</v>
      </c>
      <c r="Y753" t="s">
        <v>13992</v>
      </c>
      <c r="Z753" t="s">
        <v>13993</v>
      </c>
      <c r="AA753" t="s">
        <v>13994</v>
      </c>
      <c r="AB753" t="s">
        <v>13995</v>
      </c>
      <c r="AC753" t="s">
        <v>13996</v>
      </c>
      <c r="AD753" t="s">
        <v>13997</v>
      </c>
      <c r="AE753" t="s">
        <v>13998</v>
      </c>
      <c r="AF753" t="s">
        <v>74</v>
      </c>
      <c r="AG753">
        <v>96</v>
      </c>
      <c r="AH753">
        <v>47</v>
      </c>
      <c r="AI753">
        <v>50</v>
      </c>
      <c r="AJ753">
        <v>0</v>
      </c>
      <c r="AK753">
        <v>25</v>
      </c>
      <c r="AL753" t="s">
        <v>1463</v>
      </c>
      <c r="AM753" t="s">
        <v>1464</v>
      </c>
      <c r="AN753" t="s">
        <v>1465</v>
      </c>
      <c r="AO753" t="s">
        <v>10336</v>
      </c>
      <c r="AP753" t="s">
        <v>10337</v>
      </c>
      <c r="AQ753" t="s">
        <v>74</v>
      </c>
      <c r="AR753" t="s">
        <v>10338</v>
      </c>
      <c r="AS753" t="s">
        <v>10339</v>
      </c>
      <c r="AT753" t="s">
        <v>74</v>
      </c>
      <c r="AU753">
        <v>2014</v>
      </c>
      <c r="AV753">
        <v>10</v>
      </c>
      <c r="AW753">
        <v>2</v>
      </c>
      <c r="AX753" t="s">
        <v>74</v>
      </c>
      <c r="AY753" t="s">
        <v>74</v>
      </c>
      <c r="AZ753" t="s">
        <v>74</v>
      </c>
      <c r="BA753" t="s">
        <v>74</v>
      </c>
      <c r="BB753">
        <v>467</v>
      </c>
      <c r="BC753">
        <v>485</v>
      </c>
      <c r="BD753" t="s">
        <v>74</v>
      </c>
      <c r="BE753" t="s">
        <v>13999</v>
      </c>
      <c r="BF753" t="str">
        <f>HYPERLINK("http://dx.doi.org/10.5194/cp-10-467-2014","http://dx.doi.org/10.5194/cp-10-467-2014")</f>
        <v>http://dx.doi.org/10.5194/cp-10-467-2014</v>
      </c>
      <c r="BG753" t="s">
        <v>74</v>
      </c>
      <c r="BH753" t="s">
        <v>74</v>
      </c>
      <c r="BI753">
        <v>19</v>
      </c>
      <c r="BJ753" t="s">
        <v>9225</v>
      </c>
      <c r="BK753" t="s">
        <v>101</v>
      </c>
      <c r="BL753" t="s">
        <v>9226</v>
      </c>
      <c r="BM753" t="s">
        <v>14000</v>
      </c>
      <c r="BN753" t="s">
        <v>74</v>
      </c>
      <c r="BO753" t="s">
        <v>9228</v>
      </c>
      <c r="BP753" t="s">
        <v>74</v>
      </c>
      <c r="BQ753" t="s">
        <v>74</v>
      </c>
      <c r="BR753" t="s">
        <v>104</v>
      </c>
      <c r="BS753" t="s">
        <v>14001</v>
      </c>
      <c r="BT753" t="str">
        <f>HYPERLINK("https%3A%2F%2Fwww.webofscience.com%2Fwos%2Fwoscc%2Ffull-record%2FWOS:000335374600004","View Full Record in Web of Science")</f>
        <v>View Full Record in Web of Science</v>
      </c>
    </row>
    <row r="754" spans="1:72" x14ac:dyDescent="0.15">
      <c r="A754" t="s">
        <v>72</v>
      </c>
      <c r="B754" t="s">
        <v>14002</v>
      </c>
      <c r="C754" t="s">
        <v>74</v>
      </c>
      <c r="D754" t="s">
        <v>74</v>
      </c>
      <c r="E754" t="s">
        <v>74</v>
      </c>
      <c r="F754" t="s">
        <v>14003</v>
      </c>
      <c r="G754" t="s">
        <v>74</v>
      </c>
      <c r="H754" t="s">
        <v>74</v>
      </c>
      <c r="I754" t="s">
        <v>14004</v>
      </c>
      <c r="J754" t="s">
        <v>10325</v>
      </c>
      <c r="K754" t="s">
        <v>74</v>
      </c>
      <c r="L754" t="s">
        <v>74</v>
      </c>
      <c r="M754" t="s">
        <v>78</v>
      </c>
      <c r="N754" t="s">
        <v>79</v>
      </c>
      <c r="O754" t="s">
        <v>74</v>
      </c>
      <c r="P754" t="s">
        <v>74</v>
      </c>
      <c r="Q754" t="s">
        <v>74</v>
      </c>
      <c r="R754" t="s">
        <v>74</v>
      </c>
      <c r="S754" t="s">
        <v>74</v>
      </c>
      <c r="T754" t="s">
        <v>74</v>
      </c>
      <c r="U754" t="s">
        <v>14005</v>
      </c>
      <c r="V754" t="s">
        <v>14006</v>
      </c>
      <c r="W754" t="s">
        <v>14007</v>
      </c>
      <c r="X754" t="s">
        <v>14008</v>
      </c>
      <c r="Y754" t="s">
        <v>14009</v>
      </c>
      <c r="Z754" t="s">
        <v>14010</v>
      </c>
      <c r="AA754" t="s">
        <v>14011</v>
      </c>
      <c r="AB754" t="s">
        <v>14012</v>
      </c>
      <c r="AC754" t="s">
        <v>14013</v>
      </c>
      <c r="AD754" t="s">
        <v>14013</v>
      </c>
      <c r="AE754" t="s">
        <v>14014</v>
      </c>
      <c r="AF754" t="s">
        <v>74</v>
      </c>
      <c r="AG754">
        <v>104</v>
      </c>
      <c r="AH754">
        <v>8</v>
      </c>
      <c r="AI754">
        <v>12</v>
      </c>
      <c r="AJ754">
        <v>2</v>
      </c>
      <c r="AK754">
        <v>14</v>
      </c>
      <c r="AL754" t="s">
        <v>1463</v>
      </c>
      <c r="AM754" t="s">
        <v>1464</v>
      </c>
      <c r="AN754" t="s">
        <v>1465</v>
      </c>
      <c r="AO754" t="s">
        <v>10336</v>
      </c>
      <c r="AP754" t="s">
        <v>10337</v>
      </c>
      <c r="AQ754" t="s">
        <v>74</v>
      </c>
      <c r="AR754" t="s">
        <v>10338</v>
      </c>
      <c r="AS754" t="s">
        <v>10339</v>
      </c>
      <c r="AT754" t="s">
        <v>74</v>
      </c>
      <c r="AU754">
        <v>2014</v>
      </c>
      <c r="AV754">
        <v>10</v>
      </c>
      <c r="AW754">
        <v>2</v>
      </c>
      <c r="AX754" t="s">
        <v>74</v>
      </c>
      <c r="AY754" t="s">
        <v>74</v>
      </c>
      <c r="AZ754" t="s">
        <v>74</v>
      </c>
      <c r="BA754" t="s">
        <v>74</v>
      </c>
      <c r="BB754">
        <v>745</v>
      </c>
      <c r="BC754">
        <v>758</v>
      </c>
      <c r="BD754" t="s">
        <v>74</v>
      </c>
      <c r="BE754" t="s">
        <v>14015</v>
      </c>
      <c r="BF754" t="str">
        <f>HYPERLINK("http://dx.doi.org/10.5194/cp-10-745-2014","http://dx.doi.org/10.5194/cp-10-745-2014")</f>
        <v>http://dx.doi.org/10.5194/cp-10-745-2014</v>
      </c>
      <c r="BG754" t="s">
        <v>74</v>
      </c>
      <c r="BH754" t="s">
        <v>74</v>
      </c>
      <c r="BI754">
        <v>14</v>
      </c>
      <c r="BJ754" t="s">
        <v>9225</v>
      </c>
      <c r="BK754" t="s">
        <v>101</v>
      </c>
      <c r="BL754" t="s">
        <v>9226</v>
      </c>
      <c r="BM754" t="s">
        <v>14000</v>
      </c>
      <c r="BN754" t="s">
        <v>74</v>
      </c>
      <c r="BO754" t="s">
        <v>6156</v>
      </c>
      <c r="BP754" t="s">
        <v>74</v>
      </c>
      <c r="BQ754" t="s">
        <v>74</v>
      </c>
      <c r="BR754" t="s">
        <v>104</v>
      </c>
      <c r="BS754" t="s">
        <v>14016</v>
      </c>
      <c r="BT754" t="str">
        <f>HYPERLINK("https%3A%2F%2Fwww.webofscience.com%2Fwos%2Fwoscc%2Ffull-record%2FWOS:000335374600022","View Full Record in Web of Science")</f>
        <v>View Full Record in Web of Science</v>
      </c>
    </row>
    <row r="755" spans="1:72" x14ac:dyDescent="0.15">
      <c r="A755" t="s">
        <v>72</v>
      </c>
      <c r="B755" t="s">
        <v>14017</v>
      </c>
      <c r="C755" t="s">
        <v>74</v>
      </c>
      <c r="D755" t="s">
        <v>74</v>
      </c>
      <c r="E755" t="s">
        <v>74</v>
      </c>
      <c r="F755" t="s">
        <v>14018</v>
      </c>
      <c r="G755" t="s">
        <v>74</v>
      </c>
      <c r="H755" t="s">
        <v>74</v>
      </c>
      <c r="I755" t="s">
        <v>14019</v>
      </c>
      <c r="J755" t="s">
        <v>10325</v>
      </c>
      <c r="K755" t="s">
        <v>74</v>
      </c>
      <c r="L755" t="s">
        <v>74</v>
      </c>
      <c r="M755" t="s">
        <v>78</v>
      </c>
      <c r="N755" t="s">
        <v>79</v>
      </c>
      <c r="O755" t="s">
        <v>74</v>
      </c>
      <c r="P755" t="s">
        <v>74</v>
      </c>
      <c r="Q755" t="s">
        <v>74</v>
      </c>
      <c r="R755" t="s">
        <v>74</v>
      </c>
      <c r="S755" t="s">
        <v>74</v>
      </c>
      <c r="T755" t="s">
        <v>74</v>
      </c>
      <c r="U755" t="s">
        <v>14020</v>
      </c>
      <c r="V755" t="s">
        <v>14021</v>
      </c>
      <c r="W755" t="s">
        <v>14022</v>
      </c>
      <c r="X755" t="s">
        <v>14023</v>
      </c>
      <c r="Y755" t="s">
        <v>14024</v>
      </c>
      <c r="Z755" t="s">
        <v>14025</v>
      </c>
      <c r="AA755" t="s">
        <v>14026</v>
      </c>
      <c r="AB755" t="s">
        <v>14027</v>
      </c>
      <c r="AC755" t="s">
        <v>14028</v>
      </c>
      <c r="AD755" t="s">
        <v>14029</v>
      </c>
      <c r="AE755" t="s">
        <v>14030</v>
      </c>
      <c r="AF755" t="s">
        <v>74</v>
      </c>
      <c r="AG755">
        <v>109</v>
      </c>
      <c r="AH755">
        <v>64</v>
      </c>
      <c r="AI755">
        <v>65</v>
      </c>
      <c r="AJ755">
        <v>0</v>
      </c>
      <c r="AK755">
        <v>33</v>
      </c>
      <c r="AL755" t="s">
        <v>1463</v>
      </c>
      <c r="AM755" t="s">
        <v>1464</v>
      </c>
      <c r="AN755" t="s">
        <v>1465</v>
      </c>
      <c r="AO755" t="s">
        <v>10336</v>
      </c>
      <c r="AP755" t="s">
        <v>10337</v>
      </c>
      <c r="AQ755" t="s">
        <v>74</v>
      </c>
      <c r="AR755" t="s">
        <v>10338</v>
      </c>
      <c r="AS755" t="s">
        <v>10339</v>
      </c>
      <c r="AT755" t="s">
        <v>74</v>
      </c>
      <c r="AU755">
        <v>2014</v>
      </c>
      <c r="AV755">
        <v>10</v>
      </c>
      <c r="AW755">
        <v>2</v>
      </c>
      <c r="AX755" t="s">
        <v>74</v>
      </c>
      <c r="AY755" t="s">
        <v>74</v>
      </c>
      <c r="AZ755" t="s">
        <v>74</v>
      </c>
      <c r="BA755" t="s">
        <v>74</v>
      </c>
      <c r="BB755">
        <v>843</v>
      </c>
      <c r="BC755">
        <v>862</v>
      </c>
      <c r="BD755" t="s">
        <v>74</v>
      </c>
      <c r="BE755" t="s">
        <v>14031</v>
      </c>
      <c r="BF755" t="str">
        <f>HYPERLINK("http://dx.doi.org/10.5194/cp-10-843-2014","http://dx.doi.org/10.5194/cp-10-843-2014")</f>
        <v>http://dx.doi.org/10.5194/cp-10-843-2014</v>
      </c>
      <c r="BG755" t="s">
        <v>74</v>
      </c>
      <c r="BH755" t="s">
        <v>74</v>
      </c>
      <c r="BI755">
        <v>20</v>
      </c>
      <c r="BJ755" t="s">
        <v>9225</v>
      </c>
      <c r="BK755" t="s">
        <v>101</v>
      </c>
      <c r="BL755" t="s">
        <v>9226</v>
      </c>
      <c r="BM755" t="s">
        <v>14000</v>
      </c>
      <c r="BN755" t="s">
        <v>74</v>
      </c>
      <c r="BO755" t="s">
        <v>1890</v>
      </c>
      <c r="BP755" t="s">
        <v>74</v>
      </c>
      <c r="BQ755" t="s">
        <v>74</v>
      </c>
      <c r="BR755" t="s">
        <v>104</v>
      </c>
      <c r="BS755" t="s">
        <v>14032</v>
      </c>
      <c r="BT755" t="str">
        <f>HYPERLINK("https%3A%2F%2Fwww.webofscience.com%2Fwos%2Fwoscc%2Ffull-record%2FWOS:000335374600029","View Full Record in Web of Science")</f>
        <v>View Full Record in Web of Science</v>
      </c>
    </row>
    <row r="756" spans="1:72" x14ac:dyDescent="0.15">
      <c r="A756" t="s">
        <v>72</v>
      </c>
      <c r="B756" t="s">
        <v>14033</v>
      </c>
      <c r="C756" t="s">
        <v>74</v>
      </c>
      <c r="D756" t="s">
        <v>74</v>
      </c>
      <c r="E756" t="s">
        <v>74</v>
      </c>
      <c r="F756" t="s">
        <v>14034</v>
      </c>
      <c r="G756" t="s">
        <v>74</v>
      </c>
      <c r="H756" t="s">
        <v>74</v>
      </c>
      <c r="I756" t="s">
        <v>14035</v>
      </c>
      <c r="J756" t="s">
        <v>10449</v>
      </c>
      <c r="K756" t="s">
        <v>74</v>
      </c>
      <c r="L756" t="s">
        <v>74</v>
      </c>
      <c r="M756" t="s">
        <v>78</v>
      </c>
      <c r="N756" t="s">
        <v>79</v>
      </c>
      <c r="O756" t="s">
        <v>74</v>
      </c>
      <c r="P756" t="s">
        <v>74</v>
      </c>
      <c r="Q756" t="s">
        <v>74</v>
      </c>
      <c r="R756" t="s">
        <v>74</v>
      </c>
      <c r="S756" t="s">
        <v>74</v>
      </c>
      <c r="T756" t="s">
        <v>74</v>
      </c>
      <c r="U756" t="s">
        <v>14036</v>
      </c>
      <c r="V756" t="s">
        <v>14037</v>
      </c>
      <c r="W756" t="s">
        <v>14038</v>
      </c>
      <c r="X756" t="s">
        <v>14039</v>
      </c>
      <c r="Y756" t="s">
        <v>14040</v>
      </c>
      <c r="Z756" t="s">
        <v>14041</v>
      </c>
      <c r="AA756" t="s">
        <v>14042</v>
      </c>
      <c r="AB756" t="s">
        <v>14043</v>
      </c>
      <c r="AC756" t="s">
        <v>14044</v>
      </c>
      <c r="AD756" t="s">
        <v>14045</v>
      </c>
      <c r="AE756" t="s">
        <v>14046</v>
      </c>
      <c r="AF756" t="s">
        <v>74</v>
      </c>
      <c r="AG756">
        <v>38</v>
      </c>
      <c r="AH756">
        <v>86</v>
      </c>
      <c r="AI756">
        <v>91</v>
      </c>
      <c r="AJ756">
        <v>2</v>
      </c>
      <c r="AK756">
        <v>17</v>
      </c>
      <c r="AL756" t="s">
        <v>1463</v>
      </c>
      <c r="AM756" t="s">
        <v>1464</v>
      </c>
      <c r="AN756" t="s">
        <v>1465</v>
      </c>
      <c r="AO756" t="s">
        <v>10461</v>
      </c>
      <c r="AP756" t="s">
        <v>10462</v>
      </c>
      <c r="AQ756" t="s">
        <v>74</v>
      </c>
      <c r="AR756" t="s">
        <v>10449</v>
      </c>
      <c r="AS756" t="s">
        <v>10463</v>
      </c>
      <c r="AT756" t="s">
        <v>74</v>
      </c>
      <c r="AU756">
        <v>2014</v>
      </c>
      <c r="AV756">
        <v>8</v>
      </c>
      <c r="AW756">
        <v>2</v>
      </c>
      <c r="AX756" t="s">
        <v>74</v>
      </c>
      <c r="AY756" t="s">
        <v>74</v>
      </c>
      <c r="AZ756" t="s">
        <v>74</v>
      </c>
      <c r="BA756" t="s">
        <v>74</v>
      </c>
      <c r="BB756">
        <v>439</v>
      </c>
      <c r="BC756">
        <v>451</v>
      </c>
      <c r="BD756" t="s">
        <v>74</v>
      </c>
      <c r="BE756" t="s">
        <v>14047</v>
      </c>
      <c r="BF756" t="str">
        <f>HYPERLINK("http://dx.doi.org/10.5194/tc-8-439-2014","http://dx.doi.org/10.5194/tc-8-439-2014")</f>
        <v>http://dx.doi.org/10.5194/tc-8-439-2014</v>
      </c>
      <c r="BG756" t="s">
        <v>74</v>
      </c>
      <c r="BH756" t="s">
        <v>74</v>
      </c>
      <c r="BI756">
        <v>13</v>
      </c>
      <c r="BJ756" t="s">
        <v>1415</v>
      </c>
      <c r="BK756" t="s">
        <v>101</v>
      </c>
      <c r="BL756" t="s">
        <v>1416</v>
      </c>
      <c r="BM756" t="s">
        <v>14048</v>
      </c>
      <c r="BN756" t="s">
        <v>74</v>
      </c>
      <c r="BO756" t="s">
        <v>14049</v>
      </c>
      <c r="BP756" t="s">
        <v>74</v>
      </c>
      <c r="BQ756" t="s">
        <v>74</v>
      </c>
      <c r="BR756" t="s">
        <v>104</v>
      </c>
      <c r="BS756" t="s">
        <v>14050</v>
      </c>
      <c r="BT756" t="str">
        <f>HYPERLINK("https%3A%2F%2Fwww.webofscience.com%2Fwos%2Fwoscc%2Ffull-record%2FWOS:000335377200008","View Full Record in Web of Science")</f>
        <v>View Full Record in Web of Science</v>
      </c>
    </row>
    <row r="757" spans="1:72" x14ac:dyDescent="0.15">
      <c r="A757" t="s">
        <v>72</v>
      </c>
      <c r="B757" t="s">
        <v>14051</v>
      </c>
      <c r="C757" t="s">
        <v>74</v>
      </c>
      <c r="D757" t="s">
        <v>74</v>
      </c>
      <c r="E757" t="s">
        <v>74</v>
      </c>
      <c r="F757" t="s">
        <v>14052</v>
      </c>
      <c r="G757" t="s">
        <v>74</v>
      </c>
      <c r="H757" t="s">
        <v>74</v>
      </c>
      <c r="I757" t="s">
        <v>14053</v>
      </c>
      <c r="J757" t="s">
        <v>10449</v>
      </c>
      <c r="K757" t="s">
        <v>74</v>
      </c>
      <c r="L757" t="s">
        <v>74</v>
      </c>
      <c r="M757" t="s">
        <v>78</v>
      </c>
      <c r="N757" t="s">
        <v>79</v>
      </c>
      <c r="O757" t="s">
        <v>74</v>
      </c>
      <c r="P757" t="s">
        <v>74</v>
      </c>
      <c r="Q757" t="s">
        <v>74</v>
      </c>
      <c r="R757" t="s">
        <v>74</v>
      </c>
      <c r="S757" t="s">
        <v>74</v>
      </c>
      <c r="T757" t="s">
        <v>74</v>
      </c>
      <c r="U757" t="s">
        <v>14054</v>
      </c>
      <c r="V757" t="s">
        <v>14055</v>
      </c>
      <c r="W757" t="s">
        <v>14056</v>
      </c>
      <c r="X757" t="s">
        <v>14057</v>
      </c>
      <c r="Y757" t="s">
        <v>14058</v>
      </c>
      <c r="Z757" t="s">
        <v>14059</v>
      </c>
      <c r="AA757" t="s">
        <v>74</v>
      </c>
      <c r="AB757" t="s">
        <v>74</v>
      </c>
      <c r="AC757" t="s">
        <v>14060</v>
      </c>
      <c r="AD757" t="s">
        <v>14061</v>
      </c>
      <c r="AE757" t="s">
        <v>14062</v>
      </c>
      <c r="AF757" t="s">
        <v>74</v>
      </c>
      <c r="AG757">
        <v>74</v>
      </c>
      <c r="AH757">
        <v>80</v>
      </c>
      <c r="AI757">
        <v>91</v>
      </c>
      <c r="AJ757">
        <v>3</v>
      </c>
      <c r="AK757">
        <v>50</v>
      </c>
      <c r="AL757" t="s">
        <v>1463</v>
      </c>
      <c r="AM757" t="s">
        <v>1464</v>
      </c>
      <c r="AN757" t="s">
        <v>1465</v>
      </c>
      <c r="AO757" t="s">
        <v>10461</v>
      </c>
      <c r="AP757" t="s">
        <v>10462</v>
      </c>
      <c r="AQ757" t="s">
        <v>74</v>
      </c>
      <c r="AR757" t="s">
        <v>10449</v>
      </c>
      <c r="AS757" t="s">
        <v>10463</v>
      </c>
      <c r="AT757" t="s">
        <v>74</v>
      </c>
      <c r="AU757">
        <v>2014</v>
      </c>
      <c r="AV757">
        <v>8</v>
      </c>
      <c r="AW757">
        <v>2</v>
      </c>
      <c r="AX757" t="s">
        <v>74</v>
      </c>
      <c r="AY757" t="s">
        <v>74</v>
      </c>
      <c r="AZ757" t="s">
        <v>74</v>
      </c>
      <c r="BA757" t="s">
        <v>74</v>
      </c>
      <c r="BB757">
        <v>453</v>
      </c>
      <c r="BC757">
        <v>470</v>
      </c>
      <c r="BD757" t="s">
        <v>74</v>
      </c>
      <c r="BE757" t="s">
        <v>14063</v>
      </c>
      <c r="BF757" t="str">
        <f>HYPERLINK("http://dx.doi.org/10.5194/tc-8-453-2014","http://dx.doi.org/10.5194/tc-8-453-2014")</f>
        <v>http://dx.doi.org/10.5194/tc-8-453-2014</v>
      </c>
      <c r="BG757" t="s">
        <v>74</v>
      </c>
      <c r="BH757" t="s">
        <v>74</v>
      </c>
      <c r="BI757">
        <v>18</v>
      </c>
      <c r="BJ757" t="s">
        <v>1415</v>
      </c>
      <c r="BK757" t="s">
        <v>101</v>
      </c>
      <c r="BL757" t="s">
        <v>1416</v>
      </c>
      <c r="BM757" t="s">
        <v>14048</v>
      </c>
      <c r="BN757" t="s">
        <v>74</v>
      </c>
      <c r="BO757" t="s">
        <v>2178</v>
      </c>
      <c r="BP757" t="s">
        <v>74</v>
      </c>
      <c r="BQ757" t="s">
        <v>74</v>
      </c>
      <c r="BR757" t="s">
        <v>104</v>
      </c>
      <c r="BS757" t="s">
        <v>14064</v>
      </c>
      <c r="BT757" t="str">
        <f>HYPERLINK("https%3A%2F%2Fwww.webofscience.com%2Fwos%2Fwoscc%2Ffull-record%2FWOS:000335377200009","View Full Record in Web of Science")</f>
        <v>View Full Record in Web of Science</v>
      </c>
    </row>
    <row r="758" spans="1:72" x14ac:dyDescent="0.15">
      <c r="A758" t="s">
        <v>72</v>
      </c>
      <c r="B758" t="s">
        <v>14065</v>
      </c>
      <c r="C758" t="s">
        <v>74</v>
      </c>
      <c r="D758" t="s">
        <v>74</v>
      </c>
      <c r="E758" t="s">
        <v>74</v>
      </c>
      <c r="F758" t="s">
        <v>14066</v>
      </c>
      <c r="G758" t="s">
        <v>74</v>
      </c>
      <c r="H758" t="s">
        <v>74</v>
      </c>
      <c r="I758" t="s">
        <v>14067</v>
      </c>
      <c r="J758" t="s">
        <v>10449</v>
      </c>
      <c r="K758" t="s">
        <v>74</v>
      </c>
      <c r="L758" t="s">
        <v>74</v>
      </c>
      <c r="M758" t="s">
        <v>78</v>
      </c>
      <c r="N758" t="s">
        <v>79</v>
      </c>
      <c r="O758" t="s">
        <v>74</v>
      </c>
      <c r="P758" t="s">
        <v>74</v>
      </c>
      <c r="Q758" t="s">
        <v>74</v>
      </c>
      <c r="R758" t="s">
        <v>74</v>
      </c>
      <c r="S758" t="s">
        <v>74</v>
      </c>
      <c r="T758" t="s">
        <v>74</v>
      </c>
      <c r="U758" t="s">
        <v>14068</v>
      </c>
      <c r="V758" t="s">
        <v>14069</v>
      </c>
      <c r="W758" t="s">
        <v>14070</v>
      </c>
      <c r="X758" t="s">
        <v>14071</v>
      </c>
      <c r="Y758" t="s">
        <v>14072</v>
      </c>
      <c r="Z758" t="s">
        <v>14073</v>
      </c>
      <c r="AA758" t="s">
        <v>14074</v>
      </c>
      <c r="AB758" t="s">
        <v>14075</v>
      </c>
      <c r="AC758" t="s">
        <v>14076</v>
      </c>
      <c r="AD758" t="s">
        <v>14077</v>
      </c>
      <c r="AE758" t="s">
        <v>14078</v>
      </c>
      <c r="AF758" t="s">
        <v>74</v>
      </c>
      <c r="AG758">
        <v>83</v>
      </c>
      <c r="AH758">
        <v>27</v>
      </c>
      <c r="AI758">
        <v>31</v>
      </c>
      <c r="AJ758">
        <v>1</v>
      </c>
      <c r="AK758">
        <v>22</v>
      </c>
      <c r="AL758" t="s">
        <v>1463</v>
      </c>
      <c r="AM758" t="s">
        <v>1464</v>
      </c>
      <c r="AN758" t="s">
        <v>1465</v>
      </c>
      <c r="AO758" t="s">
        <v>10461</v>
      </c>
      <c r="AP758" t="s">
        <v>10462</v>
      </c>
      <c r="AQ758" t="s">
        <v>74</v>
      </c>
      <c r="AR758" t="s">
        <v>10449</v>
      </c>
      <c r="AS758" t="s">
        <v>10463</v>
      </c>
      <c r="AT758" t="s">
        <v>74</v>
      </c>
      <c r="AU758">
        <v>2014</v>
      </c>
      <c r="AV758">
        <v>8</v>
      </c>
      <c r="AW758">
        <v>2</v>
      </c>
      <c r="AX758" t="s">
        <v>74</v>
      </c>
      <c r="AY758" t="s">
        <v>74</v>
      </c>
      <c r="AZ758" t="s">
        <v>74</v>
      </c>
      <c r="BA758" t="s">
        <v>74</v>
      </c>
      <c r="BB758">
        <v>587</v>
      </c>
      <c r="BC758">
        <v>605</v>
      </c>
      <c r="BD758" t="s">
        <v>74</v>
      </c>
      <c r="BE758" t="s">
        <v>14079</v>
      </c>
      <c r="BF758" t="str">
        <f>HYPERLINK("http://dx.doi.org/10.5194/tc-8-587-2014","http://dx.doi.org/10.5194/tc-8-587-2014")</f>
        <v>http://dx.doi.org/10.5194/tc-8-587-2014</v>
      </c>
      <c r="BG758" t="s">
        <v>74</v>
      </c>
      <c r="BH758" t="s">
        <v>74</v>
      </c>
      <c r="BI758">
        <v>19</v>
      </c>
      <c r="BJ758" t="s">
        <v>1415</v>
      </c>
      <c r="BK758" t="s">
        <v>101</v>
      </c>
      <c r="BL758" t="s">
        <v>1416</v>
      </c>
      <c r="BM758" t="s">
        <v>14048</v>
      </c>
      <c r="BN758" t="s">
        <v>74</v>
      </c>
      <c r="BO758" t="s">
        <v>6156</v>
      </c>
      <c r="BP758" t="s">
        <v>74</v>
      </c>
      <c r="BQ758" t="s">
        <v>74</v>
      </c>
      <c r="BR758" t="s">
        <v>104</v>
      </c>
      <c r="BS758" t="s">
        <v>14080</v>
      </c>
      <c r="BT758" t="str">
        <f>HYPERLINK("https%3A%2F%2Fwww.webofscience.com%2Fwos%2Fwoscc%2Ffull-record%2FWOS:000335377200018","View Full Record in Web of Science")</f>
        <v>View Full Record in Web of Science</v>
      </c>
    </row>
    <row r="759" spans="1:72" x14ac:dyDescent="0.15">
      <c r="A759" t="s">
        <v>72</v>
      </c>
      <c r="B759" t="s">
        <v>14081</v>
      </c>
      <c r="C759" t="s">
        <v>74</v>
      </c>
      <c r="D759" t="s">
        <v>74</v>
      </c>
      <c r="E759" t="s">
        <v>74</v>
      </c>
      <c r="F759" t="s">
        <v>14082</v>
      </c>
      <c r="G759" t="s">
        <v>74</v>
      </c>
      <c r="H759" t="s">
        <v>74</v>
      </c>
      <c r="I759" t="s">
        <v>14083</v>
      </c>
      <c r="J759" t="s">
        <v>10449</v>
      </c>
      <c r="K759" t="s">
        <v>74</v>
      </c>
      <c r="L759" t="s">
        <v>74</v>
      </c>
      <c r="M759" t="s">
        <v>78</v>
      </c>
      <c r="N759" t="s">
        <v>79</v>
      </c>
      <c r="O759" t="s">
        <v>74</v>
      </c>
      <c r="P759" t="s">
        <v>74</v>
      </c>
      <c r="Q759" t="s">
        <v>74</v>
      </c>
      <c r="R759" t="s">
        <v>74</v>
      </c>
      <c r="S759" t="s">
        <v>74</v>
      </c>
      <c r="T759" t="s">
        <v>74</v>
      </c>
      <c r="U759" t="s">
        <v>14084</v>
      </c>
      <c r="V759" t="s">
        <v>14085</v>
      </c>
      <c r="W759" t="s">
        <v>14086</v>
      </c>
      <c r="X759" t="s">
        <v>14087</v>
      </c>
      <c r="Y759" t="s">
        <v>14088</v>
      </c>
      <c r="Z759" t="s">
        <v>14089</v>
      </c>
      <c r="AA759" t="s">
        <v>14090</v>
      </c>
      <c r="AB759" t="s">
        <v>14091</v>
      </c>
      <c r="AC759" t="s">
        <v>14092</v>
      </c>
      <c r="AD759" t="s">
        <v>14093</v>
      </c>
      <c r="AE759" t="s">
        <v>14094</v>
      </c>
      <c r="AF759" t="s">
        <v>74</v>
      </c>
      <c r="AG759">
        <v>54</v>
      </c>
      <c r="AH759">
        <v>26</v>
      </c>
      <c r="AI759">
        <v>30</v>
      </c>
      <c r="AJ759">
        <v>0</v>
      </c>
      <c r="AK759">
        <v>15</v>
      </c>
      <c r="AL759" t="s">
        <v>1463</v>
      </c>
      <c r="AM759" t="s">
        <v>1464</v>
      </c>
      <c r="AN759" t="s">
        <v>1465</v>
      </c>
      <c r="AO759" t="s">
        <v>10461</v>
      </c>
      <c r="AP759" t="s">
        <v>10462</v>
      </c>
      <c r="AQ759" t="s">
        <v>74</v>
      </c>
      <c r="AR759" t="s">
        <v>10449</v>
      </c>
      <c r="AS759" t="s">
        <v>10463</v>
      </c>
      <c r="AT759" t="s">
        <v>74</v>
      </c>
      <c r="AU759">
        <v>2014</v>
      </c>
      <c r="AV759">
        <v>8</v>
      </c>
      <c r="AW759">
        <v>2</v>
      </c>
      <c r="AX759" t="s">
        <v>74</v>
      </c>
      <c r="AY759" t="s">
        <v>74</v>
      </c>
      <c r="AZ759" t="s">
        <v>74</v>
      </c>
      <c r="BA759" t="s">
        <v>74</v>
      </c>
      <c r="BB759">
        <v>673</v>
      </c>
      <c r="BC759">
        <v>687</v>
      </c>
      <c r="BD759" t="s">
        <v>74</v>
      </c>
      <c r="BE759" t="s">
        <v>14095</v>
      </c>
      <c r="BF759" t="str">
        <f>HYPERLINK("http://dx.doi.org/10.5194/tc-8-673-2014","http://dx.doi.org/10.5194/tc-8-673-2014")</f>
        <v>http://dx.doi.org/10.5194/tc-8-673-2014</v>
      </c>
      <c r="BG759" t="s">
        <v>74</v>
      </c>
      <c r="BH759" t="s">
        <v>74</v>
      </c>
      <c r="BI759">
        <v>15</v>
      </c>
      <c r="BJ759" t="s">
        <v>1415</v>
      </c>
      <c r="BK759" t="s">
        <v>101</v>
      </c>
      <c r="BL759" t="s">
        <v>1416</v>
      </c>
      <c r="BM759" t="s">
        <v>14048</v>
      </c>
      <c r="BN759" t="s">
        <v>74</v>
      </c>
      <c r="BO759" t="s">
        <v>9228</v>
      </c>
      <c r="BP759" t="s">
        <v>74</v>
      </c>
      <c r="BQ759" t="s">
        <v>74</v>
      </c>
      <c r="BR759" t="s">
        <v>104</v>
      </c>
      <c r="BS759" t="s">
        <v>14096</v>
      </c>
      <c r="BT759" t="str">
        <f>HYPERLINK("https%3A%2F%2Fwww.webofscience.com%2Fwos%2Fwoscc%2Ffull-record%2FWOS:000335377200024","View Full Record in Web of Science")</f>
        <v>View Full Record in Web of Science</v>
      </c>
    </row>
    <row r="760" spans="1:72" x14ac:dyDescent="0.15">
      <c r="A760" t="s">
        <v>72</v>
      </c>
      <c r="B760" t="s">
        <v>14097</v>
      </c>
      <c r="C760" t="s">
        <v>74</v>
      </c>
      <c r="D760" t="s">
        <v>74</v>
      </c>
      <c r="E760" t="s">
        <v>74</v>
      </c>
      <c r="F760" t="s">
        <v>14098</v>
      </c>
      <c r="G760" t="s">
        <v>74</v>
      </c>
      <c r="H760" t="s">
        <v>74</v>
      </c>
      <c r="I760" t="s">
        <v>14099</v>
      </c>
      <c r="J760" t="s">
        <v>14100</v>
      </c>
      <c r="K760" t="s">
        <v>74</v>
      </c>
      <c r="L760" t="s">
        <v>74</v>
      </c>
      <c r="M760" t="s">
        <v>78</v>
      </c>
      <c r="N760" t="s">
        <v>79</v>
      </c>
      <c r="O760" t="s">
        <v>74</v>
      </c>
      <c r="P760" t="s">
        <v>74</v>
      </c>
      <c r="Q760" t="s">
        <v>74</v>
      </c>
      <c r="R760" t="s">
        <v>74</v>
      </c>
      <c r="S760" t="s">
        <v>74</v>
      </c>
      <c r="T760" t="s">
        <v>74</v>
      </c>
      <c r="U760" t="s">
        <v>14101</v>
      </c>
      <c r="V760" t="s">
        <v>14102</v>
      </c>
      <c r="W760" t="s">
        <v>14103</v>
      </c>
      <c r="X760" t="s">
        <v>14104</v>
      </c>
      <c r="Y760" t="s">
        <v>14105</v>
      </c>
      <c r="Z760" t="s">
        <v>14106</v>
      </c>
      <c r="AA760" t="s">
        <v>14107</v>
      </c>
      <c r="AB760" t="s">
        <v>14108</v>
      </c>
      <c r="AC760" t="s">
        <v>14109</v>
      </c>
      <c r="AD760" t="s">
        <v>14110</v>
      </c>
      <c r="AE760" t="s">
        <v>14111</v>
      </c>
      <c r="AF760" t="s">
        <v>74</v>
      </c>
      <c r="AG760">
        <v>76</v>
      </c>
      <c r="AH760">
        <v>38</v>
      </c>
      <c r="AI760">
        <v>40</v>
      </c>
      <c r="AJ760">
        <v>0</v>
      </c>
      <c r="AK760">
        <v>73</v>
      </c>
      <c r="AL760" t="s">
        <v>11943</v>
      </c>
      <c r="AM760" t="s">
        <v>1948</v>
      </c>
      <c r="AN760" t="s">
        <v>11944</v>
      </c>
      <c r="AO760" t="s">
        <v>14112</v>
      </c>
      <c r="AP760" t="s">
        <v>14113</v>
      </c>
      <c r="AQ760" t="s">
        <v>74</v>
      </c>
      <c r="AR760" t="s">
        <v>14114</v>
      </c>
      <c r="AS760" t="s">
        <v>14115</v>
      </c>
      <c r="AT760" t="s">
        <v>74</v>
      </c>
      <c r="AU760">
        <v>2014</v>
      </c>
      <c r="AV760">
        <v>6</v>
      </c>
      <c r="AW760">
        <v>9</v>
      </c>
      <c r="AX760" t="s">
        <v>74</v>
      </c>
      <c r="AY760" t="s">
        <v>74</v>
      </c>
      <c r="AZ760" t="s">
        <v>74</v>
      </c>
      <c r="BA760" t="s">
        <v>74</v>
      </c>
      <c r="BB760">
        <v>2837</v>
      </c>
      <c r="BC760">
        <v>2847</v>
      </c>
      <c r="BD760" t="s">
        <v>74</v>
      </c>
      <c r="BE760" t="s">
        <v>14116</v>
      </c>
      <c r="BF760" t="str">
        <f>HYPERLINK("http://dx.doi.org/10.1039/c3ay41312h","http://dx.doi.org/10.1039/c3ay41312h")</f>
        <v>http://dx.doi.org/10.1039/c3ay41312h</v>
      </c>
      <c r="BG760" t="s">
        <v>74</v>
      </c>
      <c r="BH760" t="s">
        <v>74</v>
      </c>
      <c r="BI760">
        <v>11</v>
      </c>
      <c r="BJ760" t="s">
        <v>14117</v>
      </c>
      <c r="BK760" t="s">
        <v>101</v>
      </c>
      <c r="BL760" t="s">
        <v>14118</v>
      </c>
      <c r="BM760" t="s">
        <v>14119</v>
      </c>
      <c r="BN760" t="s">
        <v>74</v>
      </c>
      <c r="BO760" t="s">
        <v>252</v>
      </c>
      <c r="BP760" t="s">
        <v>74</v>
      </c>
      <c r="BQ760" t="s">
        <v>74</v>
      </c>
      <c r="BR760" t="s">
        <v>104</v>
      </c>
      <c r="BS760" t="s">
        <v>14120</v>
      </c>
      <c r="BT760" t="str">
        <f>HYPERLINK("https%3A%2F%2Fwww.webofscience.com%2Fwos%2Fwoscc%2Ffull-record%2FWOS:000334736500003","View Full Record in Web of Science")</f>
        <v>View Full Record in Web of Science</v>
      </c>
    </row>
    <row r="761" spans="1:72" x14ac:dyDescent="0.15">
      <c r="A761" t="s">
        <v>72</v>
      </c>
      <c r="B761" t="s">
        <v>14121</v>
      </c>
      <c r="C761" t="s">
        <v>74</v>
      </c>
      <c r="D761" t="s">
        <v>74</v>
      </c>
      <c r="E761" t="s">
        <v>74</v>
      </c>
      <c r="F761" t="s">
        <v>14122</v>
      </c>
      <c r="G761" t="s">
        <v>74</v>
      </c>
      <c r="H761" t="s">
        <v>74</v>
      </c>
      <c r="I761" t="s">
        <v>14123</v>
      </c>
      <c r="J761" t="s">
        <v>11283</v>
      </c>
      <c r="K761" t="s">
        <v>74</v>
      </c>
      <c r="L761" t="s">
        <v>74</v>
      </c>
      <c r="M761" t="s">
        <v>78</v>
      </c>
      <c r="N761" t="s">
        <v>79</v>
      </c>
      <c r="O761" t="s">
        <v>74</v>
      </c>
      <c r="P761" t="s">
        <v>74</v>
      </c>
      <c r="Q761" t="s">
        <v>74</v>
      </c>
      <c r="R761" t="s">
        <v>74</v>
      </c>
      <c r="S761" t="s">
        <v>74</v>
      </c>
      <c r="T761" t="s">
        <v>74</v>
      </c>
      <c r="U761" t="s">
        <v>14124</v>
      </c>
      <c r="V761" t="s">
        <v>14125</v>
      </c>
      <c r="W761" t="s">
        <v>14126</v>
      </c>
      <c r="X761" t="s">
        <v>14127</v>
      </c>
      <c r="Y761" t="s">
        <v>14128</v>
      </c>
      <c r="Z761" t="s">
        <v>14129</v>
      </c>
      <c r="AA761" t="s">
        <v>14130</v>
      </c>
      <c r="AB761" t="s">
        <v>14131</v>
      </c>
      <c r="AC761" t="s">
        <v>74</v>
      </c>
      <c r="AD761" t="s">
        <v>74</v>
      </c>
      <c r="AE761" t="s">
        <v>74</v>
      </c>
      <c r="AF761" t="s">
        <v>74</v>
      </c>
      <c r="AG761">
        <v>44</v>
      </c>
      <c r="AH761">
        <v>37</v>
      </c>
      <c r="AI761">
        <v>37</v>
      </c>
      <c r="AJ761">
        <v>2</v>
      </c>
      <c r="AK761">
        <v>37</v>
      </c>
      <c r="AL761" t="s">
        <v>1463</v>
      </c>
      <c r="AM761" t="s">
        <v>1464</v>
      </c>
      <c r="AN761" t="s">
        <v>1465</v>
      </c>
      <c r="AO761" t="s">
        <v>11295</v>
      </c>
      <c r="AP761" t="s">
        <v>11296</v>
      </c>
      <c r="AQ761" t="s">
        <v>74</v>
      </c>
      <c r="AR761" t="s">
        <v>11297</v>
      </c>
      <c r="AS761" t="s">
        <v>11298</v>
      </c>
      <c r="AT761" t="s">
        <v>74</v>
      </c>
      <c r="AU761">
        <v>2014</v>
      </c>
      <c r="AV761">
        <v>14</v>
      </c>
      <c r="AW761">
        <v>6</v>
      </c>
      <c r="AX761" t="s">
        <v>74</v>
      </c>
      <c r="AY761" t="s">
        <v>74</v>
      </c>
      <c r="AZ761" t="s">
        <v>74</v>
      </c>
      <c r="BA761" t="s">
        <v>74</v>
      </c>
      <c r="BB761">
        <v>2757</v>
      </c>
      <c r="BC761">
        <v>2776</v>
      </c>
      <c r="BD761" t="s">
        <v>74</v>
      </c>
      <c r="BE761" t="s">
        <v>14132</v>
      </c>
      <c r="BF761" t="str">
        <f>HYPERLINK("http://dx.doi.org/10.5194/acp-14-2757-2014","http://dx.doi.org/10.5194/acp-14-2757-2014")</f>
        <v>http://dx.doi.org/10.5194/acp-14-2757-2014</v>
      </c>
      <c r="BG761" t="s">
        <v>74</v>
      </c>
      <c r="BH761" t="s">
        <v>74</v>
      </c>
      <c r="BI761">
        <v>20</v>
      </c>
      <c r="BJ761" t="s">
        <v>3817</v>
      </c>
      <c r="BK761" t="s">
        <v>101</v>
      </c>
      <c r="BL761" t="s">
        <v>1081</v>
      </c>
      <c r="BM761" t="s">
        <v>14133</v>
      </c>
      <c r="BN761" t="s">
        <v>74</v>
      </c>
      <c r="BO761" t="s">
        <v>9228</v>
      </c>
      <c r="BP761" t="s">
        <v>74</v>
      </c>
      <c r="BQ761" t="s">
        <v>74</v>
      </c>
      <c r="BR761" t="s">
        <v>104</v>
      </c>
      <c r="BS761" t="s">
        <v>14134</v>
      </c>
      <c r="BT761" t="str">
        <f>HYPERLINK("https%3A%2F%2Fwww.webofscience.com%2Fwos%2Fwoscc%2Ffull-record%2FWOS:000334104700002","View Full Record in Web of Science")</f>
        <v>View Full Record in Web of Science</v>
      </c>
    </row>
    <row r="762" spans="1:72" x14ac:dyDescent="0.15">
      <c r="A762" t="s">
        <v>72</v>
      </c>
      <c r="B762" t="s">
        <v>14135</v>
      </c>
      <c r="C762" t="s">
        <v>74</v>
      </c>
      <c r="D762" t="s">
        <v>74</v>
      </c>
      <c r="E762" t="s">
        <v>74</v>
      </c>
      <c r="F762" t="s">
        <v>14136</v>
      </c>
      <c r="G762" t="s">
        <v>74</v>
      </c>
      <c r="H762" t="s">
        <v>74</v>
      </c>
      <c r="I762" t="s">
        <v>14137</v>
      </c>
      <c r="J762" t="s">
        <v>11283</v>
      </c>
      <c r="K762" t="s">
        <v>74</v>
      </c>
      <c r="L762" t="s">
        <v>74</v>
      </c>
      <c r="M762" t="s">
        <v>78</v>
      </c>
      <c r="N762" t="s">
        <v>79</v>
      </c>
      <c r="O762" t="s">
        <v>74</v>
      </c>
      <c r="P762" t="s">
        <v>74</v>
      </c>
      <c r="Q762" t="s">
        <v>74</v>
      </c>
      <c r="R762" t="s">
        <v>74</v>
      </c>
      <c r="S762" t="s">
        <v>74</v>
      </c>
      <c r="T762" t="s">
        <v>74</v>
      </c>
      <c r="U762" t="s">
        <v>14138</v>
      </c>
      <c r="V762" t="s">
        <v>14139</v>
      </c>
      <c r="W762" t="s">
        <v>14140</v>
      </c>
      <c r="X762" t="s">
        <v>14141</v>
      </c>
      <c r="Y762" t="s">
        <v>14142</v>
      </c>
      <c r="Z762" t="s">
        <v>14143</v>
      </c>
      <c r="AA762" t="s">
        <v>14144</v>
      </c>
      <c r="AB762" t="s">
        <v>14145</v>
      </c>
      <c r="AC762" t="s">
        <v>14146</v>
      </c>
      <c r="AD762" t="s">
        <v>14147</v>
      </c>
      <c r="AE762" t="s">
        <v>14148</v>
      </c>
      <c r="AF762" t="s">
        <v>74</v>
      </c>
      <c r="AG762">
        <v>97</v>
      </c>
      <c r="AH762">
        <v>21</v>
      </c>
      <c r="AI762">
        <v>26</v>
      </c>
      <c r="AJ762">
        <v>0</v>
      </c>
      <c r="AK762">
        <v>21</v>
      </c>
      <c r="AL762" t="s">
        <v>1463</v>
      </c>
      <c r="AM762" t="s">
        <v>1464</v>
      </c>
      <c r="AN762" t="s">
        <v>1465</v>
      </c>
      <c r="AO762" t="s">
        <v>11295</v>
      </c>
      <c r="AP762" t="s">
        <v>11296</v>
      </c>
      <c r="AQ762" t="s">
        <v>74</v>
      </c>
      <c r="AR762" t="s">
        <v>11297</v>
      </c>
      <c r="AS762" t="s">
        <v>11298</v>
      </c>
      <c r="AT762" t="s">
        <v>74</v>
      </c>
      <c r="AU762">
        <v>2014</v>
      </c>
      <c r="AV762">
        <v>14</v>
      </c>
      <c r="AW762">
        <v>7</v>
      </c>
      <c r="AX762" t="s">
        <v>74</v>
      </c>
      <c r="AY762" t="s">
        <v>74</v>
      </c>
      <c r="AZ762" t="s">
        <v>74</v>
      </c>
      <c r="BA762" t="s">
        <v>74</v>
      </c>
      <c r="BB762">
        <v>3247</v>
      </c>
      <c r="BC762">
        <v>3276</v>
      </c>
      <c r="BD762" t="s">
        <v>74</v>
      </c>
      <c r="BE762" t="s">
        <v>14149</v>
      </c>
      <c r="BF762" t="str">
        <f>HYPERLINK("http://dx.doi.org/10.5194/acp-14-3247-2014","http://dx.doi.org/10.5194/acp-14-3247-2014")</f>
        <v>http://dx.doi.org/10.5194/acp-14-3247-2014</v>
      </c>
      <c r="BG762" t="s">
        <v>74</v>
      </c>
      <c r="BH762" t="s">
        <v>74</v>
      </c>
      <c r="BI762">
        <v>30</v>
      </c>
      <c r="BJ762" t="s">
        <v>3817</v>
      </c>
      <c r="BK762" t="s">
        <v>101</v>
      </c>
      <c r="BL762" t="s">
        <v>1081</v>
      </c>
      <c r="BM762" t="s">
        <v>14150</v>
      </c>
      <c r="BN762" t="s">
        <v>74</v>
      </c>
      <c r="BO762" t="s">
        <v>1933</v>
      </c>
      <c r="BP762" t="s">
        <v>74</v>
      </c>
      <c r="BQ762" t="s">
        <v>74</v>
      </c>
      <c r="BR762" t="s">
        <v>104</v>
      </c>
      <c r="BS762" t="s">
        <v>14151</v>
      </c>
      <c r="BT762" t="str">
        <f>HYPERLINK("https%3A%2F%2Fwww.webofscience.com%2Fwos%2Fwoscc%2Ffull-record%2FWOS:000334608400006","View Full Record in Web of Science")</f>
        <v>View Full Record in Web of Science</v>
      </c>
    </row>
    <row r="763" spans="1:72" x14ac:dyDescent="0.15">
      <c r="A763" t="s">
        <v>72</v>
      </c>
      <c r="B763" t="s">
        <v>14152</v>
      </c>
      <c r="C763" t="s">
        <v>74</v>
      </c>
      <c r="D763" t="s">
        <v>74</v>
      </c>
      <c r="E763" t="s">
        <v>74</v>
      </c>
      <c r="F763" t="s">
        <v>14153</v>
      </c>
      <c r="G763" t="s">
        <v>74</v>
      </c>
      <c r="H763" t="s">
        <v>74</v>
      </c>
      <c r="I763" t="s">
        <v>14154</v>
      </c>
      <c r="J763" t="s">
        <v>11305</v>
      </c>
      <c r="K763" t="s">
        <v>74</v>
      </c>
      <c r="L763" t="s">
        <v>74</v>
      </c>
      <c r="M763" t="s">
        <v>78</v>
      </c>
      <c r="N763" t="s">
        <v>79</v>
      </c>
      <c r="O763" t="s">
        <v>74</v>
      </c>
      <c r="P763" t="s">
        <v>74</v>
      </c>
      <c r="Q763" t="s">
        <v>74</v>
      </c>
      <c r="R763" t="s">
        <v>74</v>
      </c>
      <c r="S763" t="s">
        <v>74</v>
      </c>
      <c r="T763" t="s">
        <v>74</v>
      </c>
      <c r="U763" t="s">
        <v>14155</v>
      </c>
      <c r="V763" t="s">
        <v>14156</v>
      </c>
      <c r="W763" t="s">
        <v>14157</v>
      </c>
      <c r="X763" t="s">
        <v>14158</v>
      </c>
      <c r="Y763" t="s">
        <v>14159</v>
      </c>
      <c r="Z763" t="s">
        <v>14160</v>
      </c>
      <c r="AA763" t="s">
        <v>14161</v>
      </c>
      <c r="AB763" t="s">
        <v>14162</v>
      </c>
      <c r="AC763" t="s">
        <v>14163</v>
      </c>
      <c r="AD763" t="s">
        <v>14163</v>
      </c>
      <c r="AE763" t="s">
        <v>14164</v>
      </c>
      <c r="AF763" t="s">
        <v>74</v>
      </c>
      <c r="AG763">
        <v>60</v>
      </c>
      <c r="AH763">
        <v>30</v>
      </c>
      <c r="AI763">
        <v>31</v>
      </c>
      <c r="AJ763">
        <v>3</v>
      </c>
      <c r="AK763">
        <v>40</v>
      </c>
      <c r="AL763" t="s">
        <v>1463</v>
      </c>
      <c r="AM763" t="s">
        <v>1464</v>
      </c>
      <c r="AN763" t="s">
        <v>1465</v>
      </c>
      <c r="AO763" t="s">
        <v>11316</v>
      </c>
      <c r="AP763" t="s">
        <v>11317</v>
      </c>
      <c r="AQ763" t="s">
        <v>74</v>
      </c>
      <c r="AR763" t="s">
        <v>11305</v>
      </c>
      <c r="AS763" t="s">
        <v>11318</v>
      </c>
      <c r="AT763" t="s">
        <v>74</v>
      </c>
      <c r="AU763">
        <v>2014</v>
      </c>
      <c r="AV763">
        <v>11</v>
      </c>
      <c r="AW763">
        <v>7</v>
      </c>
      <c r="AX763" t="s">
        <v>74</v>
      </c>
      <c r="AY763" t="s">
        <v>74</v>
      </c>
      <c r="AZ763" t="s">
        <v>74</v>
      </c>
      <c r="BA763" t="s">
        <v>74</v>
      </c>
      <c r="BB763">
        <v>1759</v>
      </c>
      <c r="BC763">
        <v>1773</v>
      </c>
      <c r="BD763" t="s">
        <v>74</v>
      </c>
      <c r="BE763" t="s">
        <v>14165</v>
      </c>
      <c r="BF763" t="str">
        <f>HYPERLINK("http://dx.doi.org/10.5194/bg-11-1759-2014","http://dx.doi.org/10.5194/bg-11-1759-2014")</f>
        <v>http://dx.doi.org/10.5194/bg-11-1759-2014</v>
      </c>
      <c r="BG763" t="s">
        <v>74</v>
      </c>
      <c r="BH763" t="s">
        <v>74</v>
      </c>
      <c r="BI763">
        <v>15</v>
      </c>
      <c r="BJ763" t="s">
        <v>2923</v>
      </c>
      <c r="BK763" t="s">
        <v>101</v>
      </c>
      <c r="BL763" t="s">
        <v>357</v>
      </c>
      <c r="BM763" t="s">
        <v>14166</v>
      </c>
      <c r="BN763" t="s">
        <v>74</v>
      </c>
      <c r="BO763" t="s">
        <v>6156</v>
      </c>
      <c r="BP763" t="s">
        <v>74</v>
      </c>
      <c r="BQ763" t="s">
        <v>74</v>
      </c>
      <c r="BR763" t="s">
        <v>104</v>
      </c>
      <c r="BS763" t="s">
        <v>14167</v>
      </c>
      <c r="BT763" t="str">
        <f>HYPERLINK("https%3A%2F%2Fwww.webofscience.com%2Fwos%2Fwoscc%2Ffull-record%2FWOS:000334609000007","View Full Record in Web of Science")</f>
        <v>View Full Record in Web of Science</v>
      </c>
    </row>
    <row r="764" spans="1:72" x14ac:dyDescent="0.15">
      <c r="A764" t="s">
        <v>72</v>
      </c>
      <c r="B764" t="s">
        <v>14168</v>
      </c>
      <c r="C764" t="s">
        <v>74</v>
      </c>
      <c r="D764" t="s">
        <v>74</v>
      </c>
      <c r="E764" t="s">
        <v>74</v>
      </c>
      <c r="F764" t="s">
        <v>14169</v>
      </c>
      <c r="G764" t="s">
        <v>74</v>
      </c>
      <c r="H764" t="s">
        <v>74</v>
      </c>
      <c r="I764" t="s">
        <v>14170</v>
      </c>
      <c r="J764" t="s">
        <v>11305</v>
      </c>
      <c r="K764" t="s">
        <v>74</v>
      </c>
      <c r="L764" t="s">
        <v>74</v>
      </c>
      <c r="M764" t="s">
        <v>78</v>
      </c>
      <c r="N764" t="s">
        <v>79</v>
      </c>
      <c r="O764" t="s">
        <v>74</v>
      </c>
      <c r="P764" t="s">
        <v>74</v>
      </c>
      <c r="Q764" t="s">
        <v>74</v>
      </c>
      <c r="R764" t="s">
        <v>74</v>
      </c>
      <c r="S764" t="s">
        <v>74</v>
      </c>
      <c r="T764" t="s">
        <v>74</v>
      </c>
      <c r="U764" t="s">
        <v>14171</v>
      </c>
      <c r="V764" t="s">
        <v>14172</v>
      </c>
      <c r="W764" t="s">
        <v>14173</v>
      </c>
      <c r="X764" t="s">
        <v>14174</v>
      </c>
      <c r="Y764" t="s">
        <v>14175</v>
      </c>
      <c r="Z764" t="s">
        <v>14176</v>
      </c>
      <c r="AA764" t="s">
        <v>14177</v>
      </c>
      <c r="AB764" t="s">
        <v>14178</v>
      </c>
      <c r="AC764" t="s">
        <v>14179</v>
      </c>
      <c r="AD764" t="s">
        <v>14180</v>
      </c>
      <c r="AE764" t="s">
        <v>14181</v>
      </c>
      <c r="AF764" t="s">
        <v>74</v>
      </c>
      <c r="AG764">
        <v>82</v>
      </c>
      <c r="AH764">
        <v>23</v>
      </c>
      <c r="AI764">
        <v>24</v>
      </c>
      <c r="AJ764">
        <v>0</v>
      </c>
      <c r="AK764">
        <v>23</v>
      </c>
      <c r="AL764" t="s">
        <v>1463</v>
      </c>
      <c r="AM764" t="s">
        <v>1464</v>
      </c>
      <c r="AN764" t="s">
        <v>1465</v>
      </c>
      <c r="AO764" t="s">
        <v>11316</v>
      </c>
      <c r="AP764" t="s">
        <v>11317</v>
      </c>
      <c r="AQ764" t="s">
        <v>74</v>
      </c>
      <c r="AR764" t="s">
        <v>11305</v>
      </c>
      <c r="AS764" t="s">
        <v>11318</v>
      </c>
      <c r="AT764" t="s">
        <v>74</v>
      </c>
      <c r="AU764">
        <v>2014</v>
      </c>
      <c r="AV764">
        <v>11</v>
      </c>
      <c r="AW764">
        <v>7</v>
      </c>
      <c r="AX764" t="s">
        <v>74</v>
      </c>
      <c r="AY764" t="s">
        <v>74</v>
      </c>
      <c r="AZ764" t="s">
        <v>74</v>
      </c>
      <c r="BA764" t="s">
        <v>74</v>
      </c>
      <c r="BB764">
        <v>1981</v>
      </c>
      <c r="BC764">
        <v>2001</v>
      </c>
      <c r="BD764" t="s">
        <v>74</v>
      </c>
      <c r="BE764" t="s">
        <v>14182</v>
      </c>
      <c r="BF764" t="str">
        <f>HYPERLINK("http://dx.doi.org/10.5194/bg-11-1981-2014","http://dx.doi.org/10.5194/bg-11-1981-2014")</f>
        <v>http://dx.doi.org/10.5194/bg-11-1981-2014</v>
      </c>
      <c r="BG764" t="s">
        <v>74</v>
      </c>
      <c r="BH764" t="s">
        <v>74</v>
      </c>
      <c r="BI764">
        <v>21</v>
      </c>
      <c r="BJ764" t="s">
        <v>2923</v>
      </c>
      <c r="BK764" t="s">
        <v>101</v>
      </c>
      <c r="BL764" t="s">
        <v>357</v>
      </c>
      <c r="BM764" t="s">
        <v>14166</v>
      </c>
      <c r="BN764" t="s">
        <v>74</v>
      </c>
      <c r="BO764" t="s">
        <v>9228</v>
      </c>
      <c r="BP764" t="s">
        <v>74</v>
      </c>
      <c r="BQ764" t="s">
        <v>74</v>
      </c>
      <c r="BR764" t="s">
        <v>104</v>
      </c>
      <c r="BS764" t="s">
        <v>14183</v>
      </c>
      <c r="BT764" t="str">
        <f>HYPERLINK("https%3A%2F%2Fwww.webofscience.com%2Fwos%2Fwoscc%2Ffull-record%2FWOS:000334609000020","View Full Record in Web of Science")</f>
        <v>View Full Record in Web of Science</v>
      </c>
    </row>
    <row r="765" spans="1:72" x14ac:dyDescent="0.15">
      <c r="A765" t="s">
        <v>72</v>
      </c>
      <c r="B765" t="s">
        <v>14184</v>
      </c>
      <c r="C765" t="s">
        <v>74</v>
      </c>
      <c r="D765" t="s">
        <v>74</v>
      </c>
      <c r="E765" t="s">
        <v>74</v>
      </c>
      <c r="F765" t="s">
        <v>14185</v>
      </c>
      <c r="G765" t="s">
        <v>74</v>
      </c>
      <c r="H765" t="s">
        <v>74</v>
      </c>
      <c r="I765" t="s">
        <v>14186</v>
      </c>
      <c r="J765" t="s">
        <v>11065</v>
      </c>
      <c r="K765" t="s">
        <v>74</v>
      </c>
      <c r="L765" t="s">
        <v>74</v>
      </c>
      <c r="M765" t="s">
        <v>78</v>
      </c>
      <c r="N765" t="s">
        <v>79</v>
      </c>
      <c r="O765" t="s">
        <v>74</v>
      </c>
      <c r="P765" t="s">
        <v>74</v>
      </c>
      <c r="Q765" t="s">
        <v>74</v>
      </c>
      <c r="R765" t="s">
        <v>74</v>
      </c>
      <c r="S765" t="s">
        <v>74</v>
      </c>
      <c r="T765" t="s">
        <v>14187</v>
      </c>
      <c r="U765" t="s">
        <v>14188</v>
      </c>
      <c r="V765" t="s">
        <v>14189</v>
      </c>
      <c r="W765" t="s">
        <v>14190</v>
      </c>
      <c r="X765" t="s">
        <v>14191</v>
      </c>
      <c r="Y765" t="s">
        <v>14192</v>
      </c>
      <c r="Z765" t="s">
        <v>8761</v>
      </c>
      <c r="AA765" t="s">
        <v>14193</v>
      </c>
      <c r="AB765" t="s">
        <v>14194</v>
      </c>
      <c r="AC765" t="s">
        <v>14195</v>
      </c>
      <c r="AD765" t="s">
        <v>14196</v>
      </c>
      <c r="AE765" t="s">
        <v>14197</v>
      </c>
      <c r="AF765" t="s">
        <v>74</v>
      </c>
      <c r="AG765">
        <v>47</v>
      </c>
      <c r="AH765">
        <v>15</v>
      </c>
      <c r="AI765">
        <v>17</v>
      </c>
      <c r="AJ765">
        <v>0</v>
      </c>
      <c r="AK765">
        <v>7</v>
      </c>
      <c r="AL765" t="s">
        <v>11077</v>
      </c>
      <c r="AM765" t="s">
        <v>11078</v>
      </c>
      <c r="AN765" t="s">
        <v>11079</v>
      </c>
      <c r="AO765" t="s">
        <v>11080</v>
      </c>
      <c r="AP765" t="s">
        <v>74</v>
      </c>
      <c r="AQ765" t="s">
        <v>74</v>
      </c>
      <c r="AR765" t="s">
        <v>11065</v>
      </c>
      <c r="AS765" t="s">
        <v>11081</v>
      </c>
      <c r="AT765" t="s">
        <v>74</v>
      </c>
      <c r="AU765">
        <v>2014</v>
      </c>
      <c r="AV765">
        <v>14</v>
      </c>
      <c r="AW765">
        <v>1</v>
      </c>
      <c r="AX765" t="s">
        <v>74</v>
      </c>
      <c r="AY765" t="s">
        <v>74</v>
      </c>
      <c r="AZ765" t="s">
        <v>74</v>
      </c>
      <c r="BA765" t="s">
        <v>74</v>
      </c>
      <c r="BB765">
        <v>43</v>
      </c>
      <c r="BC765">
        <v>51</v>
      </c>
      <c r="BD765" t="s">
        <v>74</v>
      </c>
      <c r="BE765" t="s">
        <v>14198</v>
      </c>
      <c r="BF765" t="str">
        <f>HYPERLINK("http://dx.doi.org/10.5507/fot.2014.003","http://dx.doi.org/10.5507/fot.2014.003")</f>
        <v>http://dx.doi.org/10.5507/fot.2014.003</v>
      </c>
      <c r="BG765" t="s">
        <v>74</v>
      </c>
      <c r="BH765" t="s">
        <v>74</v>
      </c>
      <c r="BI765">
        <v>9</v>
      </c>
      <c r="BJ765" t="s">
        <v>181</v>
      </c>
      <c r="BK765" t="s">
        <v>101</v>
      </c>
      <c r="BL765" t="s">
        <v>181</v>
      </c>
      <c r="BM765" t="s">
        <v>14199</v>
      </c>
      <c r="BN765" t="s">
        <v>74</v>
      </c>
      <c r="BO765" t="s">
        <v>4013</v>
      </c>
      <c r="BP765" t="s">
        <v>74</v>
      </c>
      <c r="BQ765" t="s">
        <v>74</v>
      </c>
      <c r="BR765" t="s">
        <v>104</v>
      </c>
      <c r="BS765" t="s">
        <v>14200</v>
      </c>
      <c r="BT765" t="str">
        <f>HYPERLINK("https%3A%2F%2Fwww.webofscience.com%2Fwos%2Fwoscc%2Ffull-record%2FWOS:000334587400003","View Full Record in Web of Science")</f>
        <v>View Full Record in Web of Science</v>
      </c>
    </row>
    <row r="766" spans="1:72" x14ac:dyDescent="0.15">
      <c r="A766" t="s">
        <v>72</v>
      </c>
      <c r="B766" t="s">
        <v>14201</v>
      </c>
      <c r="C766" t="s">
        <v>74</v>
      </c>
      <c r="D766" t="s">
        <v>74</v>
      </c>
      <c r="E766" t="s">
        <v>74</v>
      </c>
      <c r="F766" t="s">
        <v>14202</v>
      </c>
      <c r="G766" t="s">
        <v>74</v>
      </c>
      <c r="H766" t="s">
        <v>74</v>
      </c>
      <c r="I766" t="s">
        <v>14203</v>
      </c>
      <c r="J766" t="s">
        <v>11065</v>
      </c>
      <c r="K766" t="s">
        <v>74</v>
      </c>
      <c r="L766" t="s">
        <v>74</v>
      </c>
      <c r="M766" t="s">
        <v>78</v>
      </c>
      <c r="N766" t="s">
        <v>79</v>
      </c>
      <c r="O766" t="s">
        <v>74</v>
      </c>
      <c r="P766" t="s">
        <v>74</v>
      </c>
      <c r="Q766" t="s">
        <v>74</v>
      </c>
      <c r="R766" t="s">
        <v>74</v>
      </c>
      <c r="S766" t="s">
        <v>74</v>
      </c>
      <c r="T766" t="s">
        <v>14204</v>
      </c>
      <c r="U766" t="s">
        <v>14205</v>
      </c>
      <c r="V766" t="s">
        <v>14206</v>
      </c>
      <c r="W766" t="s">
        <v>14207</v>
      </c>
      <c r="X766" t="s">
        <v>14208</v>
      </c>
      <c r="Y766" t="s">
        <v>14192</v>
      </c>
      <c r="Z766" t="s">
        <v>8761</v>
      </c>
      <c r="AA766" t="s">
        <v>74</v>
      </c>
      <c r="AB766" t="s">
        <v>74</v>
      </c>
      <c r="AC766" t="s">
        <v>14209</v>
      </c>
      <c r="AD766" t="s">
        <v>14210</v>
      </c>
      <c r="AE766" t="s">
        <v>14211</v>
      </c>
      <c r="AF766" t="s">
        <v>74</v>
      </c>
      <c r="AG766">
        <v>70</v>
      </c>
      <c r="AH766">
        <v>16</v>
      </c>
      <c r="AI766">
        <v>16</v>
      </c>
      <c r="AJ766">
        <v>1</v>
      </c>
      <c r="AK766">
        <v>13</v>
      </c>
      <c r="AL766" t="s">
        <v>11077</v>
      </c>
      <c r="AM766" t="s">
        <v>11078</v>
      </c>
      <c r="AN766" t="s">
        <v>11079</v>
      </c>
      <c r="AO766" t="s">
        <v>11080</v>
      </c>
      <c r="AP766" t="s">
        <v>74</v>
      </c>
      <c r="AQ766" t="s">
        <v>74</v>
      </c>
      <c r="AR766" t="s">
        <v>11065</v>
      </c>
      <c r="AS766" t="s">
        <v>11081</v>
      </c>
      <c r="AT766" t="s">
        <v>74</v>
      </c>
      <c r="AU766">
        <v>2014</v>
      </c>
      <c r="AV766">
        <v>14</v>
      </c>
      <c r="AW766">
        <v>1</v>
      </c>
      <c r="AX766" t="s">
        <v>74</v>
      </c>
      <c r="AY766" t="s">
        <v>74</v>
      </c>
      <c r="AZ766" t="s">
        <v>74</v>
      </c>
      <c r="BA766" t="s">
        <v>74</v>
      </c>
      <c r="BB766">
        <v>101</v>
      </c>
      <c r="BC766">
        <v>119</v>
      </c>
      <c r="BD766" t="s">
        <v>74</v>
      </c>
      <c r="BE766" t="s">
        <v>14212</v>
      </c>
      <c r="BF766" t="str">
        <f>HYPERLINK("http://dx.doi.org/10.5507/fot.2014.008","http://dx.doi.org/10.5507/fot.2014.008")</f>
        <v>http://dx.doi.org/10.5507/fot.2014.008</v>
      </c>
      <c r="BG766" t="s">
        <v>74</v>
      </c>
      <c r="BH766" t="s">
        <v>74</v>
      </c>
      <c r="BI766">
        <v>19</v>
      </c>
      <c r="BJ766" t="s">
        <v>181</v>
      </c>
      <c r="BK766" t="s">
        <v>101</v>
      </c>
      <c r="BL766" t="s">
        <v>181</v>
      </c>
      <c r="BM766" t="s">
        <v>14199</v>
      </c>
      <c r="BN766" t="s">
        <v>74</v>
      </c>
      <c r="BO766" t="s">
        <v>4942</v>
      </c>
      <c r="BP766" t="s">
        <v>74</v>
      </c>
      <c r="BQ766" t="s">
        <v>74</v>
      </c>
      <c r="BR766" t="s">
        <v>104</v>
      </c>
      <c r="BS766" t="s">
        <v>14213</v>
      </c>
      <c r="BT766" t="str">
        <f>HYPERLINK("https%3A%2F%2Fwww.webofscience.com%2Fwos%2Fwoscc%2Ffull-record%2FWOS:000334587400008","View Full Record in Web of Science")</f>
        <v>View Full Record in Web of Science</v>
      </c>
    </row>
    <row r="767" spans="1:72" x14ac:dyDescent="0.15">
      <c r="A767" t="s">
        <v>72</v>
      </c>
      <c r="B767" t="s">
        <v>14214</v>
      </c>
      <c r="C767" t="s">
        <v>74</v>
      </c>
      <c r="D767" t="s">
        <v>74</v>
      </c>
      <c r="E767" t="s">
        <v>74</v>
      </c>
      <c r="F767" t="s">
        <v>14215</v>
      </c>
      <c r="G767" t="s">
        <v>74</v>
      </c>
      <c r="H767" t="s">
        <v>74</v>
      </c>
      <c r="I767" t="s">
        <v>14216</v>
      </c>
      <c r="J767" t="s">
        <v>14217</v>
      </c>
      <c r="K767" t="s">
        <v>74</v>
      </c>
      <c r="L767" t="s">
        <v>74</v>
      </c>
      <c r="M767" t="s">
        <v>78</v>
      </c>
      <c r="N767" t="s">
        <v>79</v>
      </c>
      <c r="O767" t="s">
        <v>74</v>
      </c>
      <c r="P767" t="s">
        <v>74</v>
      </c>
      <c r="Q767" t="s">
        <v>74</v>
      </c>
      <c r="R767" t="s">
        <v>74</v>
      </c>
      <c r="S767" t="s">
        <v>74</v>
      </c>
      <c r="T767" t="s">
        <v>74</v>
      </c>
      <c r="U767" t="s">
        <v>14218</v>
      </c>
      <c r="V767" t="s">
        <v>14219</v>
      </c>
      <c r="W767" t="s">
        <v>14220</v>
      </c>
      <c r="X767" t="s">
        <v>14221</v>
      </c>
      <c r="Y767" t="s">
        <v>14222</v>
      </c>
      <c r="Z767" t="s">
        <v>14223</v>
      </c>
      <c r="AA767" t="s">
        <v>14224</v>
      </c>
      <c r="AB767" t="s">
        <v>14225</v>
      </c>
      <c r="AC767" t="s">
        <v>14226</v>
      </c>
      <c r="AD767" t="s">
        <v>14227</v>
      </c>
      <c r="AE767" t="s">
        <v>14228</v>
      </c>
      <c r="AF767" t="s">
        <v>74</v>
      </c>
      <c r="AG767">
        <v>18</v>
      </c>
      <c r="AH767">
        <v>19</v>
      </c>
      <c r="AI767">
        <v>19</v>
      </c>
      <c r="AJ767">
        <v>0</v>
      </c>
      <c r="AK767">
        <v>45</v>
      </c>
      <c r="AL767" t="s">
        <v>11943</v>
      </c>
      <c r="AM767" t="s">
        <v>1948</v>
      </c>
      <c r="AN767" t="s">
        <v>11944</v>
      </c>
      <c r="AO767" t="s">
        <v>14229</v>
      </c>
      <c r="AP767" t="s">
        <v>14230</v>
      </c>
      <c r="AQ767" t="s">
        <v>74</v>
      </c>
      <c r="AR767" t="s">
        <v>14231</v>
      </c>
      <c r="AS767" t="s">
        <v>14232</v>
      </c>
      <c r="AT767" t="s">
        <v>74</v>
      </c>
      <c r="AU767">
        <v>2014</v>
      </c>
      <c r="AV767">
        <v>29</v>
      </c>
      <c r="AW767">
        <v>5</v>
      </c>
      <c r="AX767" t="s">
        <v>74</v>
      </c>
      <c r="AY767" t="s">
        <v>74</v>
      </c>
      <c r="AZ767" t="s">
        <v>74</v>
      </c>
      <c r="BA767" t="s">
        <v>74</v>
      </c>
      <c r="BB767">
        <v>880</v>
      </c>
      <c r="BC767">
        <v>885</v>
      </c>
      <c r="BD767" t="s">
        <v>74</v>
      </c>
      <c r="BE767" t="s">
        <v>14233</v>
      </c>
      <c r="BF767" t="str">
        <f>HYPERLINK("http://dx.doi.org/10.1039/c3ja50396h","http://dx.doi.org/10.1039/c3ja50396h")</f>
        <v>http://dx.doi.org/10.1039/c3ja50396h</v>
      </c>
      <c r="BG767" t="s">
        <v>74</v>
      </c>
      <c r="BH767" t="s">
        <v>74</v>
      </c>
      <c r="BI767">
        <v>6</v>
      </c>
      <c r="BJ767" t="s">
        <v>14234</v>
      </c>
      <c r="BK767" t="s">
        <v>101</v>
      </c>
      <c r="BL767" t="s">
        <v>14235</v>
      </c>
      <c r="BM767" t="s">
        <v>14236</v>
      </c>
      <c r="BN767" t="s">
        <v>74</v>
      </c>
      <c r="BO767" t="s">
        <v>234</v>
      </c>
      <c r="BP767" t="s">
        <v>74</v>
      </c>
      <c r="BQ767" t="s">
        <v>74</v>
      </c>
      <c r="BR767" t="s">
        <v>104</v>
      </c>
      <c r="BS767" t="s">
        <v>14237</v>
      </c>
      <c r="BT767" t="str">
        <f>HYPERLINK("https%3A%2F%2Fwww.webofscience.com%2Fwos%2Fwoscc%2Ffull-record%2FWOS:000334737300011","View Full Record in Web of Science")</f>
        <v>View Full Record in Web of Science</v>
      </c>
    </row>
    <row r="768" spans="1:72" x14ac:dyDescent="0.15">
      <c r="A768" t="s">
        <v>72</v>
      </c>
      <c r="B768" t="s">
        <v>14238</v>
      </c>
      <c r="C768" t="s">
        <v>74</v>
      </c>
      <c r="D768" t="s">
        <v>74</v>
      </c>
      <c r="E768" t="s">
        <v>74</v>
      </c>
      <c r="F768" t="s">
        <v>14239</v>
      </c>
      <c r="G768" t="s">
        <v>74</v>
      </c>
      <c r="H768" t="s">
        <v>74</v>
      </c>
      <c r="I768" t="s">
        <v>14240</v>
      </c>
      <c r="J768" t="s">
        <v>10826</v>
      </c>
      <c r="K768" t="s">
        <v>74</v>
      </c>
      <c r="L768" t="s">
        <v>74</v>
      </c>
      <c r="M768" t="s">
        <v>78</v>
      </c>
      <c r="N768" t="s">
        <v>79</v>
      </c>
      <c r="O768" t="s">
        <v>74</v>
      </c>
      <c r="P768" t="s">
        <v>74</v>
      </c>
      <c r="Q768" t="s">
        <v>74</v>
      </c>
      <c r="R768" t="s">
        <v>74</v>
      </c>
      <c r="S768" t="s">
        <v>74</v>
      </c>
      <c r="T768" t="s">
        <v>14241</v>
      </c>
      <c r="U768" t="s">
        <v>14242</v>
      </c>
      <c r="V768" t="s">
        <v>14243</v>
      </c>
      <c r="W768" t="s">
        <v>14244</v>
      </c>
      <c r="X768" t="s">
        <v>14245</v>
      </c>
      <c r="Y768" t="s">
        <v>14246</v>
      </c>
      <c r="Z768" t="s">
        <v>14247</v>
      </c>
      <c r="AA768" t="s">
        <v>14248</v>
      </c>
      <c r="AB768" t="s">
        <v>14249</v>
      </c>
      <c r="AC768" t="s">
        <v>14250</v>
      </c>
      <c r="AD768" t="s">
        <v>14250</v>
      </c>
      <c r="AE768" t="s">
        <v>14251</v>
      </c>
      <c r="AF768" t="s">
        <v>74</v>
      </c>
      <c r="AG768">
        <v>89</v>
      </c>
      <c r="AH768">
        <v>4</v>
      </c>
      <c r="AI768">
        <v>4</v>
      </c>
      <c r="AJ768">
        <v>1</v>
      </c>
      <c r="AK768">
        <v>16</v>
      </c>
      <c r="AL768" t="s">
        <v>10310</v>
      </c>
      <c r="AM768" t="s">
        <v>10311</v>
      </c>
      <c r="AN768" t="s">
        <v>10312</v>
      </c>
      <c r="AO768" t="s">
        <v>10838</v>
      </c>
      <c r="AP768" t="s">
        <v>10839</v>
      </c>
      <c r="AQ768" t="s">
        <v>74</v>
      </c>
      <c r="AR768" t="s">
        <v>10840</v>
      </c>
      <c r="AS768" t="s">
        <v>10841</v>
      </c>
      <c r="AT768" t="s">
        <v>74</v>
      </c>
      <c r="AU768">
        <v>2014</v>
      </c>
      <c r="AV768">
        <v>502</v>
      </c>
      <c r="AW768" t="s">
        <v>74</v>
      </c>
      <c r="AX768" t="s">
        <v>74</v>
      </c>
      <c r="AY768" t="s">
        <v>74</v>
      </c>
      <c r="AZ768" t="s">
        <v>74</v>
      </c>
      <c r="BA768" t="s">
        <v>74</v>
      </c>
      <c r="BB768">
        <v>169</v>
      </c>
      <c r="BC768">
        <v>183</v>
      </c>
      <c r="BD768" t="s">
        <v>74</v>
      </c>
      <c r="BE768" t="s">
        <v>14252</v>
      </c>
      <c r="BF768" t="str">
        <f>HYPERLINK("http://dx.doi.org/10.3354/meps10715","http://dx.doi.org/10.3354/meps10715")</f>
        <v>http://dx.doi.org/10.3354/meps10715</v>
      </c>
      <c r="BG768" t="s">
        <v>74</v>
      </c>
      <c r="BH768" t="s">
        <v>74</v>
      </c>
      <c r="BI768">
        <v>15</v>
      </c>
      <c r="BJ768" t="s">
        <v>10843</v>
      </c>
      <c r="BK768" t="s">
        <v>101</v>
      </c>
      <c r="BL768" t="s">
        <v>10844</v>
      </c>
      <c r="BM768" t="s">
        <v>14253</v>
      </c>
      <c r="BN768" t="s">
        <v>74</v>
      </c>
      <c r="BO768" t="s">
        <v>200</v>
      </c>
      <c r="BP768" t="s">
        <v>74</v>
      </c>
      <c r="BQ768" t="s">
        <v>74</v>
      </c>
      <c r="BR768" t="s">
        <v>104</v>
      </c>
      <c r="BS768" t="s">
        <v>14254</v>
      </c>
      <c r="BT768" t="str">
        <f>HYPERLINK("https%3A%2F%2Fwww.webofscience.com%2Fwos%2Fwoscc%2Ffull-record%2FWOS:000334670700013","View Full Record in Web of Science")</f>
        <v>View Full Record in Web of Science</v>
      </c>
    </row>
    <row r="769" spans="1:72" x14ac:dyDescent="0.15">
      <c r="A769" t="s">
        <v>72</v>
      </c>
      <c r="B769" t="s">
        <v>14255</v>
      </c>
      <c r="C769" t="s">
        <v>74</v>
      </c>
      <c r="D769" t="s">
        <v>74</v>
      </c>
      <c r="E769" t="s">
        <v>74</v>
      </c>
      <c r="F769" t="s">
        <v>14256</v>
      </c>
      <c r="G769" t="s">
        <v>74</v>
      </c>
      <c r="H769" t="s">
        <v>74</v>
      </c>
      <c r="I769" t="s">
        <v>14257</v>
      </c>
      <c r="J769" t="s">
        <v>10826</v>
      </c>
      <c r="K769" t="s">
        <v>74</v>
      </c>
      <c r="L769" t="s">
        <v>74</v>
      </c>
      <c r="M769" t="s">
        <v>78</v>
      </c>
      <c r="N769" t="s">
        <v>79</v>
      </c>
      <c r="O769" t="s">
        <v>74</v>
      </c>
      <c r="P769" t="s">
        <v>74</v>
      </c>
      <c r="Q769" t="s">
        <v>74</v>
      </c>
      <c r="R769" t="s">
        <v>74</v>
      </c>
      <c r="S769" t="s">
        <v>74</v>
      </c>
      <c r="T769" t="s">
        <v>14258</v>
      </c>
      <c r="U769" t="s">
        <v>14259</v>
      </c>
      <c r="V769" t="s">
        <v>14260</v>
      </c>
      <c r="W769" t="s">
        <v>14261</v>
      </c>
      <c r="X769" t="s">
        <v>14262</v>
      </c>
      <c r="Y769" t="s">
        <v>14263</v>
      </c>
      <c r="Z769" t="s">
        <v>14264</v>
      </c>
      <c r="AA769" t="s">
        <v>14265</v>
      </c>
      <c r="AB769" t="s">
        <v>14266</v>
      </c>
      <c r="AC769" t="s">
        <v>14267</v>
      </c>
      <c r="AD769" t="s">
        <v>14268</v>
      </c>
      <c r="AE769" t="s">
        <v>14269</v>
      </c>
      <c r="AF769" t="s">
        <v>74</v>
      </c>
      <c r="AG769">
        <v>82</v>
      </c>
      <c r="AH769">
        <v>14</v>
      </c>
      <c r="AI769">
        <v>15</v>
      </c>
      <c r="AJ769">
        <v>0</v>
      </c>
      <c r="AK769">
        <v>42</v>
      </c>
      <c r="AL769" t="s">
        <v>10310</v>
      </c>
      <c r="AM769" t="s">
        <v>10311</v>
      </c>
      <c r="AN769" t="s">
        <v>10312</v>
      </c>
      <c r="AO769" t="s">
        <v>10838</v>
      </c>
      <c r="AP769" t="s">
        <v>10839</v>
      </c>
      <c r="AQ769" t="s">
        <v>74</v>
      </c>
      <c r="AR769" t="s">
        <v>10840</v>
      </c>
      <c r="AS769" t="s">
        <v>10841</v>
      </c>
      <c r="AT769" t="s">
        <v>74</v>
      </c>
      <c r="AU769">
        <v>2014</v>
      </c>
      <c r="AV769">
        <v>502</v>
      </c>
      <c r="AW769" t="s">
        <v>74</v>
      </c>
      <c r="AX769" t="s">
        <v>74</v>
      </c>
      <c r="AY769" t="s">
        <v>74</v>
      </c>
      <c r="AZ769" t="s">
        <v>74</v>
      </c>
      <c r="BA769" t="s">
        <v>74</v>
      </c>
      <c r="BB769">
        <v>281</v>
      </c>
      <c r="BC769">
        <v>294</v>
      </c>
      <c r="BD769" t="s">
        <v>74</v>
      </c>
      <c r="BE769" t="s">
        <v>14270</v>
      </c>
      <c r="BF769" t="str">
        <f>HYPERLINK("http://dx.doi.org/10.3354/meps10709","http://dx.doi.org/10.3354/meps10709")</f>
        <v>http://dx.doi.org/10.3354/meps10709</v>
      </c>
      <c r="BG769" t="s">
        <v>74</v>
      </c>
      <c r="BH769" t="s">
        <v>74</v>
      </c>
      <c r="BI769">
        <v>14</v>
      </c>
      <c r="BJ769" t="s">
        <v>10843</v>
      </c>
      <c r="BK769" t="s">
        <v>101</v>
      </c>
      <c r="BL769" t="s">
        <v>10844</v>
      </c>
      <c r="BM769" t="s">
        <v>14253</v>
      </c>
      <c r="BN769" t="s">
        <v>74</v>
      </c>
      <c r="BO769" t="s">
        <v>6867</v>
      </c>
      <c r="BP769" t="s">
        <v>74</v>
      </c>
      <c r="BQ769" t="s">
        <v>74</v>
      </c>
      <c r="BR769" t="s">
        <v>104</v>
      </c>
      <c r="BS769" t="s">
        <v>14271</v>
      </c>
      <c r="BT769" t="str">
        <f>HYPERLINK("https%3A%2F%2Fwww.webofscience.com%2Fwos%2Fwoscc%2Ffull-record%2FWOS:000334670700022","View Full Record in Web of Science")</f>
        <v>View Full Record in Web of Science</v>
      </c>
    </row>
    <row r="770" spans="1:72" x14ac:dyDescent="0.15">
      <c r="A770" t="s">
        <v>72</v>
      </c>
      <c r="B770" t="s">
        <v>14272</v>
      </c>
      <c r="C770" t="s">
        <v>74</v>
      </c>
      <c r="D770" t="s">
        <v>74</v>
      </c>
      <c r="E770" t="s">
        <v>74</v>
      </c>
      <c r="F770" t="s">
        <v>14273</v>
      </c>
      <c r="G770" t="s">
        <v>74</v>
      </c>
      <c r="H770" t="s">
        <v>74</v>
      </c>
      <c r="I770" t="s">
        <v>14274</v>
      </c>
      <c r="J770" t="s">
        <v>11283</v>
      </c>
      <c r="K770" t="s">
        <v>74</v>
      </c>
      <c r="L770" t="s">
        <v>74</v>
      </c>
      <c r="M770" t="s">
        <v>78</v>
      </c>
      <c r="N770" t="s">
        <v>79</v>
      </c>
      <c r="O770" t="s">
        <v>74</v>
      </c>
      <c r="P770" t="s">
        <v>74</v>
      </c>
      <c r="Q770" t="s">
        <v>74</v>
      </c>
      <c r="R770" t="s">
        <v>74</v>
      </c>
      <c r="S770" t="s">
        <v>74</v>
      </c>
      <c r="T770" t="s">
        <v>74</v>
      </c>
      <c r="U770" t="s">
        <v>14275</v>
      </c>
      <c r="V770" t="s">
        <v>14276</v>
      </c>
      <c r="W770" t="s">
        <v>14277</v>
      </c>
      <c r="X770" t="s">
        <v>14278</v>
      </c>
      <c r="Y770" t="s">
        <v>14279</v>
      </c>
      <c r="Z770" t="s">
        <v>14280</v>
      </c>
      <c r="AA770" t="s">
        <v>14281</v>
      </c>
      <c r="AB770" t="s">
        <v>14282</v>
      </c>
      <c r="AC770" t="s">
        <v>14283</v>
      </c>
      <c r="AD770" t="s">
        <v>14284</v>
      </c>
      <c r="AE770" t="s">
        <v>14285</v>
      </c>
      <c r="AF770" t="s">
        <v>74</v>
      </c>
      <c r="AG770">
        <v>28</v>
      </c>
      <c r="AH770">
        <v>37</v>
      </c>
      <c r="AI770">
        <v>42</v>
      </c>
      <c r="AJ770">
        <v>4</v>
      </c>
      <c r="AK770">
        <v>24</v>
      </c>
      <c r="AL770" t="s">
        <v>1463</v>
      </c>
      <c r="AM770" t="s">
        <v>1464</v>
      </c>
      <c r="AN770" t="s">
        <v>1465</v>
      </c>
      <c r="AO770" t="s">
        <v>11295</v>
      </c>
      <c r="AP770" t="s">
        <v>11296</v>
      </c>
      <c r="AQ770" t="s">
        <v>74</v>
      </c>
      <c r="AR770" t="s">
        <v>11297</v>
      </c>
      <c r="AS770" t="s">
        <v>11298</v>
      </c>
      <c r="AT770" t="s">
        <v>74</v>
      </c>
      <c r="AU770">
        <v>2014</v>
      </c>
      <c r="AV770">
        <v>14</v>
      </c>
      <c r="AW770">
        <v>5</v>
      </c>
      <c r="AX770" t="s">
        <v>74</v>
      </c>
      <c r="AY770" t="s">
        <v>74</v>
      </c>
      <c r="AZ770" t="s">
        <v>74</v>
      </c>
      <c r="BA770" t="s">
        <v>74</v>
      </c>
      <c r="BB770">
        <v>2353</v>
      </c>
      <c r="BC770">
        <v>2361</v>
      </c>
      <c r="BD770" t="s">
        <v>74</v>
      </c>
      <c r="BE770" t="s">
        <v>14286</v>
      </c>
      <c r="BF770" t="str">
        <f>HYPERLINK("http://dx.doi.org/10.5194/acp-14-2353-2014","http://dx.doi.org/10.5194/acp-14-2353-2014")</f>
        <v>http://dx.doi.org/10.5194/acp-14-2353-2014</v>
      </c>
      <c r="BG770" t="s">
        <v>74</v>
      </c>
      <c r="BH770" t="s">
        <v>74</v>
      </c>
      <c r="BI770">
        <v>9</v>
      </c>
      <c r="BJ770" t="s">
        <v>3817</v>
      </c>
      <c r="BK770" t="s">
        <v>101</v>
      </c>
      <c r="BL770" t="s">
        <v>1081</v>
      </c>
      <c r="BM770" t="s">
        <v>14287</v>
      </c>
      <c r="BN770" t="s">
        <v>74</v>
      </c>
      <c r="BO770" t="s">
        <v>9228</v>
      </c>
      <c r="BP770" t="s">
        <v>74</v>
      </c>
      <c r="BQ770" t="s">
        <v>74</v>
      </c>
      <c r="BR770" t="s">
        <v>104</v>
      </c>
      <c r="BS770" t="s">
        <v>14288</v>
      </c>
      <c r="BT770" t="str">
        <f>HYPERLINK("https%3A%2F%2Fwww.webofscience.com%2Fwos%2Fwoscc%2Ffull-record%2FWOS:000334104200010","View Full Record in Web of Science")</f>
        <v>View Full Record in Web of Science</v>
      </c>
    </row>
    <row r="771" spans="1:72" x14ac:dyDescent="0.15">
      <c r="A771" t="s">
        <v>72</v>
      </c>
      <c r="B771" t="s">
        <v>14289</v>
      </c>
      <c r="C771" t="s">
        <v>74</v>
      </c>
      <c r="D771" t="s">
        <v>74</v>
      </c>
      <c r="E771" t="s">
        <v>74</v>
      </c>
      <c r="F771" t="s">
        <v>14290</v>
      </c>
      <c r="G771" t="s">
        <v>74</v>
      </c>
      <c r="H771" t="s">
        <v>74</v>
      </c>
      <c r="I771" t="s">
        <v>14291</v>
      </c>
      <c r="J771" t="s">
        <v>11504</v>
      </c>
      <c r="K771" t="s">
        <v>74</v>
      </c>
      <c r="L771" t="s">
        <v>74</v>
      </c>
      <c r="M771" t="s">
        <v>78</v>
      </c>
      <c r="N771" t="s">
        <v>79</v>
      </c>
      <c r="O771" t="s">
        <v>74</v>
      </c>
      <c r="P771" t="s">
        <v>74</v>
      </c>
      <c r="Q771" t="s">
        <v>74</v>
      </c>
      <c r="R771" t="s">
        <v>74</v>
      </c>
      <c r="S771" t="s">
        <v>74</v>
      </c>
      <c r="T771" t="s">
        <v>74</v>
      </c>
      <c r="U771" t="s">
        <v>14292</v>
      </c>
      <c r="V771" t="s">
        <v>14293</v>
      </c>
      <c r="W771" t="s">
        <v>14294</v>
      </c>
      <c r="X771" t="s">
        <v>14295</v>
      </c>
      <c r="Y771" t="s">
        <v>14296</v>
      </c>
      <c r="Z771" t="s">
        <v>14297</v>
      </c>
      <c r="AA771" t="s">
        <v>14298</v>
      </c>
      <c r="AB771" t="s">
        <v>14299</v>
      </c>
      <c r="AC771" t="s">
        <v>74</v>
      </c>
      <c r="AD771" t="s">
        <v>74</v>
      </c>
      <c r="AE771" t="s">
        <v>74</v>
      </c>
      <c r="AF771" t="s">
        <v>74</v>
      </c>
      <c r="AG771">
        <v>45</v>
      </c>
      <c r="AH771">
        <v>17</v>
      </c>
      <c r="AI771">
        <v>18</v>
      </c>
      <c r="AJ771">
        <v>0</v>
      </c>
      <c r="AK771">
        <v>3</v>
      </c>
      <c r="AL771" t="s">
        <v>1463</v>
      </c>
      <c r="AM771" t="s">
        <v>1464</v>
      </c>
      <c r="AN771" t="s">
        <v>1465</v>
      </c>
      <c r="AO771" t="s">
        <v>11516</v>
      </c>
      <c r="AP771" t="s">
        <v>11517</v>
      </c>
      <c r="AQ771" t="s">
        <v>74</v>
      </c>
      <c r="AR771" t="s">
        <v>11518</v>
      </c>
      <c r="AS771" t="s">
        <v>11519</v>
      </c>
      <c r="AT771" t="s">
        <v>74</v>
      </c>
      <c r="AU771">
        <v>2014</v>
      </c>
      <c r="AV771">
        <v>7</v>
      </c>
      <c r="AW771">
        <v>3</v>
      </c>
      <c r="AX771" t="s">
        <v>74</v>
      </c>
      <c r="AY771" t="s">
        <v>74</v>
      </c>
      <c r="AZ771" t="s">
        <v>74</v>
      </c>
      <c r="BA771" t="s">
        <v>74</v>
      </c>
      <c r="BB771">
        <v>859</v>
      </c>
      <c r="BC771">
        <v>876</v>
      </c>
      <c r="BD771" t="s">
        <v>74</v>
      </c>
      <c r="BE771" t="s">
        <v>14300</v>
      </c>
      <c r="BF771" t="str">
        <f>HYPERLINK("http://dx.doi.org/10.5194/amt-7-859-2014","http://dx.doi.org/10.5194/amt-7-859-2014")</f>
        <v>http://dx.doi.org/10.5194/amt-7-859-2014</v>
      </c>
      <c r="BG771" t="s">
        <v>74</v>
      </c>
      <c r="BH771" t="s">
        <v>74</v>
      </c>
      <c r="BI771">
        <v>18</v>
      </c>
      <c r="BJ771" t="s">
        <v>1391</v>
      </c>
      <c r="BK771" t="s">
        <v>101</v>
      </c>
      <c r="BL771" t="s">
        <v>1391</v>
      </c>
      <c r="BM771" t="s">
        <v>14301</v>
      </c>
      <c r="BN771" t="s">
        <v>74</v>
      </c>
      <c r="BO771" t="s">
        <v>2178</v>
      </c>
      <c r="BP771" t="s">
        <v>74</v>
      </c>
      <c r="BQ771" t="s">
        <v>74</v>
      </c>
      <c r="BR771" t="s">
        <v>104</v>
      </c>
      <c r="BS771" t="s">
        <v>14302</v>
      </c>
      <c r="BT771" t="str">
        <f>HYPERLINK("https%3A%2F%2Fwww.webofscience.com%2Fwos%2Fwoscc%2Ffull-record%2FWOS:000334105700012","View Full Record in Web of Science")</f>
        <v>View Full Record in Web of Science</v>
      </c>
    </row>
    <row r="772" spans="1:72" x14ac:dyDescent="0.15">
      <c r="A772" t="s">
        <v>72</v>
      </c>
      <c r="B772" t="s">
        <v>14303</v>
      </c>
      <c r="C772" t="s">
        <v>74</v>
      </c>
      <c r="D772" t="s">
        <v>74</v>
      </c>
      <c r="E772" t="s">
        <v>74</v>
      </c>
      <c r="F772" t="s">
        <v>14304</v>
      </c>
      <c r="G772" t="s">
        <v>74</v>
      </c>
      <c r="H772" t="s">
        <v>74</v>
      </c>
      <c r="I772" t="s">
        <v>14305</v>
      </c>
      <c r="J772" t="s">
        <v>11305</v>
      </c>
      <c r="K772" t="s">
        <v>74</v>
      </c>
      <c r="L772" t="s">
        <v>74</v>
      </c>
      <c r="M772" t="s">
        <v>78</v>
      </c>
      <c r="N772" t="s">
        <v>79</v>
      </c>
      <c r="O772" t="s">
        <v>74</v>
      </c>
      <c r="P772" t="s">
        <v>74</v>
      </c>
      <c r="Q772" t="s">
        <v>74</v>
      </c>
      <c r="R772" t="s">
        <v>74</v>
      </c>
      <c r="S772" t="s">
        <v>74</v>
      </c>
      <c r="T772" t="s">
        <v>74</v>
      </c>
      <c r="U772" t="s">
        <v>14306</v>
      </c>
      <c r="V772" t="s">
        <v>14307</v>
      </c>
      <c r="W772" t="s">
        <v>14308</v>
      </c>
      <c r="X772" t="s">
        <v>14309</v>
      </c>
      <c r="Y772" t="s">
        <v>14310</v>
      </c>
      <c r="Z772" t="s">
        <v>14311</v>
      </c>
      <c r="AA772" t="s">
        <v>14312</v>
      </c>
      <c r="AB772" t="s">
        <v>14313</v>
      </c>
      <c r="AC772" t="s">
        <v>74</v>
      </c>
      <c r="AD772" t="s">
        <v>74</v>
      </c>
      <c r="AE772" t="s">
        <v>74</v>
      </c>
      <c r="AF772" t="s">
        <v>74</v>
      </c>
      <c r="AG772">
        <v>88</v>
      </c>
      <c r="AH772">
        <v>40</v>
      </c>
      <c r="AI772">
        <v>47</v>
      </c>
      <c r="AJ772">
        <v>0</v>
      </c>
      <c r="AK772">
        <v>30</v>
      </c>
      <c r="AL772" t="s">
        <v>1463</v>
      </c>
      <c r="AM772" t="s">
        <v>1464</v>
      </c>
      <c r="AN772" t="s">
        <v>1465</v>
      </c>
      <c r="AO772" t="s">
        <v>11316</v>
      </c>
      <c r="AP772" t="s">
        <v>11317</v>
      </c>
      <c r="AQ772" t="s">
        <v>74</v>
      </c>
      <c r="AR772" t="s">
        <v>11305</v>
      </c>
      <c r="AS772" t="s">
        <v>11318</v>
      </c>
      <c r="AT772" t="s">
        <v>74</v>
      </c>
      <c r="AU772">
        <v>2014</v>
      </c>
      <c r="AV772">
        <v>11</v>
      </c>
      <c r="AW772">
        <v>3</v>
      </c>
      <c r="AX772" t="s">
        <v>74</v>
      </c>
      <c r="AY772" t="s">
        <v>74</v>
      </c>
      <c r="AZ772" t="s">
        <v>74</v>
      </c>
      <c r="BA772" t="s">
        <v>74</v>
      </c>
      <c r="BB772">
        <v>651</v>
      </c>
      <c r="BC772">
        <v>669</v>
      </c>
      <c r="BD772" t="s">
        <v>74</v>
      </c>
      <c r="BE772" t="s">
        <v>14314</v>
      </c>
      <c r="BF772" t="str">
        <f>HYPERLINK("http://dx.doi.org/10.5194/bg-11-651-2014","http://dx.doi.org/10.5194/bg-11-651-2014")</f>
        <v>http://dx.doi.org/10.5194/bg-11-651-2014</v>
      </c>
      <c r="BG772" t="s">
        <v>74</v>
      </c>
      <c r="BH772" t="s">
        <v>74</v>
      </c>
      <c r="BI772">
        <v>19</v>
      </c>
      <c r="BJ772" t="s">
        <v>2923</v>
      </c>
      <c r="BK772" t="s">
        <v>101</v>
      </c>
      <c r="BL772" t="s">
        <v>357</v>
      </c>
      <c r="BM772" t="s">
        <v>14315</v>
      </c>
      <c r="BN772" t="s">
        <v>74</v>
      </c>
      <c r="BO772" t="s">
        <v>1890</v>
      </c>
      <c r="BP772" t="s">
        <v>74</v>
      </c>
      <c r="BQ772" t="s">
        <v>74</v>
      </c>
      <c r="BR772" t="s">
        <v>104</v>
      </c>
      <c r="BS772" t="s">
        <v>14316</v>
      </c>
      <c r="BT772" t="str">
        <f>HYPERLINK("https%3A%2F%2Fwww.webofscience.com%2Fwos%2Fwoscc%2Ffull-record%2FWOS:000334099700009","View Full Record in Web of Science")</f>
        <v>View Full Record in Web of Science</v>
      </c>
    </row>
    <row r="773" spans="1:72" x14ac:dyDescent="0.15">
      <c r="A773" t="s">
        <v>72</v>
      </c>
      <c r="B773" t="s">
        <v>14317</v>
      </c>
      <c r="C773" t="s">
        <v>74</v>
      </c>
      <c r="D773" t="s">
        <v>74</v>
      </c>
      <c r="E773" t="s">
        <v>74</v>
      </c>
      <c r="F773" t="s">
        <v>14318</v>
      </c>
      <c r="G773" t="s">
        <v>74</v>
      </c>
      <c r="H773" t="s">
        <v>74</v>
      </c>
      <c r="I773" t="s">
        <v>14319</v>
      </c>
      <c r="J773" t="s">
        <v>11442</v>
      </c>
      <c r="K773" t="s">
        <v>74</v>
      </c>
      <c r="L773" t="s">
        <v>74</v>
      </c>
      <c r="M773" t="s">
        <v>78</v>
      </c>
      <c r="N773" t="s">
        <v>79</v>
      </c>
      <c r="O773" t="s">
        <v>74</v>
      </c>
      <c r="P773" t="s">
        <v>74</v>
      </c>
      <c r="Q773" t="s">
        <v>74</v>
      </c>
      <c r="R773" t="s">
        <v>74</v>
      </c>
      <c r="S773" t="s">
        <v>74</v>
      </c>
      <c r="T773" t="s">
        <v>14320</v>
      </c>
      <c r="U773" t="s">
        <v>74</v>
      </c>
      <c r="V773" t="s">
        <v>14321</v>
      </c>
      <c r="W773" t="s">
        <v>14322</v>
      </c>
      <c r="X773" t="s">
        <v>14323</v>
      </c>
      <c r="Y773" t="s">
        <v>14324</v>
      </c>
      <c r="Z773" t="s">
        <v>14325</v>
      </c>
      <c r="AA773" t="s">
        <v>14326</v>
      </c>
      <c r="AB773" t="s">
        <v>74</v>
      </c>
      <c r="AC773" t="s">
        <v>14327</v>
      </c>
      <c r="AD773" t="s">
        <v>14327</v>
      </c>
      <c r="AE773" t="s">
        <v>14328</v>
      </c>
      <c r="AF773" t="s">
        <v>74</v>
      </c>
      <c r="AG773">
        <v>10</v>
      </c>
      <c r="AH773">
        <v>0</v>
      </c>
      <c r="AI773">
        <v>0</v>
      </c>
      <c r="AJ773">
        <v>1</v>
      </c>
      <c r="AK773">
        <v>9</v>
      </c>
      <c r="AL773" t="s">
        <v>11454</v>
      </c>
      <c r="AM773" t="s">
        <v>8793</v>
      </c>
      <c r="AN773" t="s">
        <v>11455</v>
      </c>
      <c r="AO773" t="s">
        <v>11456</v>
      </c>
      <c r="AP773" t="s">
        <v>74</v>
      </c>
      <c r="AQ773" t="s">
        <v>74</v>
      </c>
      <c r="AR773" t="s">
        <v>11457</v>
      </c>
      <c r="AS773" t="s">
        <v>11458</v>
      </c>
      <c r="AT773" t="s">
        <v>74</v>
      </c>
      <c r="AU773">
        <v>2014</v>
      </c>
      <c r="AV773">
        <v>67</v>
      </c>
      <c r="AW773">
        <v>3</v>
      </c>
      <c r="AX773" t="s">
        <v>74</v>
      </c>
      <c r="AY773" t="s">
        <v>74</v>
      </c>
      <c r="AZ773" t="s">
        <v>74</v>
      </c>
      <c r="BA773" t="s">
        <v>74</v>
      </c>
      <c r="BB773">
        <v>395</v>
      </c>
      <c r="BC773">
        <v>402</v>
      </c>
      <c r="BD773" t="s">
        <v>74</v>
      </c>
      <c r="BE773" t="s">
        <v>74</v>
      </c>
      <c r="BF773" t="s">
        <v>74</v>
      </c>
      <c r="BG773" t="s">
        <v>74</v>
      </c>
      <c r="BH773" t="s">
        <v>74</v>
      </c>
      <c r="BI773">
        <v>8</v>
      </c>
      <c r="BJ773" t="s">
        <v>1100</v>
      </c>
      <c r="BK773" t="s">
        <v>101</v>
      </c>
      <c r="BL773" t="s">
        <v>1101</v>
      </c>
      <c r="BM773" t="s">
        <v>14329</v>
      </c>
      <c r="BN773" t="s">
        <v>74</v>
      </c>
      <c r="BO773" t="s">
        <v>74</v>
      </c>
      <c r="BP773" t="s">
        <v>74</v>
      </c>
      <c r="BQ773" t="s">
        <v>74</v>
      </c>
      <c r="BR773" t="s">
        <v>104</v>
      </c>
      <c r="BS773" t="s">
        <v>14330</v>
      </c>
      <c r="BT773" t="str">
        <f>HYPERLINK("https%3A%2F%2Fwww.webofscience.com%2Fwos%2Fwoscc%2Ffull-record%2FWOS:000334391300015","View Full Record in Web of Science")</f>
        <v>View Full Record in Web of Science</v>
      </c>
    </row>
    <row r="774" spans="1:72" x14ac:dyDescent="0.15">
      <c r="A774" t="s">
        <v>72</v>
      </c>
      <c r="B774" t="s">
        <v>14331</v>
      </c>
      <c r="C774" t="s">
        <v>74</v>
      </c>
      <c r="D774" t="s">
        <v>74</v>
      </c>
      <c r="E774" t="s">
        <v>74</v>
      </c>
      <c r="F774" t="s">
        <v>14332</v>
      </c>
      <c r="G774" t="s">
        <v>74</v>
      </c>
      <c r="H774" t="s">
        <v>74</v>
      </c>
      <c r="I774" t="s">
        <v>14333</v>
      </c>
      <c r="J774" t="s">
        <v>10582</v>
      </c>
      <c r="K774" t="s">
        <v>74</v>
      </c>
      <c r="L774" t="s">
        <v>74</v>
      </c>
      <c r="M774" t="s">
        <v>78</v>
      </c>
      <c r="N774" t="s">
        <v>79</v>
      </c>
      <c r="O774" t="s">
        <v>74</v>
      </c>
      <c r="P774" t="s">
        <v>74</v>
      </c>
      <c r="Q774" t="s">
        <v>74</v>
      </c>
      <c r="R774" t="s">
        <v>74</v>
      </c>
      <c r="S774" t="s">
        <v>74</v>
      </c>
      <c r="T774" t="s">
        <v>14334</v>
      </c>
      <c r="U774" t="s">
        <v>14335</v>
      </c>
      <c r="V774" t="s">
        <v>14336</v>
      </c>
      <c r="W774" t="s">
        <v>14337</v>
      </c>
      <c r="X774" t="s">
        <v>14338</v>
      </c>
      <c r="Y774" t="s">
        <v>14339</v>
      </c>
      <c r="Z774" t="s">
        <v>14340</v>
      </c>
      <c r="AA774" t="s">
        <v>14341</v>
      </c>
      <c r="AB774" t="s">
        <v>14342</v>
      </c>
      <c r="AC774" t="s">
        <v>14343</v>
      </c>
      <c r="AD774" t="s">
        <v>14344</v>
      </c>
      <c r="AE774" t="s">
        <v>14345</v>
      </c>
      <c r="AF774" t="s">
        <v>74</v>
      </c>
      <c r="AG774">
        <v>77</v>
      </c>
      <c r="AH774">
        <v>12</v>
      </c>
      <c r="AI774">
        <v>12</v>
      </c>
      <c r="AJ774">
        <v>1</v>
      </c>
      <c r="AK774">
        <v>35</v>
      </c>
      <c r="AL774" t="s">
        <v>11416</v>
      </c>
      <c r="AM774" t="s">
        <v>11417</v>
      </c>
      <c r="AN774" t="s">
        <v>11418</v>
      </c>
      <c r="AO774" t="s">
        <v>10595</v>
      </c>
      <c r="AP774" t="s">
        <v>10596</v>
      </c>
      <c r="AQ774" t="s">
        <v>74</v>
      </c>
      <c r="AR774" t="s">
        <v>11926</v>
      </c>
      <c r="AS774" t="s">
        <v>10598</v>
      </c>
      <c r="AT774" t="s">
        <v>74</v>
      </c>
      <c r="AU774">
        <v>2014</v>
      </c>
      <c r="AV774">
        <v>33</v>
      </c>
      <c r="AW774" t="s">
        <v>74</v>
      </c>
      <c r="AX774" t="s">
        <v>74</v>
      </c>
      <c r="AY774" t="s">
        <v>74</v>
      </c>
      <c r="AZ774" t="s">
        <v>74</v>
      </c>
      <c r="BA774" t="s">
        <v>74</v>
      </c>
      <c r="BB774" t="s">
        <v>74</v>
      </c>
      <c r="BC774" t="s">
        <v>74</v>
      </c>
      <c r="BD774">
        <v>21624</v>
      </c>
      <c r="BE774" t="s">
        <v>14346</v>
      </c>
      <c r="BF774" t="str">
        <f>HYPERLINK("http://dx.doi.org/10.3402/polar.v33.21624","http://dx.doi.org/10.3402/polar.v33.21624")</f>
        <v>http://dx.doi.org/10.3402/polar.v33.21624</v>
      </c>
      <c r="BG774" t="s">
        <v>74</v>
      </c>
      <c r="BH774" t="s">
        <v>74</v>
      </c>
      <c r="BI774">
        <v>12</v>
      </c>
      <c r="BJ774" t="s">
        <v>10600</v>
      </c>
      <c r="BK774" t="s">
        <v>101</v>
      </c>
      <c r="BL774" t="s">
        <v>10601</v>
      </c>
      <c r="BM774" t="s">
        <v>14347</v>
      </c>
      <c r="BN774" t="s">
        <v>74</v>
      </c>
      <c r="BO774" t="s">
        <v>4013</v>
      </c>
      <c r="BP774" t="s">
        <v>74</v>
      </c>
      <c r="BQ774" t="s">
        <v>74</v>
      </c>
      <c r="BR774" t="s">
        <v>104</v>
      </c>
      <c r="BS774" t="s">
        <v>14348</v>
      </c>
      <c r="BT774" t="str">
        <f>HYPERLINK("https%3A%2F%2Fwww.webofscience.com%2Fwos%2Fwoscc%2Ffull-record%2FWOS:000334274700001","View Full Record in Web of Science")</f>
        <v>View Full Record in Web of Science</v>
      </c>
    </row>
    <row r="775" spans="1:72" x14ac:dyDescent="0.15">
      <c r="A775" t="s">
        <v>72</v>
      </c>
      <c r="B775" t="s">
        <v>14349</v>
      </c>
      <c r="C775" t="s">
        <v>74</v>
      </c>
      <c r="D775" t="s">
        <v>74</v>
      </c>
      <c r="E775" t="s">
        <v>74</v>
      </c>
      <c r="F775" t="s">
        <v>14350</v>
      </c>
      <c r="G775" t="s">
        <v>74</v>
      </c>
      <c r="H775" t="s">
        <v>74</v>
      </c>
      <c r="I775" t="s">
        <v>14351</v>
      </c>
      <c r="J775" t="s">
        <v>10866</v>
      </c>
      <c r="K775" t="s">
        <v>74</v>
      </c>
      <c r="L775" t="s">
        <v>74</v>
      </c>
      <c r="M775" t="s">
        <v>78</v>
      </c>
      <c r="N775" t="s">
        <v>79</v>
      </c>
      <c r="O775" t="s">
        <v>74</v>
      </c>
      <c r="P775" t="s">
        <v>74</v>
      </c>
      <c r="Q775" t="s">
        <v>74</v>
      </c>
      <c r="R775" t="s">
        <v>74</v>
      </c>
      <c r="S775" t="s">
        <v>74</v>
      </c>
      <c r="T775" t="s">
        <v>14352</v>
      </c>
      <c r="U775" t="s">
        <v>14353</v>
      </c>
      <c r="V775" t="s">
        <v>14354</v>
      </c>
      <c r="W775" t="s">
        <v>14355</v>
      </c>
      <c r="X775" t="s">
        <v>14356</v>
      </c>
      <c r="Y775" t="s">
        <v>14357</v>
      </c>
      <c r="Z775" t="s">
        <v>14358</v>
      </c>
      <c r="AA775" t="s">
        <v>14359</v>
      </c>
      <c r="AB775" t="s">
        <v>14360</v>
      </c>
      <c r="AC775" t="s">
        <v>74</v>
      </c>
      <c r="AD775" t="s">
        <v>74</v>
      </c>
      <c r="AE775" t="s">
        <v>74</v>
      </c>
      <c r="AF775" t="s">
        <v>74</v>
      </c>
      <c r="AG775">
        <v>15</v>
      </c>
      <c r="AH775">
        <v>4</v>
      </c>
      <c r="AI775">
        <v>4</v>
      </c>
      <c r="AJ775">
        <v>1</v>
      </c>
      <c r="AK775">
        <v>15</v>
      </c>
      <c r="AL775" t="s">
        <v>10875</v>
      </c>
      <c r="AM775" t="s">
        <v>8793</v>
      </c>
      <c r="AN775" t="s">
        <v>10876</v>
      </c>
      <c r="AO775" t="s">
        <v>10877</v>
      </c>
      <c r="AP775" t="s">
        <v>10878</v>
      </c>
      <c r="AQ775" t="s">
        <v>74</v>
      </c>
      <c r="AR775" t="s">
        <v>10866</v>
      </c>
      <c r="AS775" t="s">
        <v>10879</v>
      </c>
      <c r="AT775" t="s">
        <v>74</v>
      </c>
      <c r="AU775">
        <v>2014</v>
      </c>
      <c r="AV775" t="s">
        <v>74</v>
      </c>
      <c r="AW775">
        <v>401</v>
      </c>
      <c r="AX775" t="s">
        <v>74</v>
      </c>
      <c r="AY775" t="s">
        <v>74</v>
      </c>
      <c r="AZ775" t="s">
        <v>74</v>
      </c>
      <c r="BA775" t="s">
        <v>74</v>
      </c>
      <c r="BB775">
        <v>1</v>
      </c>
      <c r="BC775">
        <v>10</v>
      </c>
      <c r="BD775" t="s">
        <v>74</v>
      </c>
      <c r="BE775" t="s">
        <v>14361</v>
      </c>
      <c r="BF775" t="str">
        <f>HYPERLINK("http://dx.doi.org/10.3897/zookeys.401.5522","http://dx.doi.org/10.3897/zookeys.401.5522")</f>
        <v>http://dx.doi.org/10.3897/zookeys.401.5522</v>
      </c>
      <c r="BG775" t="s">
        <v>74</v>
      </c>
      <c r="BH775" t="s">
        <v>74</v>
      </c>
      <c r="BI775">
        <v>10</v>
      </c>
      <c r="BJ775" t="s">
        <v>384</v>
      </c>
      <c r="BK775" t="s">
        <v>101</v>
      </c>
      <c r="BL775" t="s">
        <v>384</v>
      </c>
      <c r="BM775" t="s">
        <v>14362</v>
      </c>
      <c r="BN775">
        <v>24843257</v>
      </c>
      <c r="BO775" t="s">
        <v>2318</v>
      </c>
      <c r="BP775" t="s">
        <v>74</v>
      </c>
      <c r="BQ775" t="s">
        <v>74</v>
      </c>
      <c r="BR775" t="s">
        <v>104</v>
      </c>
      <c r="BS775" t="s">
        <v>14363</v>
      </c>
      <c r="BT775" t="str">
        <f>HYPERLINK("https%3A%2F%2Fwww.webofscience.com%2Fwos%2Fwoscc%2Ffull-record%2FWOS:000334341400001","View Full Record in Web of Science")</f>
        <v>View Full Record in Web of Science</v>
      </c>
    </row>
    <row r="776" spans="1:72" x14ac:dyDescent="0.15">
      <c r="A776" t="s">
        <v>72</v>
      </c>
      <c r="B776" t="s">
        <v>14364</v>
      </c>
      <c r="C776" t="s">
        <v>74</v>
      </c>
      <c r="D776" t="s">
        <v>74</v>
      </c>
      <c r="E776" t="s">
        <v>74</v>
      </c>
      <c r="F776" t="s">
        <v>14365</v>
      </c>
      <c r="G776" t="s">
        <v>74</v>
      </c>
      <c r="H776" t="s">
        <v>74</v>
      </c>
      <c r="I776" t="s">
        <v>14366</v>
      </c>
      <c r="J776" t="s">
        <v>11305</v>
      </c>
      <c r="K776" t="s">
        <v>74</v>
      </c>
      <c r="L776" t="s">
        <v>74</v>
      </c>
      <c r="M776" t="s">
        <v>78</v>
      </c>
      <c r="N776" t="s">
        <v>79</v>
      </c>
      <c r="O776" t="s">
        <v>74</v>
      </c>
      <c r="P776" t="s">
        <v>74</v>
      </c>
      <c r="Q776" t="s">
        <v>74</v>
      </c>
      <c r="R776" t="s">
        <v>74</v>
      </c>
      <c r="S776" t="s">
        <v>74</v>
      </c>
      <c r="T776" t="s">
        <v>74</v>
      </c>
      <c r="U776" t="s">
        <v>14367</v>
      </c>
      <c r="V776" t="s">
        <v>14368</v>
      </c>
      <c r="W776" t="s">
        <v>14369</v>
      </c>
      <c r="X776" t="s">
        <v>14370</v>
      </c>
      <c r="Y776" t="s">
        <v>14371</v>
      </c>
      <c r="Z776" t="s">
        <v>14372</v>
      </c>
      <c r="AA776" t="s">
        <v>14373</v>
      </c>
      <c r="AB776" t="s">
        <v>14374</v>
      </c>
      <c r="AC776" t="s">
        <v>14375</v>
      </c>
      <c r="AD776" t="s">
        <v>14376</v>
      </c>
      <c r="AE776" t="s">
        <v>14377</v>
      </c>
      <c r="AF776" t="s">
        <v>74</v>
      </c>
      <c r="AG776">
        <v>63</v>
      </c>
      <c r="AH776">
        <v>27</v>
      </c>
      <c r="AI776">
        <v>30</v>
      </c>
      <c r="AJ776">
        <v>1</v>
      </c>
      <c r="AK776">
        <v>35</v>
      </c>
      <c r="AL776" t="s">
        <v>1463</v>
      </c>
      <c r="AM776" t="s">
        <v>1464</v>
      </c>
      <c r="AN776" t="s">
        <v>1465</v>
      </c>
      <c r="AO776" t="s">
        <v>11316</v>
      </c>
      <c r="AP776" t="s">
        <v>11317</v>
      </c>
      <c r="AQ776" t="s">
        <v>74</v>
      </c>
      <c r="AR776" t="s">
        <v>11305</v>
      </c>
      <c r="AS776" t="s">
        <v>11318</v>
      </c>
      <c r="AT776" t="s">
        <v>74</v>
      </c>
      <c r="AU776">
        <v>2014</v>
      </c>
      <c r="AV776">
        <v>11</v>
      </c>
      <c r="AW776">
        <v>6</v>
      </c>
      <c r="AX776" t="s">
        <v>74</v>
      </c>
      <c r="AY776" t="s">
        <v>74</v>
      </c>
      <c r="AZ776" t="s">
        <v>74</v>
      </c>
      <c r="BA776" t="s">
        <v>74</v>
      </c>
      <c r="BB776">
        <v>1561</v>
      </c>
      <c r="BC776">
        <v>1580</v>
      </c>
      <c r="BD776" t="s">
        <v>74</v>
      </c>
      <c r="BE776" t="s">
        <v>14378</v>
      </c>
      <c r="BF776" t="str">
        <f>HYPERLINK("http://dx.doi.org/10.5194/bg-11-1561-2014","http://dx.doi.org/10.5194/bg-11-1561-2014")</f>
        <v>http://dx.doi.org/10.5194/bg-11-1561-2014</v>
      </c>
      <c r="BG776" t="s">
        <v>74</v>
      </c>
      <c r="BH776" t="s">
        <v>74</v>
      </c>
      <c r="BI776">
        <v>20</v>
      </c>
      <c r="BJ776" t="s">
        <v>2923</v>
      </c>
      <c r="BK776" t="s">
        <v>101</v>
      </c>
      <c r="BL776" t="s">
        <v>357</v>
      </c>
      <c r="BM776" t="s">
        <v>14379</v>
      </c>
      <c r="BN776" t="s">
        <v>74</v>
      </c>
      <c r="BO776" t="s">
        <v>1890</v>
      </c>
      <c r="BP776" t="s">
        <v>74</v>
      </c>
      <c r="BQ776" t="s">
        <v>74</v>
      </c>
      <c r="BR776" t="s">
        <v>104</v>
      </c>
      <c r="BS776" t="s">
        <v>14380</v>
      </c>
      <c r="BT776" t="str">
        <f>HYPERLINK("https%3A%2F%2Fwww.webofscience.com%2Fwos%2Fwoscc%2Ffull-record%2FWOS:000334100900006","View Full Record in Web of Science")</f>
        <v>View Full Record in Web of Science</v>
      </c>
    </row>
    <row r="777" spans="1:72" x14ac:dyDescent="0.15">
      <c r="A777" t="s">
        <v>72</v>
      </c>
      <c r="B777" t="s">
        <v>14381</v>
      </c>
      <c r="C777" t="s">
        <v>74</v>
      </c>
      <c r="D777" t="s">
        <v>74</v>
      </c>
      <c r="E777" t="s">
        <v>74</v>
      </c>
      <c r="F777" t="s">
        <v>14382</v>
      </c>
      <c r="G777" t="s">
        <v>74</v>
      </c>
      <c r="H777" t="s">
        <v>74</v>
      </c>
      <c r="I777" t="s">
        <v>14383</v>
      </c>
      <c r="J777" t="s">
        <v>14384</v>
      </c>
      <c r="K777" t="s">
        <v>74</v>
      </c>
      <c r="L777" t="s">
        <v>74</v>
      </c>
      <c r="M777" t="s">
        <v>1424</v>
      </c>
      <c r="N777" t="s">
        <v>79</v>
      </c>
      <c r="O777" t="s">
        <v>74</v>
      </c>
      <c r="P777" t="s">
        <v>74</v>
      </c>
      <c r="Q777" t="s">
        <v>74</v>
      </c>
      <c r="R777" t="s">
        <v>74</v>
      </c>
      <c r="S777" t="s">
        <v>74</v>
      </c>
      <c r="T777" t="s">
        <v>14385</v>
      </c>
      <c r="U777" t="s">
        <v>14386</v>
      </c>
      <c r="V777" t="s">
        <v>14387</v>
      </c>
      <c r="W777" t="s">
        <v>14388</v>
      </c>
      <c r="X777" t="s">
        <v>14389</v>
      </c>
      <c r="Y777" t="s">
        <v>14390</v>
      </c>
      <c r="Z777" t="s">
        <v>14391</v>
      </c>
      <c r="AA777" t="s">
        <v>14392</v>
      </c>
      <c r="AB777" t="s">
        <v>14393</v>
      </c>
      <c r="AC777" t="s">
        <v>74</v>
      </c>
      <c r="AD777" t="s">
        <v>74</v>
      </c>
      <c r="AE777" t="s">
        <v>74</v>
      </c>
      <c r="AF777" t="s">
        <v>74</v>
      </c>
      <c r="AG777">
        <v>27</v>
      </c>
      <c r="AH777">
        <v>13</v>
      </c>
      <c r="AI777">
        <v>14</v>
      </c>
      <c r="AJ777">
        <v>0</v>
      </c>
      <c r="AK777">
        <v>17</v>
      </c>
      <c r="AL777" t="s">
        <v>14394</v>
      </c>
      <c r="AM777" t="s">
        <v>14395</v>
      </c>
      <c r="AN777" t="s">
        <v>14396</v>
      </c>
      <c r="AO777" t="s">
        <v>14397</v>
      </c>
      <c r="AP777" t="s">
        <v>14398</v>
      </c>
      <c r="AQ777" t="s">
        <v>74</v>
      </c>
      <c r="AR777" t="s">
        <v>14399</v>
      </c>
      <c r="AS777" t="s">
        <v>14400</v>
      </c>
      <c r="AT777" t="s">
        <v>74</v>
      </c>
      <c r="AU777">
        <v>2014</v>
      </c>
      <c r="AV777" t="s">
        <v>74</v>
      </c>
      <c r="AW777">
        <v>64</v>
      </c>
      <c r="AX777" t="s">
        <v>74</v>
      </c>
      <c r="AY777" t="s">
        <v>74</v>
      </c>
      <c r="AZ777" t="s">
        <v>74</v>
      </c>
      <c r="BA777" t="s">
        <v>74</v>
      </c>
      <c r="BB777">
        <v>227</v>
      </c>
      <c r="BC777" t="s">
        <v>5223</v>
      </c>
      <c r="BD777" t="s">
        <v>74</v>
      </c>
      <c r="BE777" t="s">
        <v>14401</v>
      </c>
      <c r="BF777" t="str">
        <f>HYPERLINK("http://dx.doi.org/10.21138/bage.1688","http://dx.doi.org/10.21138/bage.1688")</f>
        <v>http://dx.doi.org/10.21138/bage.1688</v>
      </c>
      <c r="BG777" t="s">
        <v>74</v>
      </c>
      <c r="BH777" t="s">
        <v>74</v>
      </c>
      <c r="BI777">
        <v>27</v>
      </c>
      <c r="BJ777" t="s">
        <v>14402</v>
      </c>
      <c r="BK777" t="s">
        <v>8725</v>
      </c>
      <c r="BL777" t="s">
        <v>14402</v>
      </c>
      <c r="BM777" t="s">
        <v>14403</v>
      </c>
      <c r="BN777" t="s">
        <v>74</v>
      </c>
      <c r="BO777" t="s">
        <v>6156</v>
      </c>
      <c r="BP777" t="s">
        <v>74</v>
      </c>
      <c r="BQ777" t="s">
        <v>74</v>
      </c>
      <c r="BR777" t="s">
        <v>104</v>
      </c>
      <c r="BS777" t="s">
        <v>14404</v>
      </c>
      <c r="BT777" t="str">
        <f>HYPERLINK("https%3A%2F%2Fwww.webofscience.com%2Fwos%2Fwoscc%2Ffull-record%2FWOS:000333571100010","View Full Record in Web of Science")</f>
        <v>View Full Record in Web of Science</v>
      </c>
    </row>
    <row r="778" spans="1:72" x14ac:dyDescent="0.15">
      <c r="A778" t="s">
        <v>72</v>
      </c>
      <c r="B778" t="s">
        <v>14405</v>
      </c>
      <c r="C778" t="s">
        <v>74</v>
      </c>
      <c r="D778" t="s">
        <v>74</v>
      </c>
      <c r="E778" t="s">
        <v>74</v>
      </c>
      <c r="F778" t="s">
        <v>14406</v>
      </c>
      <c r="G778" t="s">
        <v>74</v>
      </c>
      <c r="H778" t="s">
        <v>74</v>
      </c>
      <c r="I778" t="s">
        <v>14407</v>
      </c>
      <c r="J778" t="s">
        <v>10325</v>
      </c>
      <c r="K778" t="s">
        <v>74</v>
      </c>
      <c r="L778" t="s">
        <v>74</v>
      </c>
      <c r="M778" t="s">
        <v>78</v>
      </c>
      <c r="N778" t="s">
        <v>79</v>
      </c>
      <c r="O778" t="s">
        <v>74</v>
      </c>
      <c r="P778" t="s">
        <v>74</v>
      </c>
      <c r="Q778" t="s">
        <v>74</v>
      </c>
      <c r="R778" t="s">
        <v>74</v>
      </c>
      <c r="S778" t="s">
        <v>74</v>
      </c>
      <c r="T778" t="s">
        <v>74</v>
      </c>
      <c r="U778" t="s">
        <v>14408</v>
      </c>
      <c r="V778" t="s">
        <v>14409</v>
      </c>
      <c r="W778" t="s">
        <v>14410</v>
      </c>
      <c r="X778" t="s">
        <v>14411</v>
      </c>
      <c r="Y778" t="s">
        <v>14412</v>
      </c>
      <c r="Z778" t="s">
        <v>14413</v>
      </c>
      <c r="AA778" t="s">
        <v>14414</v>
      </c>
      <c r="AB778" t="s">
        <v>14415</v>
      </c>
      <c r="AC778" t="s">
        <v>14416</v>
      </c>
      <c r="AD778" t="s">
        <v>14417</v>
      </c>
      <c r="AE778" t="s">
        <v>14418</v>
      </c>
      <c r="AF778" t="s">
        <v>74</v>
      </c>
      <c r="AG778">
        <v>38</v>
      </c>
      <c r="AH778">
        <v>27</v>
      </c>
      <c r="AI778">
        <v>30</v>
      </c>
      <c r="AJ778">
        <v>1</v>
      </c>
      <c r="AK778">
        <v>23</v>
      </c>
      <c r="AL778" t="s">
        <v>1463</v>
      </c>
      <c r="AM778" t="s">
        <v>1464</v>
      </c>
      <c r="AN778" t="s">
        <v>1465</v>
      </c>
      <c r="AO778" t="s">
        <v>10336</v>
      </c>
      <c r="AP778" t="s">
        <v>10337</v>
      </c>
      <c r="AQ778" t="s">
        <v>74</v>
      </c>
      <c r="AR778" t="s">
        <v>10338</v>
      </c>
      <c r="AS778" t="s">
        <v>10339</v>
      </c>
      <c r="AT778" t="s">
        <v>74</v>
      </c>
      <c r="AU778">
        <v>2014</v>
      </c>
      <c r="AV778">
        <v>10</v>
      </c>
      <c r="AW778">
        <v>1</v>
      </c>
      <c r="AX778" t="s">
        <v>74</v>
      </c>
      <c r="AY778" t="s">
        <v>74</v>
      </c>
      <c r="AZ778" t="s">
        <v>74</v>
      </c>
      <c r="BA778" t="s">
        <v>74</v>
      </c>
      <c r="BB778">
        <v>155</v>
      </c>
      <c r="BC778">
        <v>166</v>
      </c>
      <c r="BD778" t="s">
        <v>74</v>
      </c>
      <c r="BE778" t="s">
        <v>14419</v>
      </c>
      <c r="BF778" t="str">
        <f>HYPERLINK("http://dx.doi.org/10.5194/cp-10-155-2014","http://dx.doi.org/10.5194/cp-10-155-2014")</f>
        <v>http://dx.doi.org/10.5194/cp-10-155-2014</v>
      </c>
      <c r="BG778" t="s">
        <v>74</v>
      </c>
      <c r="BH778" t="s">
        <v>74</v>
      </c>
      <c r="BI778">
        <v>12</v>
      </c>
      <c r="BJ778" t="s">
        <v>9225</v>
      </c>
      <c r="BK778" t="s">
        <v>101</v>
      </c>
      <c r="BL778" t="s">
        <v>9226</v>
      </c>
      <c r="BM778" t="s">
        <v>14420</v>
      </c>
      <c r="BN778" t="s">
        <v>74</v>
      </c>
      <c r="BO778" t="s">
        <v>6156</v>
      </c>
      <c r="BP778" t="s">
        <v>74</v>
      </c>
      <c r="BQ778" t="s">
        <v>74</v>
      </c>
      <c r="BR778" t="s">
        <v>104</v>
      </c>
      <c r="BS778" t="s">
        <v>14421</v>
      </c>
      <c r="BT778" t="str">
        <f>HYPERLINK("https%3A%2F%2Fwww.webofscience.com%2Fwos%2Fwoscc%2Ffull-record%2FWOS:000333837600011","View Full Record in Web of Science")</f>
        <v>View Full Record in Web of Science</v>
      </c>
    </row>
    <row r="779" spans="1:72" x14ac:dyDescent="0.15">
      <c r="A779" t="s">
        <v>72</v>
      </c>
      <c r="B779" t="s">
        <v>14422</v>
      </c>
      <c r="C779" t="s">
        <v>74</v>
      </c>
      <c r="D779" t="s">
        <v>74</v>
      </c>
      <c r="E779" t="s">
        <v>74</v>
      </c>
      <c r="F779" t="s">
        <v>14423</v>
      </c>
      <c r="G779" t="s">
        <v>74</v>
      </c>
      <c r="H779" t="s">
        <v>74</v>
      </c>
      <c r="I779" t="s">
        <v>14424</v>
      </c>
      <c r="J779" t="s">
        <v>14425</v>
      </c>
      <c r="K779" t="s">
        <v>74</v>
      </c>
      <c r="L779" t="s">
        <v>74</v>
      </c>
      <c r="M779" t="s">
        <v>78</v>
      </c>
      <c r="N779" t="s">
        <v>52</v>
      </c>
      <c r="O779" t="s">
        <v>14426</v>
      </c>
      <c r="P779" t="s">
        <v>14427</v>
      </c>
      <c r="Q779" t="s">
        <v>14428</v>
      </c>
      <c r="R779" t="s">
        <v>74</v>
      </c>
      <c r="S779" t="s">
        <v>74</v>
      </c>
      <c r="T779" t="s">
        <v>74</v>
      </c>
      <c r="U779" t="s">
        <v>74</v>
      </c>
      <c r="V779" t="s">
        <v>74</v>
      </c>
      <c r="W779" t="s">
        <v>14429</v>
      </c>
      <c r="X779" t="s">
        <v>14430</v>
      </c>
      <c r="Y779" t="s">
        <v>74</v>
      </c>
      <c r="Z779" t="s">
        <v>14431</v>
      </c>
      <c r="AA779" t="s">
        <v>74</v>
      </c>
      <c r="AB779" t="s">
        <v>74</v>
      </c>
      <c r="AC779" t="s">
        <v>74</v>
      </c>
      <c r="AD779" t="s">
        <v>74</v>
      </c>
      <c r="AE779" t="s">
        <v>74</v>
      </c>
      <c r="AF779" t="s">
        <v>74</v>
      </c>
      <c r="AG779">
        <v>0</v>
      </c>
      <c r="AH779">
        <v>0</v>
      </c>
      <c r="AI779">
        <v>0</v>
      </c>
      <c r="AJ779">
        <v>0</v>
      </c>
      <c r="AK779">
        <v>14</v>
      </c>
      <c r="AL779" t="s">
        <v>14432</v>
      </c>
      <c r="AM779" t="s">
        <v>14433</v>
      </c>
      <c r="AN779" t="s">
        <v>14434</v>
      </c>
      <c r="AO779" t="s">
        <v>14435</v>
      </c>
      <c r="AP779" t="s">
        <v>14436</v>
      </c>
      <c r="AQ779" t="s">
        <v>74</v>
      </c>
      <c r="AR779" t="s">
        <v>14437</v>
      </c>
      <c r="AS779" t="s">
        <v>14438</v>
      </c>
      <c r="AT779" t="s">
        <v>74</v>
      </c>
      <c r="AU779">
        <v>2014</v>
      </c>
      <c r="AV779">
        <v>54</v>
      </c>
      <c r="AW779" t="s">
        <v>74</v>
      </c>
      <c r="AX779" t="s">
        <v>74</v>
      </c>
      <c r="AY779">
        <v>1</v>
      </c>
      <c r="AZ779" t="s">
        <v>74</v>
      </c>
      <c r="BA779" t="s">
        <v>74</v>
      </c>
      <c r="BB779" t="s">
        <v>14439</v>
      </c>
      <c r="BC779" t="s">
        <v>14439</v>
      </c>
      <c r="BD779" t="s">
        <v>74</v>
      </c>
      <c r="BE779" t="s">
        <v>74</v>
      </c>
      <c r="BF779" t="s">
        <v>74</v>
      </c>
      <c r="BG779" t="s">
        <v>74</v>
      </c>
      <c r="BH779" t="s">
        <v>74</v>
      </c>
      <c r="BI779">
        <v>1</v>
      </c>
      <c r="BJ779" t="s">
        <v>384</v>
      </c>
      <c r="BK779" t="s">
        <v>663</v>
      </c>
      <c r="BL779" t="s">
        <v>384</v>
      </c>
      <c r="BM779" t="s">
        <v>14440</v>
      </c>
      <c r="BN779" t="s">
        <v>74</v>
      </c>
      <c r="BO779" t="s">
        <v>74</v>
      </c>
      <c r="BP779" t="s">
        <v>74</v>
      </c>
      <c r="BQ779" t="s">
        <v>74</v>
      </c>
      <c r="BR779" t="s">
        <v>104</v>
      </c>
      <c r="BS779" t="s">
        <v>14441</v>
      </c>
      <c r="BT779" t="str">
        <f>HYPERLINK("https%3A%2F%2Fwww.webofscience.com%2Fwos%2Fwoscc%2Ffull-record%2FWOS:000333049500236","View Full Record in Web of Science")</f>
        <v>View Full Record in Web of Science</v>
      </c>
    </row>
    <row r="780" spans="1:72" x14ac:dyDescent="0.15">
      <c r="A780" t="s">
        <v>72</v>
      </c>
      <c r="B780" t="s">
        <v>14442</v>
      </c>
      <c r="C780" t="s">
        <v>74</v>
      </c>
      <c r="D780" t="s">
        <v>74</v>
      </c>
      <c r="E780" t="s">
        <v>74</v>
      </c>
      <c r="F780" t="s">
        <v>14443</v>
      </c>
      <c r="G780" t="s">
        <v>74</v>
      </c>
      <c r="H780" t="s">
        <v>74</v>
      </c>
      <c r="I780" t="s">
        <v>14444</v>
      </c>
      <c r="J780" t="s">
        <v>14425</v>
      </c>
      <c r="K780" t="s">
        <v>74</v>
      </c>
      <c r="L780" t="s">
        <v>74</v>
      </c>
      <c r="M780" t="s">
        <v>78</v>
      </c>
      <c r="N780" t="s">
        <v>52</v>
      </c>
      <c r="O780" t="s">
        <v>14426</v>
      </c>
      <c r="P780" t="s">
        <v>14427</v>
      </c>
      <c r="Q780" t="s">
        <v>14428</v>
      </c>
      <c r="R780" t="s">
        <v>74</v>
      </c>
      <c r="S780" t="s">
        <v>74</v>
      </c>
      <c r="T780" t="s">
        <v>74</v>
      </c>
      <c r="U780" t="s">
        <v>74</v>
      </c>
      <c r="V780" t="s">
        <v>74</v>
      </c>
      <c r="W780" t="s">
        <v>14445</v>
      </c>
      <c r="X780" t="s">
        <v>14446</v>
      </c>
      <c r="Y780" t="s">
        <v>74</v>
      </c>
      <c r="Z780" t="s">
        <v>14447</v>
      </c>
      <c r="AA780" t="s">
        <v>14448</v>
      </c>
      <c r="AB780" t="s">
        <v>74</v>
      </c>
      <c r="AC780" t="s">
        <v>74</v>
      </c>
      <c r="AD780" t="s">
        <v>74</v>
      </c>
      <c r="AE780" t="s">
        <v>74</v>
      </c>
      <c r="AF780" t="s">
        <v>74</v>
      </c>
      <c r="AG780">
        <v>0</v>
      </c>
      <c r="AH780">
        <v>0</v>
      </c>
      <c r="AI780">
        <v>0</v>
      </c>
      <c r="AJ780">
        <v>0</v>
      </c>
      <c r="AK780">
        <v>4</v>
      </c>
      <c r="AL780" t="s">
        <v>14432</v>
      </c>
      <c r="AM780" t="s">
        <v>14433</v>
      </c>
      <c r="AN780" t="s">
        <v>14434</v>
      </c>
      <c r="AO780" t="s">
        <v>14435</v>
      </c>
      <c r="AP780" t="s">
        <v>14436</v>
      </c>
      <c r="AQ780" t="s">
        <v>74</v>
      </c>
      <c r="AR780" t="s">
        <v>14437</v>
      </c>
      <c r="AS780" t="s">
        <v>14438</v>
      </c>
      <c r="AT780" t="s">
        <v>74</v>
      </c>
      <c r="AU780">
        <v>2014</v>
      </c>
      <c r="AV780">
        <v>54</v>
      </c>
      <c r="AW780" t="s">
        <v>74</v>
      </c>
      <c r="AX780" t="s">
        <v>74</v>
      </c>
      <c r="AY780">
        <v>1</v>
      </c>
      <c r="AZ780" t="s">
        <v>74</v>
      </c>
      <c r="BA780" t="s">
        <v>74</v>
      </c>
      <c r="BB780" t="s">
        <v>14449</v>
      </c>
      <c r="BC780" t="s">
        <v>14449</v>
      </c>
      <c r="BD780" t="s">
        <v>74</v>
      </c>
      <c r="BE780" t="s">
        <v>74</v>
      </c>
      <c r="BF780" t="s">
        <v>74</v>
      </c>
      <c r="BG780" t="s">
        <v>74</v>
      </c>
      <c r="BH780" t="s">
        <v>74</v>
      </c>
      <c r="BI780">
        <v>1</v>
      </c>
      <c r="BJ780" t="s">
        <v>384</v>
      </c>
      <c r="BK780" t="s">
        <v>663</v>
      </c>
      <c r="BL780" t="s">
        <v>384</v>
      </c>
      <c r="BM780" t="s">
        <v>14440</v>
      </c>
      <c r="BN780" t="s">
        <v>74</v>
      </c>
      <c r="BO780" t="s">
        <v>74</v>
      </c>
      <c r="BP780" t="s">
        <v>74</v>
      </c>
      <c r="BQ780" t="s">
        <v>74</v>
      </c>
      <c r="BR780" t="s">
        <v>104</v>
      </c>
      <c r="BS780" t="s">
        <v>14450</v>
      </c>
      <c r="BT780" t="str">
        <f>HYPERLINK("https%3A%2F%2Fwww.webofscience.com%2Fwos%2Fwoscc%2Ffull-record%2FWOS:000333049502441","View Full Record in Web of Science")</f>
        <v>View Full Record in Web of Science</v>
      </c>
    </row>
    <row r="781" spans="1:72" x14ac:dyDescent="0.15">
      <c r="A781" t="s">
        <v>72</v>
      </c>
      <c r="B781" t="s">
        <v>14451</v>
      </c>
      <c r="C781" t="s">
        <v>74</v>
      </c>
      <c r="D781" t="s">
        <v>74</v>
      </c>
      <c r="E781" t="s">
        <v>74</v>
      </c>
      <c r="F781" t="s">
        <v>14452</v>
      </c>
      <c r="G781" t="s">
        <v>74</v>
      </c>
      <c r="H781" t="s">
        <v>74</v>
      </c>
      <c r="I781" t="s">
        <v>14453</v>
      </c>
      <c r="J781" t="s">
        <v>14425</v>
      </c>
      <c r="K781" t="s">
        <v>74</v>
      </c>
      <c r="L781" t="s">
        <v>74</v>
      </c>
      <c r="M781" t="s">
        <v>78</v>
      </c>
      <c r="N781" t="s">
        <v>52</v>
      </c>
      <c r="O781" t="s">
        <v>14426</v>
      </c>
      <c r="P781" t="s">
        <v>14427</v>
      </c>
      <c r="Q781" t="s">
        <v>14428</v>
      </c>
      <c r="R781" t="s">
        <v>74</v>
      </c>
      <c r="S781" t="s">
        <v>74</v>
      </c>
      <c r="T781" t="s">
        <v>74</v>
      </c>
      <c r="U781" t="s">
        <v>74</v>
      </c>
      <c r="V781" t="s">
        <v>74</v>
      </c>
      <c r="W781" t="s">
        <v>14454</v>
      </c>
      <c r="X781" t="s">
        <v>14455</v>
      </c>
      <c r="Y781" t="s">
        <v>74</v>
      </c>
      <c r="Z781" t="s">
        <v>14456</v>
      </c>
      <c r="AA781" t="s">
        <v>14457</v>
      </c>
      <c r="AB781" t="s">
        <v>14458</v>
      </c>
      <c r="AC781" t="s">
        <v>74</v>
      </c>
      <c r="AD781" t="s">
        <v>74</v>
      </c>
      <c r="AE781" t="s">
        <v>74</v>
      </c>
      <c r="AF781" t="s">
        <v>74</v>
      </c>
      <c r="AG781">
        <v>0</v>
      </c>
      <c r="AH781">
        <v>0</v>
      </c>
      <c r="AI781">
        <v>0</v>
      </c>
      <c r="AJ781">
        <v>0</v>
      </c>
      <c r="AK781">
        <v>17</v>
      </c>
      <c r="AL781" t="s">
        <v>14432</v>
      </c>
      <c r="AM781" t="s">
        <v>14433</v>
      </c>
      <c r="AN781" t="s">
        <v>14434</v>
      </c>
      <c r="AO781" t="s">
        <v>14435</v>
      </c>
      <c r="AP781" t="s">
        <v>14436</v>
      </c>
      <c r="AQ781" t="s">
        <v>74</v>
      </c>
      <c r="AR781" t="s">
        <v>14437</v>
      </c>
      <c r="AS781" t="s">
        <v>14438</v>
      </c>
      <c r="AT781" t="s">
        <v>74</v>
      </c>
      <c r="AU781">
        <v>2014</v>
      </c>
      <c r="AV781">
        <v>54</v>
      </c>
      <c r="AW781" t="s">
        <v>74</v>
      </c>
      <c r="AX781" t="s">
        <v>74</v>
      </c>
      <c r="AY781">
        <v>1</v>
      </c>
      <c r="AZ781" t="s">
        <v>74</v>
      </c>
      <c r="BA781" t="s">
        <v>74</v>
      </c>
      <c r="BB781" t="s">
        <v>14459</v>
      </c>
      <c r="BC781" t="s">
        <v>14459</v>
      </c>
      <c r="BD781" t="s">
        <v>74</v>
      </c>
      <c r="BE781" t="s">
        <v>74</v>
      </c>
      <c r="BF781" t="s">
        <v>74</v>
      </c>
      <c r="BG781" t="s">
        <v>74</v>
      </c>
      <c r="BH781" t="s">
        <v>74</v>
      </c>
      <c r="BI781">
        <v>1</v>
      </c>
      <c r="BJ781" t="s">
        <v>384</v>
      </c>
      <c r="BK781" t="s">
        <v>663</v>
      </c>
      <c r="BL781" t="s">
        <v>384</v>
      </c>
      <c r="BM781" t="s">
        <v>14440</v>
      </c>
      <c r="BN781" t="s">
        <v>74</v>
      </c>
      <c r="BO781" t="s">
        <v>74</v>
      </c>
      <c r="BP781" t="s">
        <v>74</v>
      </c>
      <c r="BQ781" t="s">
        <v>74</v>
      </c>
      <c r="BR781" t="s">
        <v>104</v>
      </c>
      <c r="BS781" t="s">
        <v>14460</v>
      </c>
      <c r="BT781" t="str">
        <f>HYPERLINK("https%3A%2F%2Fwww.webofscience.com%2Fwos%2Fwoscc%2Ffull-record%2FWOS:000333049501343","View Full Record in Web of Science")</f>
        <v>View Full Record in Web of Science</v>
      </c>
    </row>
    <row r="782" spans="1:72" x14ac:dyDescent="0.15">
      <c r="A782" t="s">
        <v>72</v>
      </c>
      <c r="B782" t="s">
        <v>14461</v>
      </c>
      <c r="C782" t="s">
        <v>74</v>
      </c>
      <c r="D782" t="s">
        <v>74</v>
      </c>
      <c r="E782" t="s">
        <v>74</v>
      </c>
      <c r="F782" t="s">
        <v>14462</v>
      </c>
      <c r="G782" t="s">
        <v>74</v>
      </c>
      <c r="H782" t="s">
        <v>74</v>
      </c>
      <c r="I782" t="s">
        <v>14463</v>
      </c>
      <c r="J782" t="s">
        <v>14464</v>
      </c>
      <c r="K782" t="s">
        <v>74</v>
      </c>
      <c r="L782" t="s">
        <v>74</v>
      </c>
      <c r="M782" t="s">
        <v>78</v>
      </c>
      <c r="N782" t="s">
        <v>79</v>
      </c>
      <c r="O782" t="s">
        <v>74</v>
      </c>
      <c r="P782" t="s">
        <v>74</v>
      </c>
      <c r="Q782" t="s">
        <v>74</v>
      </c>
      <c r="R782" t="s">
        <v>74</v>
      </c>
      <c r="S782" t="s">
        <v>74</v>
      </c>
      <c r="T782" t="s">
        <v>14465</v>
      </c>
      <c r="U782" t="s">
        <v>14466</v>
      </c>
      <c r="V782" t="s">
        <v>14467</v>
      </c>
      <c r="W782" t="s">
        <v>14468</v>
      </c>
      <c r="X782" t="s">
        <v>3388</v>
      </c>
      <c r="Y782" t="s">
        <v>14469</v>
      </c>
      <c r="Z782" t="s">
        <v>14470</v>
      </c>
      <c r="AA782" t="s">
        <v>74</v>
      </c>
      <c r="AB782" t="s">
        <v>14471</v>
      </c>
      <c r="AC782" t="s">
        <v>14472</v>
      </c>
      <c r="AD782" t="s">
        <v>14473</v>
      </c>
      <c r="AE782" t="s">
        <v>14474</v>
      </c>
      <c r="AF782" t="s">
        <v>74</v>
      </c>
      <c r="AG782">
        <v>35</v>
      </c>
      <c r="AH782">
        <v>32</v>
      </c>
      <c r="AI782">
        <v>40</v>
      </c>
      <c r="AJ782">
        <v>1</v>
      </c>
      <c r="AK782">
        <v>22</v>
      </c>
      <c r="AL782" t="s">
        <v>568</v>
      </c>
      <c r="AM782" t="s">
        <v>447</v>
      </c>
      <c r="AN782" t="s">
        <v>569</v>
      </c>
      <c r="AO782" t="s">
        <v>14475</v>
      </c>
      <c r="AP782" t="s">
        <v>14476</v>
      </c>
      <c r="AQ782" t="s">
        <v>74</v>
      </c>
      <c r="AR782" t="s">
        <v>14477</v>
      </c>
      <c r="AS782" t="s">
        <v>14478</v>
      </c>
      <c r="AT782" t="s">
        <v>13186</v>
      </c>
      <c r="AU782">
        <v>2014</v>
      </c>
      <c r="AV782">
        <v>50</v>
      </c>
      <c r="AW782">
        <v>1</v>
      </c>
      <c r="AX782" t="s">
        <v>74</v>
      </c>
      <c r="AY782" t="s">
        <v>74</v>
      </c>
      <c r="AZ782" t="s">
        <v>74</v>
      </c>
      <c r="BA782" t="s">
        <v>74</v>
      </c>
      <c r="BB782">
        <v>86</v>
      </c>
      <c r="BC782">
        <v>97</v>
      </c>
      <c r="BD782" t="s">
        <v>74</v>
      </c>
      <c r="BE782" t="s">
        <v>14479</v>
      </c>
      <c r="BF782" t="str">
        <f>HYPERLINK("http://dx.doi.org/10.1002/2013WR014061","http://dx.doi.org/10.1002/2013WR014061")</f>
        <v>http://dx.doi.org/10.1002/2013WR014061</v>
      </c>
      <c r="BG782" t="s">
        <v>74</v>
      </c>
      <c r="BH782" t="s">
        <v>74</v>
      </c>
      <c r="BI782">
        <v>12</v>
      </c>
      <c r="BJ782" t="s">
        <v>14480</v>
      </c>
      <c r="BK782" t="s">
        <v>101</v>
      </c>
      <c r="BL782" t="s">
        <v>14481</v>
      </c>
      <c r="BM782" t="s">
        <v>14482</v>
      </c>
      <c r="BN782" t="s">
        <v>74</v>
      </c>
      <c r="BO782" t="s">
        <v>200</v>
      </c>
      <c r="BP782" t="s">
        <v>74</v>
      </c>
      <c r="BQ782" t="s">
        <v>74</v>
      </c>
      <c r="BR782" t="s">
        <v>104</v>
      </c>
      <c r="BS782" t="s">
        <v>14483</v>
      </c>
      <c r="BT782" t="str">
        <f>HYPERLINK("https%3A%2F%2Fwww.webofscience.com%2Fwos%2Fwoscc%2Ffull-record%2FWOS:000331798800007","View Full Record in Web of Science")</f>
        <v>View Full Record in Web of Science</v>
      </c>
    </row>
    <row r="783" spans="1:72" x14ac:dyDescent="0.15">
      <c r="A783" t="s">
        <v>72</v>
      </c>
      <c r="B783" t="s">
        <v>14484</v>
      </c>
      <c r="C783" t="s">
        <v>74</v>
      </c>
      <c r="D783" t="s">
        <v>74</v>
      </c>
      <c r="E783" t="s">
        <v>74</v>
      </c>
      <c r="F783" t="s">
        <v>14485</v>
      </c>
      <c r="G783" t="s">
        <v>74</v>
      </c>
      <c r="H783" t="s">
        <v>74</v>
      </c>
      <c r="I783" t="s">
        <v>14486</v>
      </c>
      <c r="J783" t="s">
        <v>14487</v>
      </c>
      <c r="K783" t="s">
        <v>74</v>
      </c>
      <c r="L783" t="s">
        <v>74</v>
      </c>
      <c r="M783" t="s">
        <v>78</v>
      </c>
      <c r="N783" t="s">
        <v>79</v>
      </c>
      <c r="O783" t="s">
        <v>74</v>
      </c>
      <c r="P783" t="s">
        <v>74</v>
      </c>
      <c r="Q783" t="s">
        <v>74</v>
      </c>
      <c r="R783" t="s">
        <v>74</v>
      </c>
      <c r="S783" t="s">
        <v>74</v>
      </c>
      <c r="T783" t="s">
        <v>74</v>
      </c>
      <c r="U783" t="s">
        <v>14488</v>
      </c>
      <c r="V783" t="s">
        <v>14489</v>
      </c>
      <c r="W783" t="s">
        <v>14490</v>
      </c>
      <c r="X783" t="s">
        <v>14491</v>
      </c>
      <c r="Y783" t="s">
        <v>14492</v>
      </c>
      <c r="Z783" t="s">
        <v>14493</v>
      </c>
      <c r="AA783" t="s">
        <v>14494</v>
      </c>
      <c r="AB783" t="s">
        <v>14495</v>
      </c>
      <c r="AC783" t="s">
        <v>14496</v>
      </c>
      <c r="AD783" t="s">
        <v>14497</v>
      </c>
      <c r="AE783" t="s">
        <v>14498</v>
      </c>
      <c r="AF783" t="s">
        <v>74</v>
      </c>
      <c r="AG783">
        <v>97</v>
      </c>
      <c r="AH783">
        <v>44</v>
      </c>
      <c r="AI783">
        <v>53</v>
      </c>
      <c r="AJ783">
        <v>2</v>
      </c>
      <c r="AK783">
        <v>60</v>
      </c>
      <c r="AL783" t="s">
        <v>11943</v>
      </c>
      <c r="AM783" t="s">
        <v>1948</v>
      </c>
      <c r="AN783" t="s">
        <v>11944</v>
      </c>
      <c r="AO783" t="s">
        <v>14499</v>
      </c>
      <c r="AP783" t="s">
        <v>14500</v>
      </c>
      <c r="AQ783" t="s">
        <v>74</v>
      </c>
      <c r="AR783" t="s">
        <v>14501</v>
      </c>
      <c r="AS783" t="s">
        <v>14502</v>
      </c>
      <c r="AT783" t="s">
        <v>74</v>
      </c>
      <c r="AU783">
        <v>2014</v>
      </c>
      <c r="AV783">
        <v>16</v>
      </c>
      <c r="AW783">
        <v>4</v>
      </c>
      <c r="AX783" t="s">
        <v>74</v>
      </c>
      <c r="AY783" t="s">
        <v>74</v>
      </c>
      <c r="AZ783" t="s">
        <v>74</v>
      </c>
      <c r="BA783" t="s">
        <v>74</v>
      </c>
      <c r="BB783">
        <v>777</v>
      </c>
      <c r="BC783">
        <v>791</v>
      </c>
      <c r="BD783" t="s">
        <v>74</v>
      </c>
      <c r="BE783" t="s">
        <v>14503</v>
      </c>
      <c r="BF783" t="str">
        <f>HYPERLINK("http://dx.doi.org/10.1039/c4em00036f","http://dx.doi.org/10.1039/c4em00036f")</f>
        <v>http://dx.doi.org/10.1039/c4em00036f</v>
      </c>
      <c r="BG783" t="s">
        <v>74</v>
      </c>
      <c r="BH783" t="s">
        <v>74</v>
      </c>
      <c r="BI783">
        <v>15</v>
      </c>
      <c r="BJ783" t="s">
        <v>14504</v>
      </c>
      <c r="BK783" t="s">
        <v>101</v>
      </c>
      <c r="BL783" t="s">
        <v>14505</v>
      </c>
      <c r="BM783" t="s">
        <v>14506</v>
      </c>
      <c r="BN783">
        <v>24615241</v>
      </c>
      <c r="BO783" t="s">
        <v>270</v>
      </c>
      <c r="BP783" t="s">
        <v>74</v>
      </c>
      <c r="BQ783" t="s">
        <v>74</v>
      </c>
      <c r="BR783" t="s">
        <v>104</v>
      </c>
      <c r="BS783" t="s">
        <v>14507</v>
      </c>
      <c r="BT783" t="str">
        <f>HYPERLINK("https%3A%2F%2Fwww.webofscience.com%2Fwos%2Fwoscc%2Ffull-record%2FWOS:000333565000013","View Full Record in Web of Science")</f>
        <v>View Full Record in Web of Science</v>
      </c>
    </row>
    <row r="784" spans="1:72" x14ac:dyDescent="0.15">
      <c r="A784" t="s">
        <v>72</v>
      </c>
      <c r="B784" t="s">
        <v>14508</v>
      </c>
      <c r="C784" t="s">
        <v>74</v>
      </c>
      <c r="D784" t="s">
        <v>74</v>
      </c>
      <c r="E784" t="s">
        <v>74</v>
      </c>
      <c r="F784" t="s">
        <v>14509</v>
      </c>
      <c r="G784" t="s">
        <v>74</v>
      </c>
      <c r="H784" t="s">
        <v>74</v>
      </c>
      <c r="I784" t="s">
        <v>14510</v>
      </c>
      <c r="J784" t="s">
        <v>14511</v>
      </c>
      <c r="K784" t="s">
        <v>74</v>
      </c>
      <c r="L784" t="s">
        <v>74</v>
      </c>
      <c r="M784" t="s">
        <v>78</v>
      </c>
      <c r="N784" t="s">
        <v>79</v>
      </c>
      <c r="O784" t="s">
        <v>74</v>
      </c>
      <c r="P784" t="s">
        <v>74</v>
      </c>
      <c r="Q784" t="s">
        <v>74</v>
      </c>
      <c r="R784" t="s">
        <v>74</v>
      </c>
      <c r="S784" t="s">
        <v>74</v>
      </c>
      <c r="T784" t="s">
        <v>14512</v>
      </c>
      <c r="U784" t="s">
        <v>14513</v>
      </c>
      <c r="V784" t="s">
        <v>14514</v>
      </c>
      <c r="W784" t="s">
        <v>14515</v>
      </c>
      <c r="X784" t="s">
        <v>14516</v>
      </c>
      <c r="Y784" t="s">
        <v>14517</v>
      </c>
      <c r="Z784" t="s">
        <v>14518</v>
      </c>
      <c r="AA784" t="s">
        <v>14519</v>
      </c>
      <c r="AB784" t="s">
        <v>14520</v>
      </c>
      <c r="AC784" t="s">
        <v>74</v>
      </c>
      <c r="AD784" t="s">
        <v>74</v>
      </c>
      <c r="AE784" t="s">
        <v>74</v>
      </c>
      <c r="AF784" t="s">
        <v>74</v>
      </c>
      <c r="AG784">
        <v>116</v>
      </c>
      <c r="AH784">
        <v>19</v>
      </c>
      <c r="AI784">
        <v>20</v>
      </c>
      <c r="AJ784">
        <v>1</v>
      </c>
      <c r="AK784">
        <v>53</v>
      </c>
      <c r="AL784" t="s">
        <v>521</v>
      </c>
      <c r="AM784" t="s">
        <v>522</v>
      </c>
      <c r="AN784" t="s">
        <v>523</v>
      </c>
      <c r="AO784" t="s">
        <v>14521</v>
      </c>
      <c r="AP784" t="s">
        <v>14522</v>
      </c>
      <c r="AQ784" t="s">
        <v>74</v>
      </c>
      <c r="AR784" t="s">
        <v>14523</v>
      </c>
      <c r="AS784" t="s">
        <v>14524</v>
      </c>
      <c r="AT784" t="s">
        <v>13186</v>
      </c>
      <c r="AU784">
        <v>2014</v>
      </c>
      <c r="AV784">
        <v>24</v>
      </c>
      <c r="AW784" t="s">
        <v>74</v>
      </c>
      <c r="AX784" t="s">
        <v>74</v>
      </c>
      <c r="AY784" t="s">
        <v>74</v>
      </c>
      <c r="AZ784" t="s">
        <v>74</v>
      </c>
      <c r="BA784" t="s">
        <v>74</v>
      </c>
      <c r="BB784">
        <v>30</v>
      </c>
      <c r="BC784">
        <v>41</v>
      </c>
      <c r="BD784" t="s">
        <v>74</v>
      </c>
      <c r="BE784" t="s">
        <v>14525</v>
      </c>
      <c r="BF784" t="str">
        <f>HYPERLINK("http://dx.doi.org/10.1016/j.gloenvcha.2013.11.014","http://dx.doi.org/10.1016/j.gloenvcha.2013.11.014")</f>
        <v>http://dx.doi.org/10.1016/j.gloenvcha.2013.11.014</v>
      </c>
      <c r="BG784" t="s">
        <v>74</v>
      </c>
      <c r="BH784" t="s">
        <v>74</v>
      </c>
      <c r="BI784">
        <v>12</v>
      </c>
      <c r="BJ784" t="s">
        <v>14526</v>
      </c>
      <c r="BK784" t="s">
        <v>479</v>
      </c>
      <c r="BL784" t="s">
        <v>14527</v>
      </c>
      <c r="BM784" t="s">
        <v>14528</v>
      </c>
      <c r="BN784" t="s">
        <v>74</v>
      </c>
      <c r="BO784" t="s">
        <v>74</v>
      </c>
      <c r="BP784" t="s">
        <v>74</v>
      </c>
      <c r="BQ784" t="s">
        <v>74</v>
      </c>
      <c r="BR784" t="s">
        <v>104</v>
      </c>
      <c r="BS784" t="s">
        <v>14529</v>
      </c>
      <c r="BT784" t="str">
        <f>HYPERLINK("https%3A%2F%2Fwww.webofscience.com%2Fwos%2Fwoscc%2Ffull-record%2FWOS:000333506100005","View Full Record in Web of Science")</f>
        <v>View Full Record in Web of Science</v>
      </c>
    </row>
    <row r="785" spans="1:72" x14ac:dyDescent="0.15">
      <c r="A785" t="s">
        <v>72</v>
      </c>
      <c r="B785" t="s">
        <v>14530</v>
      </c>
      <c r="C785" t="s">
        <v>74</v>
      </c>
      <c r="D785" t="s">
        <v>74</v>
      </c>
      <c r="E785" t="s">
        <v>74</v>
      </c>
      <c r="F785" t="s">
        <v>14531</v>
      </c>
      <c r="G785" t="s">
        <v>74</v>
      </c>
      <c r="H785" t="s">
        <v>74</v>
      </c>
      <c r="I785" t="s">
        <v>14532</v>
      </c>
      <c r="J785" t="s">
        <v>10525</v>
      </c>
      <c r="K785" t="s">
        <v>74</v>
      </c>
      <c r="L785" t="s">
        <v>74</v>
      </c>
      <c r="M785" t="s">
        <v>78</v>
      </c>
      <c r="N785" t="s">
        <v>79</v>
      </c>
      <c r="O785" t="s">
        <v>74</v>
      </c>
      <c r="P785" t="s">
        <v>74</v>
      </c>
      <c r="Q785" t="s">
        <v>74</v>
      </c>
      <c r="R785" t="s">
        <v>74</v>
      </c>
      <c r="S785" t="s">
        <v>74</v>
      </c>
      <c r="T785" t="s">
        <v>14533</v>
      </c>
      <c r="U785" t="s">
        <v>14534</v>
      </c>
      <c r="V785" t="s">
        <v>14535</v>
      </c>
      <c r="W785" t="s">
        <v>14536</v>
      </c>
      <c r="X785" t="s">
        <v>14537</v>
      </c>
      <c r="Y785" t="s">
        <v>14538</v>
      </c>
      <c r="Z785" t="s">
        <v>14539</v>
      </c>
      <c r="AA785" t="s">
        <v>14540</v>
      </c>
      <c r="AB785" t="s">
        <v>14541</v>
      </c>
      <c r="AC785" t="s">
        <v>14542</v>
      </c>
      <c r="AD785" t="s">
        <v>14543</v>
      </c>
      <c r="AE785" t="s">
        <v>14544</v>
      </c>
      <c r="AF785" t="s">
        <v>74</v>
      </c>
      <c r="AG785">
        <v>29</v>
      </c>
      <c r="AH785">
        <v>3</v>
      </c>
      <c r="AI785">
        <v>4</v>
      </c>
      <c r="AJ785">
        <v>0</v>
      </c>
      <c r="AK785">
        <v>12</v>
      </c>
      <c r="AL785" t="s">
        <v>10538</v>
      </c>
      <c r="AM785" t="s">
        <v>10539</v>
      </c>
      <c r="AN785" t="s">
        <v>10540</v>
      </c>
      <c r="AO785" t="s">
        <v>10541</v>
      </c>
      <c r="AP785" t="s">
        <v>74</v>
      </c>
      <c r="AQ785" t="s">
        <v>74</v>
      </c>
      <c r="AR785" t="s">
        <v>10543</v>
      </c>
      <c r="AS785" t="s">
        <v>10544</v>
      </c>
      <c r="AT785" t="s">
        <v>74</v>
      </c>
      <c r="AU785">
        <v>2014</v>
      </c>
      <c r="AV785">
        <v>63</v>
      </c>
      <c r="AW785">
        <v>1</v>
      </c>
      <c r="AX785" t="s">
        <v>74</v>
      </c>
      <c r="AY785" t="s">
        <v>74</v>
      </c>
      <c r="AZ785" t="s">
        <v>74</v>
      </c>
      <c r="BA785" t="s">
        <v>74</v>
      </c>
      <c r="BB785">
        <v>75</v>
      </c>
      <c r="BC785">
        <v>82</v>
      </c>
      <c r="BD785" t="s">
        <v>74</v>
      </c>
      <c r="BE785" t="s">
        <v>74</v>
      </c>
      <c r="BF785" t="s">
        <v>74</v>
      </c>
      <c r="BG785" t="s">
        <v>74</v>
      </c>
      <c r="BH785" t="s">
        <v>74</v>
      </c>
      <c r="BI785">
        <v>8</v>
      </c>
      <c r="BJ785" t="s">
        <v>3624</v>
      </c>
      <c r="BK785" t="s">
        <v>101</v>
      </c>
      <c r="BL785" t="s">
        <v>3624</v>
      </c>
      <c r="BM785" t="s">
        <v>14545</v>
      </c>
      <c r="BN785">
        <v>25033666</v>
      </c>
      <c r="BO785" t="s">
        <v>74</v>
      </c>
      <c r="BP785" t="s">
        <v>74</v>
      </c>
      <c r="BQ785" t="s">
        <v>74</v>
      </c>
      <c r="BR785" t="s">
        <v>104</v>
      </c>
      <c r="BS785" t="s">
        <v>14546</v>
      </c>
      <c r="BT785" t="str">
        <f>HYPERLINK("https%3A%2F%2Fwww.webofscience.com%2Fwos%2Fwoscc%2Ffull-record%2FWOS:000333877300011","View Full Record in Web of Science")</f>
        <v>View Full Record in Web of Science</v>
      </c>
    </row>
    <row r="786" spans="1:72" x14ac:dyDescent="0.15">
      <c r="A786" t="s">
        <v>72</v>
      </c>
      <c r="B786" t="s">
        <v>14547</v>
      </c>
      <c r="C786" t="s">
        <v>74</v>
      </c>
      <c r="D786" t="s">
        <v>74</v>
      </c>
      <c r="E786" t="s">
        <v>74</v>
      </c>
      <c r="F786" t="s">
        <v>14548</v>
      </c>
      <c r="G786" t="s">
        <v>74</v>
      </c>
      <c r="H786" t="s">
        <v>74</v>
      </c>
      <c r="I786" t="s">
        <v>14549</v>
      </c>
      <c r="J786" t="s">
        <v>10713</v>
      </c>
      <c r="K786" t="s">
        <v>74</v>
      </c>
      <c r="L786" t="s">
        <v>74</v>
      </c>
      <c r="M786" t="s">
        <v>78</v>
      </c>
      <c r="N786" t="s">
        <v>79</v>
      </c>
      <c r="O786" t="s">
        <v>74</v>
      </c>
      <c r="P786" t="s">
        <v>74</v>
      </c>
      <c r="Q786" t="s">
        <v>74</v>
      </c>
      <c r="R786" t="s">
        <v>74</v>
      </c>
      <c r="S786" t="s">
        <v>74</v>
      </c>
      <c r="T786" t="s">
        <v>14550</v>
      </c>
      <c r="U786" t="s">
        <v>14551</v>
      </c>
      <c r="V786" t="s">
        <v>14552</v>
      </c>
      <c r="W786" t="s">
        <v>14553</v>
      </c>
      <c r="X786" t="s">
        <v>14554</v>
      </c>
      <c r="Y786" t="s">
        <v>14555</v>
      </c>
      <c r="Z786" t="s">
        <v>14556</v>
      </c>
      <c r="AA786" t="s">
        <v>74</v>
      </c>
      <c r="AB786" t="s">
        <v>74</v>
      </c>
      <c r="AC786" t="s">
        <v>14557</v>
      </c>
      <c r="AD786" t="s">
        <v>74</v>
      </c>
      <c r="AE786" t="s">
        <v>14558</v>
      </c>
      <c r="AF786" t="s">
        <v>74</v>
      </c>
      <c r="AG786">
        <v>100</v>
      </c>
      <c r="AH786">
        <v>8</v>
      </c>
      <c r="AI786">
        <v>9</v>
      </c>
      <c r="AJ786">
        <v>1</v>
      </c>
      <c r="AK786">
        <v>16</v>
      </c>
      <c r="AL786" t="s">
        <v>10723</v>
      </c>
      <c r="AM786" t="s">
        <v>10724</v>
      </c>
      <c r="AN786" t="s">
        <v>10725</v>
      </c>
      <c r="AO786" t="s">
        <v>10726</v>
      </c>
      <c r="AP786" t="s">
        <v>10727</v>
      </c>
      <c r="AQ786" t="s">
        <v>74</v>
      </c>
      <c r="AR786" t="s">
        <v>10728</v>
      </c>
      <c r="AS786" t="s">
        <v>10729</v>
      </c>
      <c r="AT786" t="s">
        <v>74</v>
      </c>
      <c r="AU786">
        <v>2014</v>
      </c>
      <c r="AV786">
        <v>35</v>
      </c>
      <c r="AW786">
        <v>1</v>
      </c>
      <c r="AX786" t="s">
        <v>74</v>
      </c>
      <c r="AY786" t="s">
        <v>74</v>
      </c>
      <c r="AZ786" t="s">
        <v>74</v>
      </c>
      <c r="BA786" t="s">
        <v>74</v>
      </c>
      <c r="BB786">
        <v>1</v>
      </c>
      <c r="BC786">
        <v>26</v>
      </c>
      <c r="BD786" t="s">
        <v>74</v>
      </c>
      <c r="BE786" t="s">
        <v>14559</v>
      </c>
      <c r="BF786" t="str">
        <f>HYPERLINK("http://dx.doi.org/10.2478/popore-2014-0003","http://dx.doi.org/10.2478/popore-2014-0003")</f>
        <v>http://dx.doi.org/10.2478/popore-2014-0003</v>
      </c>
      <c r="BG786" t="s">
        <v>74</v>
      </c>
      <c r="BH786" t="s">
        <v>74</v>
      </c>
      <c r="BI786">
        <v>26</v>
      </c>
      <c r="BJ786" t="s">
        <v>2923</v>
      </c>
      <c r="BK786" t="s">
        <v>101</v>
      </c>
      <c r="BL786" t="s">
        <v>357</v>
      </c>
      <c r="BM786" t="s">
        <v>14560</v>
      </c>
      <c r="BN786" t="s">
        <v>74</v>
      </c>
      <c r="BO786" t="s">
        <v>1371</v>
      </c>
      <c r="BP786" t="s">
        <v>74</v>
      </c>
      <c r="BQ786" t="s">
        <v>74</v>
      </c>
      <c r="BR786" t="s">
        <v>104</v>
      </c>
      <c r="BS786" t="s">
        <v>14561</v>
      </c>
      <c r="BT786" t="str">
        <f>HYPERLINK("https%3A%2F%2Fwww.webofscience.com%2Fwos%2Fwoscc%2Ffull-record%2FWOS:000333773600001","View Full Record in Web of Science")</f>
        <v>View Full Record in Web of Science</v>
      </c>
    </row>
    <row r="787" spans="1:72" x14ac:dyDescent="0.15">
      <c r="A787" t="s">
        <v>72</v>
      </c>
      <c r="B787" t="s">
        <v>11003</v>
      </c>
      <c r="C787" t="s">
        <v>74</v>
      </c>
      <c r="D787" t="s">
        <v>74</v>
      </c>
      <c r="E787" t="s">
        <v>74</v>
      </c>
      <c r="F787" t="s">
        <v>11004</v>
      </c>
      <c r="G787" t="s">
        <v>74</v>
      </c>
      <c r="H787" t="s">
        <v>74</v>
      </c>
      <c r="I787" t="s">
        <v>14562</v>
      </c>
      <c r="J787" t="s">
        <v>10713</v>
      </c>
      <c r="K787" t="s">
        <v>74</v>
      </c>
      <c r="L787" t="s">
        <v>74</v>
      </c>
      <c r="M787" t="s">
        <v>78</v>
      </c>
      <c r="N787" t="s">
        <v>79</v>
      </c>
      <c r="O787" t="s">
        <v>74</v>
      </c>
      <c r="P787" t="s">
        <v>74</v>
      </c>
      <c r="Q787" t="s">
        <v>74</v>
      </c>
      <c r="R787" t="s">
        <v>74</v>
      </c>
      <c r="S787" t="s">
        <v>74</v>
      </c>
      <c r="T787" t="s">
        <v>14563</v>
      </c>
      <c r="U787" t="s">
        <v>14564</v>
      </c>
      <c r="V787" t="s">
        <v>14565</v>
      </c>
      <c r="W787" t="s">
        <v>14566</v>
      </c>
      <c r="X787" t="s">
        <v>11010</v>
      </c>
      <c r="Y787" t="s">
        <v>14567</v>
      </c>
      <c r="Z787" t="s">
        <v>11012</v>
      </c>
      <c r="AA787" t="s">
        <v>14568</v>
      </c>
      <c r="AB787" t="s">
        <v>14569</v>
      </c>
      <c r="AC787" t="s">
        <v>74</v>
      </c>
      <c r="AD787" t="s">
        <v>74</v>
      </c>
      <c r="AE787" t="s">
        <v>74</v>
      </c>
      <c r="AF787" t="s">
        <v>74</v>
      </c>
      <c r="AG787">
        <v>29</v>
      </c>
      <c r="AH787">
        <v>6</v>
      </c>
      <c r="AI787">
        <v>7</v>
      </c>
      <c r="AJ787">
        <v>0</v>
      </c>
      <c r="AK787">
        <v>6</v>
      </c>
      <c r="AL787" t="s">
        <v>10723</v>
      </c>
      <c r="AM787" t="s">
        <v>10724</v>
      </c>
      <c r="AN787" t="s">
        <v>10725</v>
      </c>
      <c r="AO787" t="s">
        <v>10726</v>
      </c>
      <c r="AP787" t="s">
        <v>10727</v>
      </c>
      <c r="AQ787" t="s">
        <v>74</v>
      </c>
      <c r="AR787" t="s">
        <v>10728</v>
      </c>
      <c r="AS787" t="s">
        <v>10729</v>
      </c>
      <c r="AT787" t="s">
        <v>74</v>
      </c>
      <c r="AU787">
        <v>2014</v>
      </c>
      <c r="AV787">
        <v>35</v>
      </c>
      <c r="AW787">
        <v>1</v>
      </c>
      <c r="AX787" t="s">
        <v>74</v>
      </c>
      <c r="AY787" t="s">
        <v>74</v>
      </c>
      <c r="AZ787" t="s">
        <v>74</v>
      </c>
      <c r="BA787" t="s">
        <v>74</v>
      </c>
      <c r="BB787">
        <v>27</v>
      </c>
      <c r="BC787">
        <v>39</v>
      </c>
      <c r="BD787" t="s">
        <v>74</v>
      </c>
      <c r="BE787" t="s">
        <v>14570</v>
      </c>
      <c r="BF787" t="str">
        <f>HYPERLINK("http://dx.doi.org/10.2478/popore-2014-0005","http://dx.doi.org/10.2478/popore-2014-0005")</f>
        <v>http://dx.doi.org/10.2478/popore-2014-0005</v>
      </c>
      <c r="BG787" t="s">
        <v>74</v>
      </c>
      <c r="BH787" t="s">
        <v>74</v>
      </c>
      <c r="BI787">
        <v>13</v>
      </c>
      <c r="BJ787" t="s">
        <v>2923</v>
      </c>
      <c r="BK787" t="s">
        <v>101</v>
      </c>
      <c r="BL787" t="s">
        <v>357</v>
      </c>
      <c r="BM787" t="s">
        <v>14560</v>
      </c>
      <c r="BN787" t="s">
        <v>74</v>
      </c>
      <c r="BO787" t="s">
        <v>74</v>
      </c>
      <c r="BP787" t="s">
        <v>74</v>
      </c>
      <c r="BQ787" t="s">
        <v>74</v>
      </c>
      <c r="BR787" t="s">
        <v>104</v>
      </c>
      <c r="BS787" t="s">
        <v>14571</v>
      </c>
      <c r="BT787" t="str">
        <f>HYPERLINK("https%3A%2F%2Fwww.webofscience.com%2Fwos%2Fwoscc%2Ffull-record%2FWOS:000333773600002","View Full Record in Web of Science")</f>
        <v>View Full Record in Web of Science</v>
      </c>
    </row>
    <row r="788" spans="1:72" x14ac:dyDescent="0.15">
      <c r="A788" t="s">
        <v>72</v>
      </c>
      <c r="B788" t="s">
        <v>14572</v>
      </c>
      <c r="C788" t="s">
        <v>74</v>
      </c>
      <c r="D788" t="s">
        <v>74</v>
      </c>
      <c r="E788" t="s">
        <v>74</v>
      </c>
      <c r="F788" t="s">
        <v>14573</v>
      </c>
      <c r="G788" t="s">
        <v>74</v>
      </c>
      <c r="H788" t="s">
        <v>74</v>
      </c>
      <c r="I788" t="s">
        <v>14574</v>
      </c>
      <c r="J788" t="s">
        <v>10713</v>
      </c>
      <c r="K788" t="s">
        <v>74</v>
      </c>
      <c r="L788" t="s">
        <v>74</v>
      </c>
      <c r="M788" t="s">
        <v>78</v>
      </c>
      <c r="N788" t="s">
        <v>79</v>
      </c>
      <c r="O788" t="s">
        <v>74</v>
      </c>
      <c r="P788" t="s">
        <v>74</v>
      </c>
      <c r="Q788" t="s">
        <v>74</v>
      </c>
      <c r="R788" t="s">
        <v>74</v>
      </c>
      <c r="S788" t="s">
        <v>74</v>
      </c>
      <c r="T788" t="s">
        <v>14575</v>
      </c>
      <c r="U788" t="s">
        <v>14576</v>
      </c>
      <c r="V788" t="s">
        <v>14577</v>
      </c>
      <c r="W788" t="s">
        <v>14578</v>
      </c>
      <c r="X788" t="s">
        <v>14579</v>
      </c>
      <c r="Y788" t="s">
        <v>14580</v>
      </c>
      <c r="Z788" t="s">
        <v>14581</v>
      </c>
      <c r="AA788" t="s">
        <v>14582</v>
      </c>
      <c r="AB788" t="s">
        <v>14583</v>
      </c>
      <c r="AC788" t="s">
        <v>14584</v>
      </c>
      <c r="AD788" t="s">
        <v>11096</v>
      </c>
      <c r="AE788" t="s">
        <v>14585</v>
      </c>
      <c r="AF788" t="s">
        <v>74</v>
      </c>
      <c r="AG788">
        <v>44</v>
      </c>
      <c r="AH788">
        <v>6</v>
      </c>
      <c r="AI788">
        <v>7</v>
      </c>
      <c r="AJ788">
        <v>0</v>
      </c>
      <c r="AK788">
        <v>13</v>
      </c>
      <c r="AL788" t="s">
        <v>11131</v>
      </c>
      <c r="AM788" t="s">
        <v>10724</v>
      </c>
      <c r="AN788" t="s">
        <v>11132</v>
      </c>
      <c r="AO788" t="s">
        <v>10726</v>
      </c>
      <c r="AP788" t="s">
        <v>10727</v>
      </c>
      <c r="AQ788" t="s">
        <v>74</v>
      </c>
      <c r="AR788" t="s">
        <v>10728</v>
      </c>
      <c r="AS788" t="s">
        <v>10729</v>
      </c>
      <c r="AT788" t="s">
        <v>74</v>
      </c>
      <c r="AU788">
        <v>2014</v>
      </c>
      <c r="AV788">
        <v>35</v>
      </c>
      <c r="AW788">
        <v>1</v>
      </c>
      <c r="AX788" t="s">
        <v>74</v>
      </c>
      <c r="AY788" t="s">
        <v>74</v>
      </c>
      <c r="AZ788" t="s">
        <v>74</v>
      </c>
      <c r="BA788" t="s">
        <v>74</v>
      </c>
      <c r="BB788">
        <v>115</v>
      </c>
      <c r="BC788">
        <v>131</v>
      </c>
      <c r="BD788" t="s">
        <v>74</v>
      </c>
      <c r="BE788" t="s">
        <v>14586</v>
      </c>
      <c r="BF788" t="str">
        <f>HYPERLINK("http://dx.doi.org/10.2478/popore-2014-0007","http://dx.doi.org/10.2478/popore-2014-0007")</f>
        <v>http://dx.doi.org/10.2478/popore-2014-0007</v>
      </c>
      <c r="BG788" t="s">
        <v>74</v>
      </c>
      <c r="BH788" t="s">
        <v>74</v>
      </c>
      <c r="BI788">
        <v>17</v>
      </c>
      <c r="BJ788" t="s">
        <v>2923</v>
      </c>
      <c r="BK788" t="s">
        <v>101</v>
      </c>
      <c r="BL788" t="s">
        <v>357</v>
      </c>
      <c r="BM788" t="s">
        <v>14560</v>
      </c>
      <c r="BN788" t="s">
        <v>74</v>
      </c>
      <c r="BO788" t="s">
        <v>270</v>
      </c>
      <c r="BP788" t="s">
        <v>74</v>
      </c>
      <c r="BQ788" t="s">
        <v>74</v>
      </c>
      <c r="BR788" t="s">
        <v>104</v>
      </c>
      <c r="BS788" t="s">
        <v>14587</v>
      </c>
      <c r="BT788" t="str">
        <f>HYPERLINK("https%3A%2F%2Fwww.webofscience.com%2Fwos%2Fwoscc%2Ffull-record%2FWOS:000333773600006","View Full Record in Web of Science")</f>
        <v>View Full Record in Web of Science</v>
      </c>
    </row>
    <row r="789" spans="1:72" x14ac:dyDescent="0.15">
      <c r="A789" t="s">
        <v>72</v>
      </c>
      <c r="B789" t="s">
        <v>14588</v>
      </c>
      <c r="C789" t="s">
        <v>74</v>
      </c>
      <c r="D789" t="s">
        <v>74</v>
      </c>
      <c r="E789" t="s">
        <v>74</v>
      </c>
      <c r="F789" t="s">
        <v>14589</v>
      </c>
      <c r="G789" t="s">
        <v>74</v>
      </c>
      <c r="H789" t="s">
        <v>74</v>
      </c>
      <c r="I789" t="s">
        <v>14590</v>
      </c>
      <c r="J789" t="s">
        <v>792</v>
      </c>
      <c r="K789" t="s">
        <v>74</v>
      </c>
      <c r="L789" t="s">
        <v>74</v>
      </c>
      <c r="M789" t="s">
        <v>78</v>
      </c>
      <c r="N789" t="s">
        <v>79</v>
      </c>
      <c r="O789" t="s">
        <v>74</v>
      </c>
      <c r="P789" t="s">
        <v>74</v>
      </c>
      <c r="Q789" t="s">
        <v>74</v>
      </c>
      <c r="R789" t="s">
        <v>74</v>
      </c>
      <c r="S789" t="s">
        <v>74</v>
      </c>
      <c r="T789" t="s">
        <v>14591</v>
      </c>
      <c r="U789" t="s">
        <v>14592</v>
      </c>
      <c r="V789" t="s">
        <v>14593</v>
      </c>
      <c r="W789" t="s">
        <v>14594</v>
      </c>
      <c r="X789" t="s">
        <v>14595</v>
      </c>
      <c r="Y789" t="s">
        <v>14596</v>
      </c>
      <c r="Z789" t="s">
        <v>14597</v>
      </c>
      <c r="AA789" t="s">
        <v>14598</v>
      </c>
      <c r="AB789" t="s">
        <v>14599</v>
      </c>
      <c r="AC789" t="s">
        <v>14600</v>
      </c>
      <c r="AD789" t="s">
        <v>14601</v>
      </c>
      <c r="AE789" t="s">
        <v>14602</v>
      </c>
      <c r="AF789" t="s">
        <v>74</v>
      </c>
      <c r="AG789">
        <v>72</v>
      </c>
      <c r="AH789">
        <v>80</v>
      </c>
      <c r="AI789">
        <v>81</v>
      </c>
      <c r="AJ789">
        <v>0</v>
      </c>
      <c r="AK789">
        <v>36</v>
      </c>
      <c r="AL789" t="s">
        <v>568</v>
      </c>
      <c r="AM789" t="s">
        <v>447</v>
      </c>
      <c r="AN789" t="s">
        <v>569</v>
      </c>
      <c r="AO789" t="s">
        <v>804</v>
      </c>
      <c r="AP789" t="s">
        <v>805</v>
      </c>
      <c r="AQ789" t="s">
        <v>74</v>
      </c>
      <c r="AR789" t="s">
        <v>806</v>
      </c>
      <c r="AS789" t="s">
        <v>807</v>
      </c>
      <c r="AT789" t="s">
        <v>13186</v>
      </c>
      <c r="AU789">
        <v>2014</v>
      </c>
      <c r="AV789">
        <v>119</v>
      </c>
      <c r="AW789">
        <v>1</v>
      </c>
      <c r="AX789" t="s">
        <v>74</v>
      </c>
      <c r="AY789" t="s">
        <v>74</v>
      </c>
      <c r="AZ789" t="s">
        <v>74</v>
      </c>
      <c r="BA789" t="s">
        <v>74</v>
      </c>
      <c r="BB789">
        <v>378</v>
      </c>
      <c r="BC789">
        <v>395</v>
      </c>
      <c r="BD789" t="s">
        <v>74</v>
      </c>
      <c r="BE789" t="s">
        <v>14603</v>
      </c>
      <c r="BF789" t="str">
        <f>HYPERLINK("http://dx.doi.org/10.1002/2013JB010642","http://dx.doi.org/10.1002/2013JB010642")</f>
        <v>http://dx.doi.org/10.1002/2013JB010642</v>
      </c>
      <c r="BG789" t="s">
        <v>74</v>
      </c>
      <c r="BH789" t="s">
        <v>74</v>
      </c>
      <c r="BI789">
        <v>18</v>
      </c>
      <c r="BJ789" t="s">
        <v>574</v>
      </c>
      <c r="BK789" t="s">
        <v>101</v>
      </c>
      <c r="BL789" t="s">
        <v>574</v>
      </c>
      <c r="BM789" t="s">
        <v>14604</v>
      </c>
      <c r="BN789" t="s">
        <v>74</v>
      </c>
      <c r="BO789" t="s">
        <v>810</v>
      </c>
      <c r="BP789" t="s">
        <v>74</v>
      </c>
      <c r="BQ789" t="s">
        <v>74</v>
      </c>
      <c r="BR789" t="s">
        <v>104</v>
      </c>
      <c r="BS789" t="s">
        <v>14605</v>
      </c>
      <c r="BT789" t="str">
        <f>HYPERLINK("https%3A%2F%2Fwww.webofscience.com%2Fwos%2Fwoscc%2Ffull-record%2FWOS:000333033400023","View Full Record in Web of Science")</f>
        <v>View Full Record in Web of Science</v>
      </c>
    </row>
    <row r="790" spans="1:72" x14ac:dyDescent="0.15">
      <c r="A790" t="s">
        <v>72</v>
      </c>
      <c r="B790" t="s">
        <v>14606</v>
      </c>
      <c r="C790" t="s">
        <v>74</v>
      </c>
      <c r="D790" t="s">
        <v>74</v>
      </c>
      <c r="E790" t="s">
        <v>74</v>
      </c>
      <c r="F790" t="s">
        <v>14607</v>
      </c>
      <c r="G790" t="s">
        <v>74</v>
      </c>
      <c r="H790" t="s">
        <v>74</v>
      </c>
      <c r="I790" t="s">
        <v>14608</v>
      </c>
      <c r="J790" t="s">
        <v>817</v>
      </c>
      <c r="K790" t="s">
        <v>74</v>
      </c>
      <c r="L790" t="s">
        <v>74</v>
      </c>
      <c r="M790" t="s">
        <v>78</v>
      </c>
      <c r="N790" t="s">
        <v>79</v>
      </c>
      <c r="O790" t="s">
        <v>74</v>
      </c>
      <c r="P790" t="s">
        <v>74</v>
      </c>
      <c r="Q790" t="s">
        <v>74</v>
      </c>
      <c r="R790" t="s">
        <v>74</v>
      </c>
      <c r="S790" t="s">
        <v>74</v>
      </c>
      <c r="T790" t="s">
        <v>14609</v>
      </c>
      <c r="U790" t="s">
        <v>14610</v>
      </c>
      <c r="V790" t="s">
        <v>14611</v>
      </c>
      <c r="W790" t="s">
        <v>14612</v>
      </c>
      <c r="X790" t="s">
        <v>14613</v>
      </c>
      <c r="Y790" t="s">
        <v>14614</v>
      </c>
      <c r="Z790" t="s">
        <v>14615</v>
      </c>
      <c r="AA790" t="s">
        <v>14616</v>
      </c>
      <c r="AB790" t="s">
        <v>14617</v>
      </c>
      <c r="AC790" t="s">
        <v>14618</v>
      </c>
      <c r="AD790" t="s">
        <v>14619</v>
      </c>
      <c r="AE790" t="s">
        <v>14620</v>
      </c>
      <c r="AF790" t="s">
        <v>74</v>
      </c>
      <c r="AG790">
        <v>36</v>
      </c>
      <c r="AH790">
        <v>35</v>
      </c>
      <c r="AI790">
        <v>38</v>
      </c>
      <c r="AJ790">
        <v>1</v>
      </c>
      <c r="AK790">
        <v>32</v>
      </c>
      <c r="AL790" t="s">
        <v>568</v>
      </c>
      <c r="AM790" t="s">
        <v>447</v>
      </c>
      <c r="AN790" t="s">
        <v>569</v>
      </c>
      <c r="AO790" t="s">
        <v>830</v>
      </c>
      <c r="AP790" t="s">
        <v>831</v>
      </c>
      <c r="AQ790" t="s">
        <v>74</v>
      </c>
      <c r="AR790" t="s">
        <v>832</v>
      </c>
      <c r="AS790" t="s">
        <v>833</v>
      </c>
      <c r="AT790" t="s">
        <v>13186</v>
      </c>
      <c r="AU790">
        <v>2014</v>
      </c>
      <c r="AV790">
        <v>119</v>
      </c>
      <c r="AW790">
        <v>1</v>
      </c>
      <c r="AX790" t="s">
        <v>74</v>
      </c>
      <c r="AY790" t="s">
        <v>74</v>
      </c>
      <c r="AZ790" t="s">
        <v>74</v>
      </c>
      <c r="BA790" t="s">
        <v>74</v>
      </c>
      <c r="BB790">
        <v>601</v>
      </c>
      <c r="BC790">
        <v>619</v>
      </c>
      <c r="BD790" t="s">
        <v>74</v>
      </c>
      <c r="BE790" t="s">
        <v>14621</v>
      </c>
      <c r="BF790" t="str">
        <f>HYPERLINK("http://dx.doi.org/10.1002/2013JA019501","http://dx.doi.org/10.1002/2013JA019501")</f>
        <v>http://dx.doi.org/10.1002/2013JA019501</v>
      </c>
      <c r="BG790" t="s">
        <v>74</v>
      </c>
      <c r="BH790" t="s">
        <v>74</v>
      </c>
      <c r="BI790">
        <v>19</v>
      </c>
      <c r="BJ790" t="s">
        <v>332</v>
      </c>
      <c r="BK790" t="s">
        <v>101</v>
      </c>
      <c r="BL790" t="s">
        <v>332</v>
      </c>
      <c r="BM790" t="s">
        <v>14622</v>
      </c>
      <c r="BN790" t="s">
        <v>74</v>
      </c>
      <c r="BO790" t="s">
        <v>74</v>
      </c>
      <c r="BP790" t="s">
        <v>74</v>
      </c>
      <c r="BQ790" t="s">
        <v>74</v>
      </c>
      <c r="BR790" t="s">
        <v>104</v>
      </c>
      <c r="BS790" t="s">
        <v>14623</v>
      </c>
      <c r="BT790" t="str">
        <f>HYPERLINK("https%3A%2F%2Fwww.webofscience.com%2Fwos%2Fwoscc%2Ffull-record%2FWOS:000333028600049","View Full Record in Web of Science")</f>
        <v>View Full Record in Web of Science</v>
      </c>
    </row>
    <row r="791" spans="1:72" x14ac:dyDescent="0.15">
      <c r="A791" t="s">
        <v>72</v>
      </c>
      <c r="B791" t="s">
        <v>14624</v>
      </c>
      <c r="C791" t="s">
        <v>74</v>
      </c>
      <c r="D791" t="s">
        <v>74</v>
      </c>
      <c r="E791" t="s">
        <v>74</v>
      </c>
      <c r="F791" t="s">
        <v>14625</v>
      </c>
      <c r="G791" t="s">
        <v>74</v>
      </c>
      <c r="H791" t="s">
        <v>74</v>
      </c>
      <c r="I791" t="s">
        <v>14626</v>
      </c>
      <c r="J791" t="s">
        <v>11225</v>
      </c>
      <c r="K791" t="s">
        <v>74</v>
      </c>
      <c r="L791" t="s">
        <v>74</v>
      </c>
      <c r="M791" t="s">
        <v>78</v>
      </c>
      <c r="N791" t="s">
        <v>79</v>
      </c>
      <c r="O791" t="s">
        <v>74</v>
      </c>
      <c r="P791" t="s">
        <v>74</v>
      </c>
      <c r="Q791" t="s">
        <v>74</v>
      </c>
      <c r="R791" t="s">
        <v>74</v>
      </c>
      <c r="S791" t="s">
        <v>74</v>
      </c>
      <c r="T791" t="s">
        <v>14627</v>
      </c>
      <c r="U791" t="s">
        <v>14628</v>
      </c>
      <c r="V791" t="s">
        <v>14629</v>
      </c>
      <c r="W791" t="s">
        <v>14630</v>
      </c>
      <c r="X791" t="s">
        <v>14631</v>
      </c>
      <c r="Y791" t="s">
        <v>14632</v>
      </c>
      <c r="Z791" t="s">
        <v>14633</v>
      </c>
      <c r="AA791" t="s">
        <v>14634</v>
      </c>
      <c r="AB791" t="s">
        <v>14635</v>
      </c>
      <c r="AC791" t="s">
        <v>14636</v>
      </c>
      <c r="AD791" t="s">
        <v>14637</v>
      </c>
      <c r="AE791" t="s">
        <v>14638</v>
      </c>
      <c r="AF791" t="s">
        <v>74</v>
      </c>
      <c r="AG791">
        <v>73</v>
      </c>
      <c r="AH791">
        <v>32</v>
      </c>
      <c r="AI791">
        <v>33</v>
      </c>
      <c r="AJ791">
        <v>1</v>
      </c>
      <c r="AK791">
        <v>18</v>
      </c>
      <c r="AL791" t="s">
        <v>11236</v>
      </c>
      <c r="AM791" t="s">
        <v>11237</v>
      </c>
      <c r="AN791" t="s">
        <v>11238</v>
      </c>
      <c r="AO791" t="s">
        <v>11239</v>
      </c>
      <c r="AP791" t="s">
        <v>11240</v>
      </c>
      <c r="AQ791" t="s">
        <v>74</v>
      </c>
      <c r="AR791" t="s">
        <v>11241</v>
      </c>
      <c r="AS791" t="s">
        <v>11242</v>
      </c>
      <c r="AT791" t="s">
        <v>74</v>
      </c>
      <c r="AU791">
        <v>2014</v>
      </c>
      <c r="AV791">
        <v>147</v>
      </c>
      <c r="AW791">
        <v>1</v>
      </c>
      <c r="AX791" t="s">
        <v>74</v>
      </c>
      <c r="AY791" t="s">
        <v>74</v>
      </c>
      <c r="AZ791" t="s">
        <v>74</v>
      </c>
      <c r="BA791" t="s">
        <v>74</v>
      </c>
      <c r="BB791">
        <v>67</v>
      </c>
      <c r="BC791">
        <v>84</v>
      </c>
      <c r="BD791" t="s">
        <v>74</v>
      </c>
      <c r="BE791" t="s">
        <v>14639</v>
      </c>
      <c r="BF791" t="str">
        <f>HYPERLINK("http://dx.doi.org/10.5091/plecevo.2014.896","http://dx.doi.org/10.5091/plecevo.2014.896")</f>
        <v>http://dx.doi.org/10.5091/plecevo.2014.896</v>
      </c>
      <c r="BG791" t="s">
        <v>74</v>
      </c>
      <c r="BH791" t="s">
        <v>74</v>
      </c>
      <c r="BI791">
        <v>18</v>
      </c>
      <c r="BJ791" t="s">
        <v>181</v>
      </c>
      <c r="BK791" t="s">
        <v>101</v>
      </c>
      <c r="BL791" t="s">
        <v>181</v>
      </c>
      <c r="BM791" t="s">
        <v>14640</v>
      </c>
      <c r="BN791" t="s">
        <v>74</v>
      </c>
      <c r="BO791" t="s">
        <v>1933</v>
      </c>
      <c r="BP791" t="s">
        <v>74</v>
      </c>
      <c r="BQ791" t="s">
        <v>74</v>
      </c>
      <c r="BR791" t="s">
        <v>104</v>
      </c>
      <c r="BS791" t="s">
        <v>14641</v>
      </c>
      <c r="BT791" t="str">
        <f>HYPERLINK("https%3A%2F%2Fwww.webofscience.com%2Fwos%2Fwoscc%2Ffull-record%2FWOS:000333137600006","View Full Record in Web of Science")</f>
        <v>View Full Record in Web of Science</v>
      </c>
    </row>
    <row r="792" spans="1:72" x14ac:dyDescent="0.15">
      <c r="A792" t="s">
        <v>72</v>
      </c>
      <c r="B792" t="s">
        <v>14642</v>
      </c>
      <c r="C792" t="s">
        <v>74</v>
      </c>
      <c r="D792" t="s">
        <v>74</v>
      </c>
      <c r="E792" t="s">
        <v>74</v>
      </c>
      <c r="F792" t="s">
        <v>14643</v>
      </c>
      <c r="G792" t="s">
        <v>74</v>
      </c>
      <c r="H792" t="s">
        <v>74</v>
      </c>
      <c r="I792" t="s">
        <v>14644</v>
      </c>
      <c r="J792" t="s">
        <v>10582</v>
      </c>
      <c r="K792" t="s">
        <v>74</v>
      </c>
      <c r="L792" t="s">
        <v>74</v>
      </c>
      <c r="M792" t="s">
        <v>78</v>
      </c>
      <c r="N792" t="s">
        <v>79</v>
      </c>
      <c r="O792" t="s">
        <v>74</v>
      </c>
      <c r="P792" t="s">
        <v>74</v>
      </c>
      <c r="Q792" t="s">
        <v>74</v>
      </c>
      <c r="R792" t="s">
        <v>74</v>
      </c>
      <c r="S792" t="s">
        <v>74</v>
      </c>
      <c r="T792" t="s">
        <v>14645</v>
      </c>
      <c r="U792" t="s">
        <v>14646</v>
      </c>
      <c r="V792" t="s">
        <v>14647</v>
      </c>
      <c r="W792" t="s">
        <v>14648</v>
      </c>
      <c r="X792" t="s">
        <v>14649</v>
      </c>
      <c r="Y792" t="s">
        <v>14650</v>
      </c>
      <c r="Z792" t="s">
        <v>14651</v>
      </c>
      <c r="AA792" t="s">
        <v>14652</v>
      </c>
      <c r="AB792" t="s">
        <v>14653</v>
      </c>
      <c r="AC792" t="s">
        <v>74</v>
      </c>
      <c r="AD792" t="s">
        <v>74</v>
      </c>
      <c r="AE792" t="s">
        <v>74</v>
      </c>
      <c r="AF792" t="s">
        <v>74</v>
      </c>
      <c r="AG792">
        <v>40</v>
      </c>
      <c r="AH792">
        <v>18</v>
      </c>
      <c r="AI792">
        <v>18</v>
      </c>
      <c r="AJ792">
        <v>0</v>
      </c>
      <c r="AK792">
        <v>22</v>
      </c>
      <c r="AL792" t="s">
        <v>11416</v>
      </c>
      <c r="AM792" t="s">
        <v>11417</v>
      </c>
      <c r="AN792" t="s">
        <v>11418</v>
      </c>
      <c r="AO792" t="s">
        <v>10595</v>
      </c>
      <c r="AP792" t="s">
        <v>10596</v>
      </c>
      <c r="AQ792" t="s">
        <v>74</v>
      </c>
      <c r="AR792" t="s">
        <v>10597</v>
      </c>
      <c r="AS792" t="s">
        <v>10598</v>
      </c>
      <c r="AT792" t="s">
        <v>74</v>
      </c>
      <c r="AU792">
        <v>2014</v>
      </c>
      <c r="AV792">
        <v>33</v>
      </c>
      <c r="AW792" t="s">
        <v>74</v>
      </c>
      <c r="AX792" t="s">
        <v>74</v>
      </c>
      <c r="AY792" t="s">
        <v>74</v>
      </c>
      <c r="AZ792" t="s">
        <v>74</v>
      </c>
      <c r="BA792" t="s">
        <v>74</v>
      </c>
      <c r="BB792" t="s">
        <v>74</v>
      </c>
      <c r="BC792" t="s">
        <v>74</v>
      </c>
      <c r="BD792">
        <v>21417</v>
      </c>
      <c r="BE792" t="s">
        <v>14654</v>
      </c>
      <c r="BF792" t="str">
        <f>HYPERLINK("http://dx.doi.org/10.3402/polar.v33.21417","http://dx.doi.org/10.3402/polar.v33.21417")</f>
        <v>http://dx.doi.org/10.3402/polar.v33.21417</v>
      </c>
      <c r="BG792" t="s">
        <v>74</v>
      </c>
      <c r="BH792" t="s">
        <v>74</v>
      </c>
      <c r="BI792">
        <v>10</v>
      </c>
      <c r="BJ792" t="s">
        <v>10600</v>
      </c>
      <c r="BK792" t="s">
        <v>101</v>
      </c>
      <c r="BL792" t="s">
        <v>10601</v>
      </c>
      <c r="BM792" t="s">
        <v>14655</v>
      </c>
      <c r="BN792" t="s">
        <v>74</v>
      </c>
      <c r="BO792" t="s">
        <v>4013</v>
      </c>
      <c r="BP792" t="s">
        <v>74</v>
      </c>
      <c r="BQ792" t="s">
        <v>74</v>
      </c>
      <c r="BR792" t="s">
        <v>104</v>
      </c>
      <c r="BS792" t="s">
        <v>14656</v>
      </c>
      <c r="BT792" t="str">
        <f>HYPERLINK("https%3A%2F%2Fwww.webofscience.com%2Fwos%2Fwoscc%2Ffull-record%2FWOS:000333412400001","View Full Record in Web of Science")</f>
        <v>View Full Record in Web of Science</v>
      </c>
    </row>
    <row r="793" spans="1:72" x14ac:dyDescent="0.15">
      <c r="A793" t="s">
        <v>72</v>
      </c>
      <c r="B793" t="s">
        <v>14657</v>
      </c>
      <c r="C793" t="s">
        <v>74</v>
      </c>
      <c r="D793" t="s">
        <v>74</v>
      </c>
      <c r="E793" t="s">
        <v>74</v>
      </c>
      <c r="F793" t="s">
        <v>14658</v>
      </c>
      <c r="G793" t="s">
        <v>74</v>
      </c>
      <c r="H793" t="s">
        <v>74</v>
      </c>
      <c r="I793" t="s">
        <v>14659</v>
      </c>
      <c r="J793" t="s">
        <v>10826</v>
      </c>
      <c r="K793" t="s">
        <v>74</v>
      </c>
      <c r="L793" t="s">
        <v>74</v>
      </c>
      <c r="M793" t="s">
        <v>78</v>
      </c>
      <c r="N793" t="s">
        <v>79</v>
      </c>
      <c r="O793" t="s">
        <v>74</v>
      </c>
      <c r="P793" t="s">
        <v>74</v>
      </c>
      <c r="Q793" t="s">
        <v>74</v>
      </c>
      <c r="R793" t="s">
        <v>74</v>
      </c>
      <c r="S793" t="s">
        <v>74</v>
      </c>
      <c r="T793" t="s">
        <v>14660</v>
      </c>
      <c r="U793" t="s">
        <v>14661</v>
      </c>
      <c r="V793" t="s">
        <v>14662</v>
      </c>
      <c r="W793" t="s">
        <v>14663</v>
      </c>
      <c r="X793" t="s">
        <v>14664</v>
      </c>
      <c r="Y793" t="s">
        <v>14665</v>
      </c>
      <c r="Z793" t="s">
        <v>14666</v>
      </c>
      <c r="AA793" t="s">
        <v>14667</v>
      </c>
      <c r="AB793" t="s">
        <v>14668</v>
      </c>
      <c r="AC793" t="s">
        <v>14669</v>
      </c>
      <c r="AD793" t="s">
        <v>14670</v>
      </c>
      <c r="AE793" t="s">
        <v>14671</v>
      </c>
      <c r="AF793" t="s">
        <v>74</v>
      </c>
      <c r="AG793">
        <v>71</v>
      </c>
      <c r="AH793">
        <v>11</v>
      </c>
      <c r="AI793">
        <v>12</v>
      </c>
      <c r="AJ793">
        <v>1</v>
      </c>
      <c r="AK793">
        <v>35</v>
      </c>
      <c r="AL793" t="s">
        <v>10310</v>
      </c>
      <c r="AM793" t="s">
        <v>10311</v>
      </c>
      <c r="AN793" t="s">
        <v>10312</v>
      </c>
      <c r="AO793" t="s">
        <v>10838</v>
      </c>
      <c r="AP793" t="s">
        <v>10839</v>
      </c>
      <c r="AQ793" t="s">
        <v>74</v>
      </c>
      <c r="AR793" t="s">
        <v>10840</v>
      </c>
      <c r="AS793" t="s">
        <v>10841</v>
      </c>
      <c r="AT793" t="s">
        <v>74</v>
      </c>
      <c r="AU793">
        <v>2014</v>
      </c>
      <c r="AV793">
        <v>498</v>
      </c>
      <c r="AW793" t="s">
        <v>74</v>
      </c>
      <c r="AX793" t="s">
        <v>74</v>
      </c>
      <c r="AY793" t="s">
        <v>74</v>
      </c>
      <c r="AZ793" t="s">
        <v>74</v>
      </c>
      <c r="BA793" t="s">
        <v>74</v>
      </c>
      <c r="BB793">
        <v>55</v>
      </c>
      <c r="BC793">
        <v>71</v>
      </c>
      <c r="BD793" t="s">
        <v>74</v>
      </c>
      <c r="BE793" t="s">
        <v>14672</v>
      </c>
      <c r="BF793" t="str">
        <f>HYPERLINK("http://dx.doi.org/10.3354/meps10616","http://dx.doi.org/10.3354/meps10616")</f>
        <v>http://dx.doi.org/10.3354/meps10616</v>
      </c>
      <c r="BG793" t="s">
        <v>74</v>
      </c>
      <c r="BH793" t="s">
        <v>74</v>
      </c>
      <c r="BI793">
        <v>17</v>
      </c>
      <c r="BJ793" t="s">
        <v>10843</v>
      </c>
      <c r="BK793" t="s">
        <v>101</v>
      </c>
      <c r="BL793" t="s">
        <v>10844</v>
      </c>
      <c r="BM793" t="s">
        <v>14673</v>
      </c>
      <c r="BN793" t="s">
        <v>74</v>
      </c>
      <c r="BO793" t="s">
        <v>6867</v>
      </c>
      <c r="BP793" t="s">
        <v>74</v>
      </c>
      <c r="BQ793" t="s">
        <v>74</v>
      </c>
      <c r="BR793" t="s">
        <v>104</v>
      </c>
      <c r="BS793" t="s">
        <v>14674</v>
      </c>
      <c r="BT793" t="str">
        <f>HYPERLINK("https%3A%2F%2Fwww.webofscience.com%2Fwos%2Fwoscc%2Ffull-record%2FWOS:000332225300005","View Full Record in Web of Science")</f>
        <v>View Full Record in Web of Science</v>
      </c>
    </row>
    <row r="794" spans="1:72" x14ac:dyDescent="0.15">
      <c r="A794" t="s">
        <v>72</v>
      </c>
      <c r="B794" t="s">
        <v>14675</v>
      </c>
      <c r="C794" t="s">
        <v>74</v>
      </c>
      <c r="D794" t="s">
        <v>74</v>
      </c>
      <c r="E794" t="s">
        <v>74</v>
      </c>
      <c r="F794" t="s">
        <v>14676</v>
      </c>
      <c r="G794" t="s">
        <v>74</v>
      </c>
      <c r="H794" t="s">
        <v>74</v>
      </c>
      <c r="I794" t="s">
        <v>14677</v>
      </c>
      <c r="J794" t="s">
        <v>11283</v>
      </c>
      <c r="K794" t="s">
        <v>74</v>
      </c>
      <c r="L794" t="s">
        <v>74</v>
      </c>
      <c r="M794" t="s">
        <v>78</v>
      </c>
      <c r="N794" t="s">
        <v>79</v>
      </c>
      <c r="O794" t="s">
        <v>74</v>
      </c>
      <c r="P794" t="s">
        <v>74</v>
      </c>
      <c r="Q794" t="s">
        <v>74</v>
      </c>
      <c r="R794" t="s">
        <v>74</v>
      </c>
      <c r="S794" t="s">
        <v>74</v>
      </c>
      <c r="T794" t="s">
        <v>74</v>
      </c>
      <c r="U794" t="s">
        <v>14678</v>
      </c>
      <c r="V794" t="s">
        <v>14679</v>
      </c>
      <c r="W794" t="s">
        <v>14680</v>
      </c>
      <c r="X794" t="s">
        <v>14681</v>
      </c>
      <c r="Y794" t="s">
        <v>14682</v>
      </c>
      <c r="Z794" t="s">
        <v>14683</v>
      </c>
      <c r="AA794" t="s">
        <v>14684</v>
      </c>
      <c r="AB794" t="s">
        <v>14685</v>
      </c>
      <c r="AC794" t="s">
        <v>14686</v>
      </c>
      <c r="AD794" t="s">
        <v>14687</v>
      </c>
      <c r="AE794" t="s">
        <v>14688</v>
      </c>
      <c r="AF794" t="s">
        <v>74</v>
      </c>
      <c r="AG794">
        <v>34</v>
      </c>
      <c r="AH794">
        <v>43</v>
      </c>
      <c r="AI794">
        <v>48</v>
      </c>
      <c r="AJ794">
        <v>1</v>
      </c>
      <c r="AK794">
        <v>19</v>
      </c>
      <c r="AL794" t="s">
        <v>1463</v>
      </c>
      <c r="AM794" t="s">
        <v>1464</v>
      </c>
      <c r="AN794" t="s">
        <v>1465</v>
      </c>
      <c r="AO794" t="s">
        <v>11295</v>
      </c>
      <c r="AP794" t="s">
        <v>11296</v>
      </c>
      <c r="AQ794" t="s">
        <v>74</v>
      </c>
      <c r="AR794" t="s">
        <v>11297</v>
      </c>
      <c r="AS794" t="s">
        <v>11298</v>
      </c>
      <c r="AT794" t="s">
        <v>74</v>
      </c>
      <c r="AU794">
        <v>2014</v>
      </c>
      <c r="AV794">
        <v>14</v>
      </c>
      <c r="AW794">
        <v>4</v>
      </c>
      <c r="AX794" t="s">
        <v>74</v>
      </c>
      <c r="AY794" t="s">
        <v>74</v>
      </c>
      <c r="AZ794" t="s">
        <v>74</v>
      </c>
      <c r="BA794" t="s">
        <v>74</v>
      </c>
      <c r="BB794">
        <v>1959</v>
      </c>
      <c r="BC794">
        <v>1971</v>
      </c>
      <c r="BD794" t="s">
        <v>74</v>
      </c>
      <c r="BE794" t="s">
        <v>14689</v>
      </c>
      <c r="BF794" t="str">
        <f>HYPERLINK("http://dx.doi.org/10.5194/acp-14-1959-2014","http://dx.doi.org/10.5194/acp-14-1959-2014")</f>
        <v>http://dx.doi.org/10.5194/acp-14-1959-2014</v>
      </c>
      <c r="BG794" t="s">
        <v>74</v>
      </c>
      <c r="BH794" t="s">
        <v>74</v>
      </c>
      <c r="BI794">
        <v>13</v>
      </c>
      <c r="BJ794" t="s">
        <v>3817</v>
      </c>
      <c r="BK794" t="s">
        <v>101</v>
      </c>
      <c r="BL794" t="s">
        <v>1081</v>
      </c>
      <c r="BM794" t="s">
        <v>14690</v>
      </c>
      <c r="BN794" t="s">
        <v>74</v>
      </c>
      <c r="BO794" t="s">
        <v>6156</v>
      </c>
      <c r="BP794" t="s">
        <v>74</v>
      </c>
      <c r="BQ794" t="s">
        <v>74</v>
      </c>
      <c r="BR794" t="s">
        <v>104</v>
      </c>
      <c r="BS794" t="s">
        <v>14691</v>
      </c>
      <c r="BT794" t="str">
        <f>HYPERLINK("https%3A%2F%2Fwww.webofscience.com%2Fwos%2Fwoscc%2Ffull-record%2FWOS:000332386100013","View Full Record in Web of Science")</f>
        <v>View Full Record in Web of Science</v>
      </c>
    </row>
    <row r="795" spans="1:72" x14ac:dyDescent="0.15">
      <c r="A795" t="s">
        <v>72</v>
      </c>
      <c r="B795" t="s">
        <v>5975</v>
      </c>
      <c r="C795" t="s">
        <v>74</v>
      </c>
      <c r="D795" t="s">
        <v>74</v>
      </c>
      <c r="E795" t="s">
        <v>74</v>
      </c>
      <c r="F795" t="s">
        <v>5976</v>
      </c>
      <c r="G795" t="s">
        <v>74</v>
      </c>
      <c r="H795" t="s">
        <v>74</v>
      </c>
      <c r="I795" t="s">
        <v>14692</v>
      </c>
      <c r="J795" t="s">
        <v>581</v>
      </c>
      <c r="K795" t="s">
        <v>74</v>
      </c>
      <c r="L795" t="s">
        <v>74</v>
      </c>
      <c r="M795" t="s">
        <v>78</v>
      </c>
      <c r="N795" t="s">
        <v>79</v>
      </c>
      <c r="O795" t="s">
        <v>74</v>
      </c>
      <c r="P795" t="s">
        <v>74</v>
      </c>
      <c r="Q795" t="s">
        <v>74</v>
      </c>
      <c r="R795" t="s">
        <v>74</v>
      </c>
      <c r="S795" t="s">
        <v>74</v>
      </c>
      <c r="T795" t="s">
        <v>74</v>
      </c>
      <c r="U795" t="s">
        <v>14693</v>
      </c>
      <c r="V795" t="s">
        <v>14694</v>
      </c>
      <c r="W795" t="s">
        <v>14695</v>
      </c>
      <c r="X795" t="s">
        <v>14696</v>
      </c>
      <c r="Y795" t="s">
        <v>14697</v>
      </c>
      <c r="Z795" t="s">
        <v>14698</v>
      </c>
      <c r="AA795" t="s">
        <v>14699</v>
      </c>
      <c r="AB795" t="s">
        <v>14700</v>
      </c>
      <c r="AC795" t="s">
        <v>14701</v>
      </c>
      <c r="AD795" t="s">
        <v>14702</v>
      </c>
      <c r="AE795" t="s">
        <v>14703</v>
      </c>
      <c r="AF795" t="s">
        <v>74</v>
      </c>
      <c r="AG795">
        <v>29</v>
      </c>
      <c r="AH795">
        <v>16</v>
      </c>
      <c r="AI795">
        <v>17</v>
      </c>
      <c r="AJ795">
        <v>1</v>
      </c>
      <c r="AK795">
        <v>14</v>
      </c>
      <c r="AL795" t="s">
        <v>592</v>
      </c>
      <c r="AM795" t="s">
        <v>593</v>
      </c>
      <c r="AN795" t="s">
        <v>594</v>
      </c>
      <c r="AO795" t="s">
        <v>595</v>
      </c>
      <c r="AP795" t="s">
        <v>596</v>
      </c>
      <c r="AQ795" t="s">
        <v>74</v>
      </c>
      <c r="AR795" t="s">
        <v>581</v>
      </c>
      <c r="AS795" t="s">
        <v>597</v>
      </c>
      <c r="AT795" t="s">
        <v>13186</v>
      </c>
      <c r="AU795">
        <v>2014</v>
      </c>
      <c r="AV795">
        <v>42</v>
      </c>
      <c r="AW795">
        <v>1</v>
      </c>
      <c r="AX795" t="s">
        <v>74</v>
      </c>
      <c r="AY795" t="s">
        <v>74</v>
      </c>
      <c r="AZ795" t="s">
        <v>74</v>
      </c>
      <c r="BA795" t="s">
        <v>74</v>
      </c>
      <c r="BB795">
        <v>39</v>
      </c>
      <c r="BC795">
        <v>42</v>
      </c>
      <c r="BD795" t="s">
        <v>74</v>
      </c>
      <c r="BE795" t="s">
        <v>14704</v>
      </c>
      <c r="BF795" t="str">
        <f>HYPERLINK("http://dx.doi.org/10.1130/G34787.1","http://dx.doi.org/10.1130/G34787.1")</f>
        <v>http://dx.doi.org/10.1130/G34787.1</v>
      </c>
      <c r="BG795" t="s">
        <v>74</v>
      </c>
      <c r="BH795" t="s">
        <v>74</v>
      </c>
      <c r="BI795">
        <v>4</v>
      </c>
      <c r="BJ795" t="s">
        <v>597</v>
      </c>
      <c r="BK795" t="s">
        <v>101</v>
      </c>
      <c r="BL795" t="s">
        <v>597</v>
      </c>
      <c r="BM795" t="s">
        <v>14705</v>
      </c>
      <c r="BN795" t="s">
        <v>74</v>
      </c>
      <c r="BO795" t="s">
        <v>270</v>
      </c>
      <c r="BP795" t="s">
        <v>74</v>
      </c>
      <c r="BQ795" t="s">
        <v>74</v>
      </c>
      <c r="BR795" t="s">
        <v>104</v>
      </c>
      <c r="BS795" t="s">
        <v>14706</v>
      </c>
      <c r="BT795" t="str">
        <f>HYPERLINK("https%3A%2F%2Fwww.webofscience.com%2Fwos%2Fwoscc%2Ffull-record%2FWOS:000333243200014","View Full Record in Web of Science")</f>
        <v>View Full Record in Web of Science</v>
      </c>
    </row>
    <row r="796" spans="1:72" x14ac:dyDescent="0.15">
      <c r="A796" t="s">
        <v>72</v>
      </c>
      <c r="B796" t="s">
        <v>9542</v>
      </c>
      <c r="C796" t="s">
        <v>74</v>
      </c>
      <c r="D796" t="s">
        <v>74</v>
      </c>
      <c r="E796" t="s">
        <v>74</v>
      </c>
      <c r="F796" t="s">
        <v>9543</v>
      </c>
      <c r="G796" t="s">
        <v>74</v>
      </c>
      <c r="H796" t="s">
        <v>74</v>
      </c>
      <c r="I796" t="s">
        <v>14707</v>
      </c>
      <c r="J796" t="s">
        <v>10362</v>
      </c>
      <c r="K796" t="s">
        <v>74</v>
      </c>
      <c r="L796" t="s">
        <v>74</v>
      </c>
      <c r="M796" t="s">
        <v>78</v>
      </c>
      <c r="N796" t="s">
        <v>79</v>
      </c>
      <c r="O796" t="s">
        <v>74</v>
      </c>
      <c r="P796" t="s">
        <v>74</v>
      </c>
      <c r="Q796" t="s">
        <v>74</v>
      </c>
      <c r="R796" t="s">
        <v>74</v>
      </c>
      <c r="S796" t="s">
        <v>74</v>
      </c>
      <c r="T796" t="s">
        <v>14708</v>
      </c>
      <c r="U796" t="s">
        <v>14709</v>
      </c>
      <c r="V796" t="s">
        <v>14710</v>
      </c>
      <c r="W796" t="s">
        <v>14711</v>
      </c>
      <c r="X796" t="s">
        <v>2743</v>
      </c>
      <c r="Y796" t="s">
        <v>14712</v>
      </c>
      <c r="Z796" t="s">
        <v>2745</v>
      </c>
      <c r="AA796" t="s">
        <v>2746</v>
      </c>
      <c r="AB796" t="s">
        <v>2747</v>
      </c>
      <c r="AC796" t="s">
        <v>74</v>
      </c>
      <c r="AD796" t="s">
        <v>74</v>
      </c>
      <c r="AE796" t="s">
        <v>74</v>
      </c>
      <c r="AF796" t="s">
        <v>74</v>
      </c>
      <c r="AG796">
        <v>52</v>
      </c>
      <c r="AH796">
        <v>9</v>
      </c>
      <c r="AI796">
        <v>10</v>
      </c>
      <c r="AJ796">
        <v>1</v>
      </c>
      <c r="AK796">
        <v>5</v>
      </c>
      <c r="AL796" t="s">
        <v>9533</v>
      </c>
      <c r="AM796" t="s">
        <v>1948</v>
      </c>
      <c r="AN796" t="s">
        <v>9534</v>
      </c>
      <c r="AO796" t="s">
        <v>10374</v>
      </c>
      <c r="AP796" t="s">
        <v>10375</v>
      </c>
      <c r="AQ796" t="s">
        <v>74</v>
      </c>
      <c r="AR796" t="s">
        <v>10376</v>
      </c>
      <c r="AS796" t="s">
        <v>10377</v>
      </c>
      <c r="AT796" t="s">
        <v>74</v>
      </c>
      <c r="AU796">
        <v>2014</v>
      </c>
      <c r="AV796">
        <v>60</v>
      </c>
      <c r="AW796">
        <v>219</v>
      </c>
      <c r="AX796" t="s">
        <v>74</v>
      </c>
      <c r="AY796" t="s">
        <v>74</v>
      </c>
      <c r="AZ796" t="s">
        <v>74</v>
      </c>
      <c r="BA796" t="s">
        <v>74</v>
      </c>
      <c r="BB796">
        <v>83</v>
      </c>
      <c r="BC796">
        <v>93</v>
      </c>
      <c r="BD796" t="s">
        <v>74</v>
      </c>
      <c r="BE796" t="s">
        <v>14713</v>
      </c>
      <c r="BF796" t="str">
        <f>HYPERLINK("http://dx.doi.org/10.3189/2014JoG12J214","http://dx.doi.org/10.3189/2014JoG12J214")</f>
        <v>http://dx.doi.org/10.3189/2014JoG12J214</v>
      </c>
      <c r="BG796" t="s">
        <v>74</v>
      </c>
      <c r="BH796" t="s">
        <v>74</v>
      </c>
      <c r="BI796">
        <v>11</v>
      </c>
      <c r="BJ796" t="s">
        <v>1415</v>
      </c>
      <c r="BK796" t="s">
        <v>101</v>
      </c>
      <c r="BL796" t="s">
        <v>1416</v>
      </c>
      <c r="BM796" t="s">
        <v>14714</v>
      </c>
      <c r="BN796" t="s">
        <v>74</v>
      </c>
      <c r="BO796" t="s">
        <v>200</v>
      </c>
      <c r="BP796" t="s">
        <v>74</v>
      </c>
      <c r="BQ796" t="s">
        <v>74</v>
      </c>
      <c r="BR796" t="s">
        <v>104</v>
      </c>
      <c r="BS796" t="s">
        <v>14715</v>
      </c>
      <c r="BT796" t="str">
        <f>HYPERLINK("https%3A%2F%2Fwww.webofscience.com%2Fwos%2Fwoscc%2Ffull-record%2FWOS:000332813200008","View Full Record in Web of Science")</f>
        <v>View Full Record in Web of Science</v>
      </c>
    </row>
    <row r="797" spans="1:72" x14ac:dyDescent="0.15">
      <c r="A797" t="s">
        <v>72</v>
      </c>
      <c r="B797" t="s">
        <v>14716</v>
      </c>
      <c r="C797" t="s">
        <v>74</v>
      </c>
      <c r="D797" t="s">
        <v>74</v>
      </c>
      <c r="E797" t="s">
        <v>74</v>
      </c>
      <c r="F797" t="s">
        <v>14717</v>
      </c>
      <c r="G797" t="s">
        <v>74</v>
      </c>
      <c r="H797" t="s">
        <v>74</v>
      </c>
      <c r="I797" t="s">
        <v>14718</v>
      </c>
      <c r="J797" t="s">
        <v>10362</v>
      </c>
      <c r="K797" t="s">
        <v>74</v>
      </c>
      <c r="L797" t="s">
        <v>74</v>
      </c>
      <c r="M797" t="s">
        <v>78</v>
      </c>
      <c r="N797" t="s">
        <v>79</v>
      </c>
      <c r="O797" t="s">
        <v>74</v>
      </c>
      <c r="P797" t="s">
        <v>74</v>
      </c>
      <c r="Q797" t="s">
        <v>74</v>
      </c>
      <c r="R797" t="s">
        <v>74</v>
      </c>
      <c r="S797" t="s">
        <v>74</v>
      </c>
      <c r="T797" t="s">
        <v>14719</v>
      </c>
      <c r="U797" t="s">
        <v>14720</v>
      </c>
      <c r="V797" t="s">
        <v>14721</v>
      </c>
      <c r="W797" t="s">
        <v>14722</v>
      </c>
      <c r="X797" t="s">
        <v>14723</v>
      </c>
      <c r="Y797" t="s">
        <v>14724</v>
      </c>
      <c r="Z797" t="s">
        <v>14725</v>
      </c>
      <c r="AA797" t="s">
        <v>74</v>
      </c>
      <c r="AB797" t="s">
        <v>14726</v>
      </c>
      <c r="AC797" t="s">
        <v>14727</v>
      </c>
      <c r="AD797" t="s">
        <v>14728</v>
      </c>
      <c r="AE797" t="s">
        <v>14729</v>
      </c>
      <c r="AF797" t="s">
        <v>74</v>
      </c>
      <c r="AG797">
        <v>38</v>
      </c>
      <c r="AH797">
        <v>31</v>
      </c>
      <c r="AI797">
        <v>36</v>
      </c>
      <c r="AJ797">
        <v>7</v>
      </c>
      <c r="AK797">
        <v>32</v>
      </c>
      <c r="AL797" t="s">
        <v>91</v>
      </c>
      <c r="AM797" t="s">
        <v>1948</v>
      </c>
      <c r="AN797" t="s">
        <v>2519</v>
      </c>
      <c r="AO797" t="s">
        <v>10374</v>
      </c>
      <c r="AP797" t="s">
        <v>10375</v>
      </c>
      <c r="AQ797" t="s">
        <v>74</v>
      </c>
      <c r="AR797" t="s">
        <v>10376</v>
      </c>
      <c r="AS797" t="s">
        <v>10377</v>
      </c>
      <c r="AT797" t="s">
        <v>74</v>
      </c>
      <c r="AU797">
        <v>2014</v>
      </c>
      <c r="AV797">
        <v>60</v>
      </c>
      <c r="AW797">
        <v>219</v>
      </c>
      <c r="AX797" t="s">
        <v>74</v>
      </c>
      <c r="AY797" t="s">
        <v>74</v>
      </c>
      <c r="AZ797" t="s">
        <v>74</v>
      </c>
      <c r="BA797" t="s">
        <v>74</v>
      </c>
      <c r="BB797">
        <v>103</v>
      </c>
      <c r="BC797">
        <v>112</v>
      </c>
      <c r="BD797" t="s">
        <v>74</v>
      </c>
      <c r="BE797" t="s">
        <v>14730</v>
      </c>
      <c r="BF797" t="str">
        <f>HYPERLINK("http://dx.doi.org/10.3189/2014JoG13J137","http://dx.doi.org/10.3189/2014JoG13J137")</f>
        <v>http://dx.doi.org/10.3189/2014JoG13J137</v>
      </c>
      <c r="BG797" t="s">
        <v>74</v>
      </c>
      <c r="BH797" t="s">
        <v>74</v>
      </c>
      <c r="BI797">
        <v>10</v>
      </c>
      <c r="BJ797" t="s">
        <v>1415</v>
      </c>
      <c r="BK797" t="s">
        <v>101</v>
      </c>
      <c r="BL797" t="s">
        <v>1416</v>
      </c>
      <c r="BM797" t="s">
        <v>14714</v>
      </c>
      <c r="BN797" t="s">
        <v>74</v>
      </c>
      <c r="BO797" t="s">
        <v>200</v>
      </c>
      <c r="BP797" t="s">
        <v>74</v>
      </c>
      <c r="BQ797" t="s">
        <v>74</v>
      </c>
      <c r="BR797" t="s">
        <v>104</v>
      </c>
      <c r="BS797" t="s">
        <v>14731</v>
      </c>
      <c r="BT797" t="str">
        <f>HYPERLINK("https%3A%2F%2Fwww.webofscience.com%2Fwos%2Fwoscc%2Ffull-record%2FWOS:000332813200010","View Full Record in Web of Science")</f>
        <v>View Full Record in Web of Science</v>
      </c>
    </row>
    <row r="798" spans="1:72" x14ac:dyDescent="0.15">
      <c r="A798" t="s">
        <v>72</v>
      </c>
      <c r="B798" t="s">
        <v>14732</v>
      </c>
      <c r="C798" t="s">
        <v>74</v>
      </c>
      <c r="D798" t="s">
        <v>74</v>
      </c>
      <c r="E798" t="s">
        <v>74</v>
      </c>
      <c r="F798" t="s">
        <v>14733</v>
      </c>
      <c r="G798" t="s">
        <v>74</v>
      </c>
      <c r="H798" t="s">
        <v>74</v>
      </c>
      <c r="I798" t="s">
        <v>14734</v>
      </c>
      <c r="J798" t="s">
        <v>10362</v>
      </c>
      <c r="K798" t="s">
        <v>74</v>
      </c>
      <c r="L798" t="s">
        <v>74</v>
      </c>
      <c r="M798" t="s">
        <v>78</v>
      </c>
      <c r="N798" t="s">
        <v>79</v>
      </c>
      <c r="O798" t="s">
        <v>74</v>
      </c>
      <c r="P798" t="s">
        <v>74</v>
      </c>
      <c r="Q798" t="s">
        <v>74</v>
      </c>
      <c r="R798" t="s">
        <v>74</v>
      </c>
      <c r="S798" t="s">
        <v>74</v>
      </c>
      <c r="T798" t="s">
        <v>14735</v>
      </c>
      <c r="U798" t="s">
        <v>14736</v>
      </c>
      <c r="V798" t="s">
        <v>14737</v>
      </c>
      <c r="W798" t="s">
        <v>14738</v>
      </c>
      <c r="X798" t="s">
        <v>74</v>
      </c>
      <c r="Y798" t="s">
        <v>14739</v>
      </c>
      <c r="Z798" t="s">
        <v>14740</v>
      </c>
      <c r="AA798" t="s">
        <v>14741</v>
      </c>
      <c r="AB798" t="s">
        <v>14742</v>
      </c>
      <c r="AC798" t="s">
        <v>14743</v>
      </c>
      <c r="AD798" t="s">
        <v>14744</v>
      </c>
      <c r="AE798" t="s">
        <v>14745</v>
      </c>
      <c r="AF798" t="s">
        <v>74</v>
      </c>
      <c r="AG798">
        <v>33</v>
      </c>
      <c r="AH798">
        <v>17</v>
      </c>
      <c r="AI798">
        <v>17</v>
      </c>
      <c r="AJ798">
        <v>0</v>
      </c>
      <c r="AK798">
        <v>18</v>
      </c>
      <c r="AL798" t="s">
        <v>9533</v>
      </c>
      <c r="AM798" t="s">
        <v>1948</v>
      </c>
      <c r="AN798" t="s">
        <v>9534</v>
      </c>
      <c r="AO798" t="s">
        <v>10374</v>
      </c>
      <c r="AP798" t="s">
        <v>10375</v>
      </c>
      <c r="AQ798" t="s">
        <v>74</v>
      </c>
      <c r="AR798" t="s">
        <v>10376</v>
      </c>
      <c r="AS798" t="s">
        <v>10377</v>
      </c>
      <c r="AT798" t="s">
        <v>74</v>
      </c>
      <c r="AU798">
        <v>2014</v>
      </c>
      <c r="AV798">
        <v>60</v>
      </c>
      <c r="AW798">
        <v>219</v>
      </c>
      <c r="AX798" t="s">
        <v>74</v>
      </c>
      <c r="AY798" t="s">
        <v>74</v>
      </c>
      <c r="AZ798" t="s">
        <v>74</v>
      </c>
      <c r="BA798" t="s">
        <v>74</v>
      </c>
      <c r="BB798">
        <v>183</v>
      </c>
      <c r="BC798">
        <v>191</v>
      </c>
      <c r="BD798" t="s">
        <v>74</v>
      </c>
      <c r="BE798" t="s">
        <v>14746</v>
      </c>
      <c r="BF798" t="str">
        <f>HYPERLINK("http://dx.doi.org/10.3189/2014JoG13J094","http://dx.doi.org/10.3189/2014JoG13J094")</f>
        <v>http://dx.doi.org/10.3189/2014JoG13J094</v>
      </c>
      <c r="BG798" t="s">
        <v>74</v>
      </c>
      <c r="BH798" t="s">
        <v>74</v>
      </c>
      <c r="BI798">
        <v>9</v>
      </c>
      <c r="BJ798" t="s">
        <v>1415</v>
      </c>
      <c r="BK798" t="s">
        <v>101</v>
      </c>
      <c r="BL798" t="s">
        <v>1416</v>
      </c>
      <c r="BM798" t="s">
        <v>14714</v>
      </c>
      <c r="BN798" t="s">
        <v>74</v>
      </c>
      <c r="BO798" t="s">
        <v>200</v>
      </c>
      <c r="BP798" t="s">
        <v>74</v>
      </c>
      <c r="BQ798" t="s">
        <v>74</v>
      </c>
      <c r="BR798" t="s">
        <v>104</v>
      </c>
      <c r="BS798" t="s">
        <v>14747</v>
      </c>
      <c r="BT798" t="str">
        <f>HYPERLINK("https%3A%2F%2Fwww.webofscience.com%2Fwos%2Fwoscc%2Ffull-record%2FWOS:000332813200017","View Full Record in Web of Science")</f>
        <v>View Full Record in Web of Science</v>
      </c>
    </row>
    <row r="799" spans="1:72" x14ac:dyDescent="0.15">
      <c r="A799" t="s">
        <v>72</v>
      </c>
      <c r="B799" t="s">
        <v>14748</v>
      </c>
      <c r="C799" t="s">
        <v>74</v>
      </c>
      <c r="D799" t="s">
        <v>74</v>
      </c>
      <c r="E799" t="s">
        <v>74</v>
      </c>
      <c r="F799" t="s">
        <v>14749</v>
      </c>
      <c r="G799" t="s">
        <v>74</v>
      </c>
      <c r="H799" t="s">
        <v>74</v>
      </c>
      <c r="I799" t="s">
        <v>14750</v>
      </c>
      <c r="J799" t="s">
        <v>13070</v>
      </c>
      <c r="K799" t="s">
        <v>74</v>
      </c>
      <c r="L799" t="s">
        <v>74</v>
      </c>
      <c r="M799" t="s">
        <v>78</v>
      </c>
      <c r="N799" t="s">
        <v>79</v>
      </c>
      <c r="O799" t="s">
        <v>74</v>
      </c>
      <c r="P799" t="s">
        <v>74</v>
      </c>
      <c r="Q799" t="s">
        <v>74</v>
      </c>
      <c r="R799" t="s">
        <v>74</v>
      </c>
      <c r="S799" t="s">
        <v>74</v>
      </c>
      <c r="T799" t="s">
        <v>14751</v>
      </c>
      <c r="U799" t="s">
        <v>14752</v>
      </c>
      <c r="V799" t="s">
        <v>14753</v>
      </c>
      <c r="W799" t="s">
        <v>14754</v>
      </c>
      <c r="X799" t="s">
        <v>14755</v>
      </c>
      <c r="Y799" t="s">
        <v>14756</v>
      </c>
      <c r="Z799" t="s">
        <v>14757</v>
      </c>
      <c r="AA799" t="s">
        <v>74</v>
      </c>
      <c r="AB799" t="s">
        <v>14758</v>
      </c>
      <c r="AC799" t="s">
        <v>14759</v>
      </c>
      <c r="AD799" t="s">
        <v>14760</v>
      </c>
      <c r="AE799" t="s">
        <v>14761</v>
      </c>
      <c r="AF799" t="s">
        <v>74</v>
      </c>
      <c r="AG799">
        <v>19</v>
      </c>
      <c r="AH799">
        <v>12</v>
      </c>
      <c r="AI799">
        <v>13</v>
      </c>
      <c r="AJ799">
        <v>0</v>
      </c>
      <c r="AK799">
        <v>7</v>
      </c>
      <c r="AL799" t="s">
        <v>1463</v>
      </c>
      <c r="AM799" t="s">
        <v>1464</v>
      </c>
      <c r="AN799" t="s">
        <v>1465</v>
      </c>
      <c r="AO799" t="s">
        <v>13083</v>
      </c>
      <c r="AP799" t="s">
        <v>13084</v>
      </c>
      <c r="AQ799" t="s">
        <v>74</v>
      </c>
      <c r="AR799" t="s">
        <v>13085</v>
      </c>
      <c r="AS799" t="s">
        <v>11169</v>
      </c>
      <c r="AT799" t="s">
        <v>74</v>
      </c>
      <c r="AU799">
        <v>2014</v>
      </c>
      <c r="AV799">
        <v>32</v>
      </c>
      <c r="AW799">
        <v>2</v>
      </c>
      <c r="AX799" t="s">
        <v>74</v>
      </c>
      <c r="AY799" t="s">
        <v>74</v>
      </c>
      <c r="AZ799" t="s">
        <v>74</v>
      </c>
      <c r="BA799" t="s">
        <v>74</v>
      </c>
      <c r="BB799">
        <v>147</v>
      </c>
      <c r="BC799">
        <v>156</v>
      </c>
      <c r="BD799" t="s">
        <v>74</v>
      </c>
      <c r="BE799" t="s">
        <v>14762</v>
      </c>
      <c r="BF799" t="str">
        <f>HYPERLINK("http://dx.doi.org/10.5194/angeo-32-147-2014","http://dx.doi.org/10.5194/angeo-32-147-2014")</f>
        <v>http://dx.doi.org/10.5194/angeo-32-147-2014</v>
      </c>
      <c r="BG799" t="s">
        <v>74</v>
      </c>
      <c r="BH799" t="s">
        <v>74</v>
      </c>
      <c r="BI799">
        <v>10</v>
      </c>
      <c r="BJ799" t="s">
        <v>13087</v>
      </c>
      <c r="BK799" t="s">
        <v>101</v>
      </c>
      <c r="BL799" t="s">
        <v>13088</v>
      </c>
      <c r="BM799" t="s">
        <v>14763</v>
      </c>
      <c r="BN799" t="s">
        <v>74</v>
      </c>
      <c r="BO799" t="s">
        <v>6156</v>
      </c>
      <c r="BP799" t="s">
        <v>74</v>
      </c>
      <c r="BQ799" t="s">
        <v>74</v>
      </c>
      <c r="BR799" t="s">
        <v>104</v>
      </c>
      <c r="BS799" t="s">
        <v>14764</v>
      </c>
      <c r="BT799" t="str">
        <f>HYPERLINK("https%3A%2F%2Fwww.webofscience.com%2Fwos%2Fwoscc%2Ffull-record%2FWOS:000332387800009","View Full Record in Web of Science")</f>
        <v>View Full Record in Web of Science</v>
      </c>
    </row>
    <row r="800" spans="1:72" x14ac:dyDescent="0.15">
      <c r="A800" t="s">
        <v>72</v>
      </c>
      <c r="B800" t="s">
        <v>14765</v>
      </c>
      <c r="C800" t="s">
        <v>74</v>
      </c>
      <c r="D800" t="s">
        <v>74</v>
      </c>
      <c r="E800" t="s">
        <v>74</v>
      </c>
      <c r="F800" t="s">
        <v>14766</v>
      </c>
      <c r="G800" t="s">
        <v>74</v>
      </c>
      <c r="H800" t="s">
        <v>74</v>
      </c>
      <c r="I800" t="s">
        <v>14767</v>
      </c>
      <c r="J800" t="s">
        <v>10449</v>
      </c>
      <c r="K800" t="s">
        <v>74</v>
      </c>
      <c r="L800" t="s">
        <v>74</v>
      </c>
      <c r="M800" t="s">
        <v>78</v>
      </c>
      <c r="N800" t="s">
        <v>79</v>
      </c>
      <c r="O800" t="s">
        <v>74</v>
      </c>
      <c r="P800" t="s">
        <v>74</v>
      </c>
      <c r="Q800" t="s">
        <v>74</v>
      </c>
      <c r="R800" t="s">
        <v>74</v>
      </c>
      <c r="S800" t="s">
        <v>74</v>
      </c>
      <c r="T800" t="s">
        <v>74</v>
      </c>
      <c r="U800" t="s">
        <v>14768</v>
      </c>
      <c r="V800" t="s">
        <v>14769</v>
      </c>
      <c r="W800" t="s">
        <v>14770</v>
      </c>
      <c r="X800" t="s">
        <v>14771</v>
      </c>
      <c r="Y800" t="s">
        <v>14772</v>
      </c>
      <c r="Z800" t="s">
        <v>14773</v>
      </c>
      <c r="AA800" t="s">
        <v>14774</v>
      </c>
      <c r="AB800" t="s">
        <v>14775</v>
      </c>
      <c r="AC800" t="s">
        <v>14776</v>
      </c>
      <c r="AD800" t="s">
        <v>14777</v>
      </c>
      <c r="AE800" t="s">
        <v>14778</v>
      </c>
      <c r="AF800" t="s">
        <v>74</v>
      </c>
      <c r="AG800">
        <v>57</v>
      </c>
      <c r="AH800">
        <v>20</v>
      </c>
      <c r="AI800">
        <v>23</v>
      </c>
      <c r="AJ800">
        <v>1</v>
      </c>
      <c r="AK800">
        <v>23</v>
      </c>
      <c r="AL800" t="s">
        <v>1463</v>
      </c>
      <c r="AM800" t="s">
        <v>1464</v>
      </c>
      <c r="AN800" t="s">
        <v>1465</v>
      </c>
      <c r="AO800" t="s">
        <v>10461</v>
      </c>
      <c r="AP800" t="s">
        <v>10462</v>
      </c>
      <c r="AQ800" t="s">
        <v>74</v>
      </c>
      <c r="AR800" t="s">
        <v>10449</v>
      </c>
      <c r="AS800" t="s">
        <v>10463</v>
      </c>
      <c r="AT800" t="s">
        <v>74</v>
      </c>
      <c r="AU800">
        <v>2014</v>
      </c>
      <c r="AV800">
        <v>8</v>
      </c>
      <c r="AW800">
        <v>1</v>
      </c>
      <c r="AX800" t="s">
        <v>74</v>
      </c>
      <c r="AY800" t="s">
        <v>74</v>
      </c>
      <c r="AZ800" t="s">
        <v>74</v>
      </c>
      <c r="BA800" t="s">
        <v>74</v>
      </c>
      <c r="BB800">
        <v>25</v>
      </c>
      <c r="BC800">
        <v>40</v>
      </c>
      <c r="BD800" t="s">
        <v>74</v>
      </c>
      <c r="BE800" t="s">
        <v>14779</v>
      </c>
      <c r="BF800" t="str">
        <f>HYPERLINK("http://dx.doi.org/10.5194/tc-8-25-2014","http://dx.doi.org/10.5194/tc-8-25-2014")</f>
        <v>http://dx.doi.org/10.5194/tc-8-25-2014</v>
      </c>
      <c r="BG800" t="s">
        <v>74</v>
      </c>
      <c r="BH800" t="s">
        <v>74</v>
      </c>
      <c r="BI800">
        <v>16</v>
      </c>
      <c r="BJ800" t="s">
        <v>1415</v>
      </c>
      <c r="BK800" t="s">
        <v>101</v>
      </c>
      <c r="BL800" t="s">
        <v>1416</v>
      </c>
      <c r="BM800" t="s">
        <v>14780</v>
      </c>
      <c r="BN800" t="s">
        <v>74</v>
      </c>
      <c r="BO800" t="s">
        <v>9228</v>
      </c>
      <c r="BP800" t="s">
        <v>74</v>
      </c>
      <c r="BQ800" t="s">
        <v>74</v>
      </c>
      <c r="BR800" t="s">
        <v>104</v>
      </c>
      <c r="BS800" t="s">
        <v>14781</v>
      </c>
      <c r="BT800" t="str">
        <f>HYPERLINK("https%3A%2F%2Fwww.webofscience.com%2Fwos%2Fwoscc%2Ffull-record%2FWOS:000332317000003","View Full Record in Web of Science")</f>
        <v>View Full Record in Web of Science</v>
      </c>
    </row>
    <row r="801" spans="1:72" x14ac:dyDescent="0.15">
      <c r="A801" t="s">
        <v>72</v>
      </c>
      <c r="B801" t="s">
        <v>14782</v>
      </c>
      <c r="C801" t="s">
        <v>74</v>
      </c>
      <c r="D801" t="s">
        <v>74</v>
      </c>
      <c r="E801" t="s">
        <v>74</v>
      </c>
      <c r="F801" t="s">
        <v>14783</v>
      </c>
      <c r="G801" t="s">
        <v>74</v>
      </c>
      <c r="H801" t="s">
        <v>74</v>
      </c>
      <c r="I801" t="s">
        <v>14784</v>
      </c>
      <c r="J801" t="s">
        <v>10449</v>
      </c>
      <c r="K801" t="s">
        <v>74</v>
      </c>
      <c r="L801" t="s">
        <v>74</v>
      </c>
      <c r="M801" t="s">
        <v>78</v>
      </c>
      <c r="N801" t="s">
        <v>79</v>
      </c>
      <c r="O801" t="s">
        <v>74</v>
      </c>
      <c r="P801" t="s">
        <v>74</v>
      </c>
      <c r="Q801" t="s">
        <v>74</v>
      </c>
      <c r="R801" t="s">
        <v>74</v>
      </c>
      <c r="S801" t="s">
        <v>74</v>
      </c>
      <c r="T801" t="s">
        <v>74</v>
      </c>
      <c r="U801" t="s">
        <v>14785</v>
      </c>
      <c r="V801" t="s">
        <v>14786</v>
      </c>
      <c r="W801" t="s">
        <v>14787</v>
      </c>
      <c r="X801" t="s">
        <v>14788</v>
      </c>
      <c r="Y801" t="s">
        <v>14789</v>
      </c>
      <c r="Z801" t="s">
        <v>14790</v>
      </c>
      <c r="AA801" t="s">
        <v>14791</v>
      </c>
      <c r="AB801" t="s">
        <v>14792</v>
      </c>
      <c r="AC801" t="s">
        <v>14793</v>
      </c>
      <c r="AD801" t="s">
        <v>14794</v>
      </c>
      <c r="AE801" t="s">
        <v>14795</v>
      </c>
      <c r="AF801" t="s">
        <v>74</v>
      </c>
      <c r="AG801">
        <v>28</v>
      </c>
      <c r="AH801">
        <v>21</v>
      </c>
      <c r="AI801">
        <v>24</v>
      </c>
      <c r="AJ801">
        <v>0</v>
      </c>
      <c r="AK801">
        <v>17</v>
      </c>
      <c r="AL801" t="s">
        <v>1463</v>
      </c>
      <c r="AM801" t="s">
        <v>1464</v>
      </c>
      <c r="AN801" t="s">
        <v>1465</v>
      </c>
      <c r="AO801" t="s">
        <v>10461</v>
      </c>
      <c r="AP801" t="s">
        <v>10462</v>
      </c>
      <c r="AQ801" t="s">
        <v>74</v>
      </c>
      <c r="AR801" t="s">
        <v>10449</v>
      </c>
      <c r="AS801" t="s">
        <v>10463</v>
      </c>
      <c r="AT801" t="s">
        <v>74</v>
      </c>
      <c r="AU801">
        <v>2014</v>
      </c>
      <c r="AV801">
        <v>8</v>
      </c>
      <c r="AW801">
        <v>1</v>
      </c>
      <c r="AX801" t="s">
        <v>74</v>
      </c>
      <c r="AY801" t="s">
        <v>74</v>
      </c>
      <c r="AZ801" t="s">
        <v>74</v>
      </c>
      <c r="BA801" t="s">
        <v>74</v>
      </c>
      <c r="BB801">
        <v>245</v>
      </c>
      <c r="BC801">
        <v>256</v>
      </c>
      <c r="BD801" t="s">
        <v>74</v>
      </c>
      <c r="BE801" t="s">
        <v>14796</v>
      </c>
      <c r="BF801" t="str">
        <f>HYPERLINK("http://dx.doi.org/10.5194/tc-8-245-2014","http://dx.doi.org/10.5194/tc-8-245-2014")</f>
        <v>http://dx.doi.org/10.5194/tc-8-245-2014</v>
      </c>
      <c r="BG801" t="s">
        <v>74</v>
      </c>
      <c r="BH801" t="s">
        <v>74</v>
      </c>
      <c r="BI801">
        <v>12</v>
      </c>
      <c r="BJ801" t="s">
        <v>1415</v>
      </c>
      <c r="BK801" t="s">
        <v>101</v>
      </c>
      <c r="BL801" t="s">
        <v>1416</v>
      </c>
      <c r="BM801" t="s">
        <v>14780</v>
      </c>
      <c r="BN801" t="s">
        <v>74</v>
      </c>
      <c r="BO801" t="s">
        <v>183</v>
      </c>
      <c r="BP801" t="s">
        <v>74</v>
      </c>
      <c r="BQ801" t="s">
        <v>74</v>
      </c>
      <c r="BR801" t="s">
        <v>104</v>
      </c>
      <c r="BS801" t="s">
        <v>14797</v>
      </c>
      <c r="BT801" t="str">
        <f>HYPERLINK("https%3A%2F%2Fwww.webofscience.com%2Fwos%2Fwoscc%2Ffull-record%2FWOS:000332317000018","View Full Record in Web of Science")</f>
        <v>View Full Record in Web of Science</v>
      </c>
    </row>
    <row r="802" spans="1:72" x14ac:dyDescent="0.15">
      <c r="A802" t="s">
        <v>72</v>
      </c>
      <c r="B802" t="s">
        <v>14798</v>
      </c>
      <c r="C802" t="s">
        <v>74</v>
      </c>
      <c r="D802" t="s">
        <v>74</v>
      </c>
      <c r="E802" t="s">
        <v>74</v>
      </c>
      <c r="F802" t="s">
        <v>14799</v>
      </c>
      <c r="G802" t="s">
        <v>74</v>
      </c>
      <c r="H802" t="s">
        <v>74</v>
      </c>
      <c r="I802" t="s">
        <v>14800</v>
      </c>
      <c r="J802" t="s">
        <v>768</v>
      </c>
      <c r="K802" t="s">
        <v>74</v>
      </c>
      <c r="L802" t="s">
        <v>74</v>
      </c>
      <c r="M802" t="s">
        <v>78</v>
      </c>
      <c r="N802" t="s">
        <v>79</v>
      </c>
      <c r="O802" t="s">
        <v>74</v>
      </c>
      <c r="P802" t="s">
        <v>74</v>
      </c>
      <c r="Q802" t="s">
        <v>74</v>
      </c>
      <c r="R802" t="s">
        <v>74</v>
      </c>
      <c r="S802" t="s">
        <v>74</v>
      </c>
      <c r="T802" t="s">
        <v>14801</v>
      </c>
      <c r="U802" t="s">
        <v>14802</v>
      </c>
      <c r="V802" t="s">
        <v>14803</v>
      </c>
      <c r="W802" t="s">
        <v>14804</v>
      </c>
      <c r="X802" t="s">
        <v>14805</v>
      </c>
      <c r="Y802" t="s">
        <v>14806</v>
      </c>
      <c r="Z802" t="s">
        <v>1902</v>
      </c>
      <c r="AA802" t="s">
        <v>14807</v>
      </c>
      <c r="AB802" t="s">
        <v>14808</v>
      </c>
      <c r="AC802" t="s">
        <v>14809</v>
      </c>
      <c r="AD802" t="s">
        <v>14810</v>
      </c>
      <c r="AE802" t="s">
        <v>14811</v>
      </c>
      <c r="AF802" t="s">
        <v>74</v>
      </c>
      <c r="AG802">
        <v>55</v>
      </c>
      <c r="AH802">
        <v>29</v>
      </c>
      <c r="AI802">
        <v>33</v>
      </c>
      <c r="AJ802">
        <v>0</v>
      </c>
      <c r="AK802">
        <v>25</v>
      </c>
      <c r="AL802" t="s">
        <v>568</v>
      </c>
      <c r="AM802" t="s">
        <v>447</v>
      </c>
      <c r="AN802" t="s">
        <v>569</v>
      </c>
      <c r="AO802" t="s">
        <v>780</v>
      </c>
      <c r="AP802" t="s">
        <v>781</v>
      </c>
      <c r="AQ802" t="s">
        <v>74</v>
      </c>
      <c r="AR802" t="s">
        <v>782</v>
      </c>
      <c r="AS802" t="s">
        <v>783</v>
      </c>
      <c r="AT802" t="s">
        <v>13186</v>
      </c>
      <c r="AU802">
        <v>2014</v>
      </c>
      <c r="AV802">
        <v>119</v>
      </c>
      <c r="AW802">
        <v>1</v>
      </c>
      <c r="AX802" t="s">
        <v>74</v>
      </c>
      <c r="AY802" t="s">
        <v>74</v>
      </c>
      <c r="AZ802" t="s">
        <v>74</v>
      </c>
      <c r="BA802" t="s">
        <v>74</v>
      </c>
      <c r="BB802">
        <v>1</v>
      </c>
      <c r="BC802">
        <v>14</v>
      </c>
      <c r="BD802" t="s">
        <v>74</v>
      </c>
      <c r="BE802" t="s">
        <v>14812</v>
      </c>
      <c r="BF802" t="str">
        <f>HYPERLINK("http://dx.doi.org/10.1002/2013JC009286","http://dx.doi.org/10.1002/2013JC009286")</f>
        <v>http://dx.doi.org/10.1002/2013JC009286</v>
      </c>
      <c r="BG802" t="s">
        <v>74</v>
      </c>
      <c r="BH802" t="s">
        <v>74</v>
      </c>
      <c r="BI802">
        <v>14</v>
      </c>
      <c r="BJ802" t="s">
        <v>785</v>
      </c>
      <c r="BK802" t="s">
        <v>101</v>
      </c>
      <c r="BL802" t="s">
        <v>785</v>
      </c>
      <c r="BM802" t="s">
        <v>14813</v>
      </c>
      <c r="BN802" t="s">
        <v>74</v>
      </c>
      <c r="BO802" t="s">
        <v>1855</v>
      </c>
      <c r="BP802" t="s">
        <v>74</v>
      </c>
      <c r="BQ802" t="s">
        <v>74</v>
      </c>
      <c r="BR802" t="s">
        <v>104</v>
      </c>
      <c r="BS802" t="s">
        <v>14814</v>
      </c>
      <c r="BT802" t="str">
        <f>HYPERLINK("https%3A%2F%2Fwww.webofscience.com%2Fwos%2Fwoscc%2Ffull-record%2FWOS:000331879100001","View Full Record in Web of Science")</f>
        <v>View Full Record in Web of Science</v>
      </c>
    </row>
    <row r="803" spans="1:72" x14ac:dyDescent="0.15">
      <c r="A803" t="s">
        <v>72</v>
      </c>
      <c r="B803" t="s">
        <v>14815</v>
      </c>
      <c r="C803" t="s">
        <v>74</v>
      </c>
      <c r="D803" t="s">
        <v>74</v>
      </c>
      <c r="E803" t="s">
        <v>74</v>
      </c>
      <c r="F803" t="s">
        <v>14816</v>
      </c>
      <c r="G803" t="s">
        <v>74</v>
      </c>
      <c r="H803" t="s">
        <v>74</v>
      </c>
      <c r="I803" t="s">
        <v>14817</v>
      </c>
      <c r="J803" t="s">
        <v>768</v>
      </c>
      <c r="K803" t="s">
        <v>74</v>
      </c>
      <c r="L803" t="s">
        <v>74</v>
      </c>
      <c r="M803" t="s">
        <v>78</v>
      </c>
      <c r="N803" t="s">
        <v>79</v>
      </c>
      <c r="O803" t="s">
        <v>74</v>
      </c>
      <c r="P803" t="s">
        <v>74</v>
      </c>
      <c r="Q803" t="s">
        <v>74</v>
      </c>
      <c r="R803" t="s">
        <v>74</v>
      </c>
      <c r="S803" t="s">
        <v>74</v>
      </c>
      <c r="T803" t="s">
        <v>14818</v>
      </c>
      <c r="U803" t="s">
        <v>14819</v>
      </c>
      <c r="V803" t="s">
        <v>14820</v>
      </c>
      <c r="W803" t="s">
        <v>14821</v>
      </c>
      <c r="X803" t="s">
        <v>14822</v>
      </c>
      <c r="Y803" t="s">
        <v>14823</v>
      </c>
      <c r="Z803" t="s">
        <v>14824</v>
      </c>
      <c r="AA803" t="s">
        <v>14825</v>
      </c>
      <c r="AB803" t="s">
        <v>14826</v>
      </c>
      <c r="AC803" t="s">
        <v>14827</v>
      </c>
      <c r="AD803" t="s">
        <v>14828</v>
      </c>
      <c r="AE803" t="s">
        <v>14829</v>
      </c>
      <c r="AF803" t="s">
        <v>74</v>
      </c>
      <c r="AG803">
        <v>34</v>
      </c>
      <c r="AH803">
        <v>45</v>
      </c>
      <c r="AI803">
        <v>48</v>
      </c>
      <c r="AJ803">
        <v>1</v>
      </c>
      <c r="AK803">
        <v>17</v>
      </c>
      <c r="AL803" t="s">
        <v>568</v>
      </c>
      <c r="AM803" t="s">
        <v>447</v>
      </c>
      <c r="AN803" t="s">
        <v>569</v>
      </c>
      <c r="AO803" t="s">
        <v>780</v>
      </c>
      <c r="AP803" t="s">
        <v>781</v>
      </c>
      <c r="AQ803" t="s">
        <v>74</v>
      </c>
      <c r="AR803" t="s">
        <v>782</v>
      </c>
      <c r="AS803" t="s">
        <v>783</v>
      </c>
      <c r="AT803" t="s">
        <v>13186</v>
      </c>
      <c r="AU803">
        <v>2014</v>
      </c>
      <c r="AV803">
        <v>119</v>
      </c>
      <c r="AW803">
        <v>1</v>
      </c>
      <c r="AX803" t="s">
        <v>74</v>
      </c>
      <c r="AY803" t="s">
        <v>74</v>
      </c>
      <c r="AZ803" t="s">
        <v>74</v>
      </c>
      <c r="BA803" t="s">
        <v>74</v>
      </c>
      <c r="BB803">
        <v>52</v>
      </c>
      <c r="BC803">
        <v>69</v>
      </c>
      <c r="BD803" t="s">
        <v>74</v>
      </c>
      <c r="BE803" t="s">
        <v>14830</v>
      </c>
      <c r="BF803" t="str">
        <f>HYPERLINK("http://dx.doi.org/10.1002/2013JC009143","http://dx.doi.org/10.1002/2013JC009143")</f>
        <v>http://dx.doi.org/10.1002/2013JC009143</v>
      </c>
      <c r="BG803" t="s">
        <v>74</v>
      </c>
      <c r="BH803" t="s">
        <v>74</v>
      </c>
      <c r="BI803">
        <v>18</v>
      </c>
      <c r="BJ803" t="s">
        <v>785</v>
      </c>
      <c r="BK803" t="s">
        <v>101</v>
      </c>
      <c r="BL803" t="s">
        <v>785</v>
      </c>
      <c r="BM803" t="s">
        <v>14813</v>
      </c>
      <c r="BN803" t="s">
        <v>74</v>
      </c>
      <c r="BO803" t="s">
        <v>200</v>
      </c>
      <c r="BP803" t="s">
        <v>74</v>
      </c>
      <c r="BQ803" t="s">
        <v>74</v>
      </c>
      <c r="BR803" t="s">
        <v>104</v>
      </c>
      <c r="BS803" t="s">
        <v>14831</v>
      </c>
      <c r="BT803" t="str">
        <f>HYPERLINK("https%3A%2F%2Fwww.webofscience.com%2Fwos%2Fwoscc%2Ffull-record%2FWOS:000331879100004","View Full Record in Web of Science")</f>
        <v>View Full Record in Web of Science</v>
      </c>
    </row>
    <row r="804" spans="1:72" x14ac:dyDescent="0.15">
      <c r="A804" t="s">
        <v>72</v>
      </c>
      <c r="B804" t="s">
        <v>14832</v>
      </c>
      <c r="C804" t="s">
        <v>74</v>
      </c>
      <c r="D804" t="s">
        <v>74</v>
      </c>
      <c r="E804" t="s">
        <v>74</v>
      </c>
      <c r="F804" t="s">
        <v>14833</v>
      </c>
      <c r="G804" t="s">
        <v>74</v>
      </c>
      <c r="H804" t="s">
        <v>74</v>
      </c>
      <c r="I804" t="s">
        <v>14834</v>
      </c>
      <c r="J804" t="s">
        <v>768</v>
      </c>
      <c r="K804" t="s">
        <v>74</v>
      </c>
      <c r="L804" t="s">
        <v>74</v>
      </c>
      <c r="M804" t="s">
        <v>78</v>
      </c>
      <c r="N804" t="s">
        <v>79</v>
      </c>
      <c r="O804" t="s">
        <v>74</v>
      </c>
      <c r="P804" t="s">
        <v>74</v>
      </c>
      <c r="Q804" t="s">
        <v>74</v>
      </c>
      <c r="R804" t="s">
        <v>74</v>
      </c>
      <c r="S804" t="s">
        <v>74</v>
      </c>
      <c r="T804" t="s">
        <v>14835</v>
      </c>
      <c r="U804" t="s">
        <v>14836</v>
      </c>
      <c r="V804" t="s">
        <v>14837</v>
      </c>
      <c r="W804" t="s">
        <v>14838</v>
      </c>
      <c r="X804" t="s">
        <v>14839</v>
      </c>
      <c r="Y804" t="s">
        <v>14840</v>
      </c>
      <c r="Z804" t="s">
        <v>14841</v>
      </c>
      <c r="AA804" t="s">
        <v>14842</v>
      </c>
      <c r="AB804" t="s">
        <v>14843</v>
      </c>
      <c r="AC804" t="s">
        <v>74</v>
      </c>
      <c r="AD804" t="s">
        <v>74</v>
      </c>
      <c r="AE804" t="s">
        <v>74</v>
      </c>
      <c r="AF804" t="s">
        <v>74</v>
      </c>
      <c r="AG804">
        <v>62</v>
      </c>
      <c r="AH804">
        <v>33</v>
      </c>
      <c r="AI804">
        <v>36</v>
      </c>
      <c r="AJ804">
        <v>0</v>
      </c>
      <c r="AK804">
        <v>14</v>
      </c>
      <c r="AL804" t="s">
        <v>568</v>
      </c>
      <c r="AM804" t="s">
        <v>447</v>
      </c>
      <c r="AN804" t="s">
        <v>569</v>
      </c>
      <c r="AO804" t="s">
        <v>780</v>
      </c>
      <c r="AP804" t="s">
        <v>781</v>
      </c>
      <c r="AQ804" t="s">
        <v>74</v>
      </c>
      <c r="AR804" t="s">
        <v>782</v>
      </c>
      <c r="AS804" t="s">
        <v>783</v>
      </c>
      <c r="AT804" t="s">
        <v>13186</v>
      </c>
      <c r="AU804">
        <v>2014</v>
      </c>
      <c r="AV804">
        <v>119</v>
      </c>
      <c r="AW804">
        <v>1</v>
      </c>
      <c r="AX804" t="s">
        <v>74</v>
      </c>
      <c r="AY804" t="s">
        <v>74</v>
      </c>
      <c r="AZ804" t="s">
        <v>74</v>
      </c>
      <c r="BA804" t="s">
        <v>74</v>
      </c>
      <c r="BB804">
        <v>348</v>
      </c>
      <c r="BC804">
        <v>358</v>
      </c>
      <c r="BD804" t="s">
        <v>74</v>
      </c>
      <c r="BE804" t="s">
        <v>14844</v>
      </c>
      <c r="BF804" t="str">
        <f>HYPERLINK("http://dx.doi.org/10.1002/2013JC009302","http://dx.doi.org/10.1002/2013JC009302")</f>
        <v>http://dx.doi.org/10.1002/2013JC009302</v>
      </c>
      <c r="BG804" t="s">
        <v>74</v>
      </c>
      <c r="BH804" t="s">
        <v>74</v>
      </c>
      <c r="BI804">
        <v>11</v>
      </c>
      <c r="BJ804" t="s">
        <v>785</v>
      </c>
      <c r="BK804" t="s">
        <v>101</v>
      </c>
      <c r="BL804" t="s">
        <v>785</v>
      </c>
      <c r="BM804" t="s">
        <v>14813</v>
      </c>
      <c r="BN804" t="s">
        <v>74</v>
      </c>
      <c r="BO804" t="s">
        <v>74</v>
      </c>
      <c r="BP804" t="s">
        <v>74</v>
      </c>
      <c r="BQ804" t="s">
        <v>74</v>
      </c>
      <c r="BR804" t="s">
        <v>104</v>
      </c>
      <c r="BS804" t="s">
        <v>14845</v>
      </c>
      <c r="BT804" t="str">
        <f>HYPERLINK("https%3A%2F%2Fwww.webofscience.com%2Fwos%2Fwoscc%2Ffull-record%2FWOS:000331879100026","View Full Record in Web of Science")</f>
        <v>View Full Record in Web of Science</v>
      </c>
    </row>
    <row r="805" spans="1:72" x14ac:dyDescent="0.15">
      <c r="A805" t="s">
        <v>72</v>
      </c>
      <c r="B805" t="s">
        <v>14846</v>
      </c>
      <c r="C805" t="s">
        <v>74</v>
      </c>
      <c r="D805" t="s">
        <v>74</v>
      </c>
      <c r="E805" t="s">
        <v>74</v>
      </c>
      <c r="F805" t="s">
        <v>14847</v>
      </c>
      <c r="G805" t="s">
        <v>74</v>
      </c>
      <c r="H805" t="s">
        <v>74</v>
      </c>
      <c r="I805" t="s">
        <v>14848</v>
      </c>
      <c r="J805" t="s">
        <v>768</v>
      </c>
      <c r="K805" t="s">
        <v>74</v>
      </c>
      <c r="L805" t="s">
        <v>74</v>
      </c>
      <c r="M805" t="s">
        <v>78</v>
      </c>
      <c r="N805" t="s">
        <v>79</v>
      </c>
      <c r="O805" t="s">
        <v>74</v>
      </c>
      <c r="P805" t="s">
        <v>74</v>
      </c>
      <c r="Q805" t="s">
        <v>74</v>
      </c>
      <c r="R805" t="s">
        <v>74</v>
      </c>
      <c r="S805" t="s">
        <v>74</v>
      </c>
      <c r="T805" t="s">
        <v>14849</v>
      </c>
      <c r="U805" t="s">
        <v>14850</v>
      </c>
      <c r="V805" t="s">
        <v>14851</v>
      </c>
      <c r="W805" t="s">
        <v>14852</v>
      </c>
      <c r="X805" t="s">
        <v>14853</v>
      </c>
      <c r="Y805" t="s">
        <v>14854</v>
      </c>
      <c r="Z805" t="s">
        <v>14855</v>
      </c>
      <c r="AA805" t="s">
        <v>14856</v>
      </c>
      <c r="AB805" t="s">
        <v>74</v>
      </c>
      <c r="AC805" t="s">
        <v>74</v>
      </c>
      <c r="AD805" t="s">
        <v>74</v>
      </c>
      <c r="AE805" t="s">
        <v>74</v>
      </c>
      <c r="AF805" t="s">
        <v>74</v>
      </c>
      <c r="AG805">
        <v>48</v>
      </c>
      <c r="AH805">
        <v>6</v>
      </c>
      <c r="AI805">
        <v>7</v>
      </c>
      <c r="AJ805">
        <v>8</v>
      </c>
      <c r="AK805">
        <v>65</v>
      </c>
      <c r="AL805" t="s">
        <v>568</v>
      </c>
      <c r="AM805" t="s">
        <v>447</v>
      </c>
      <c r="AN805" t="s">
        <v>569</v>
      </c>
      <c r="AO805" t="s">
        <v>780</v>
      </c>
      <c r="AP805" t="s">
        <v>781</v>
      </c>
      <c r="AQ805" t="s">
        <v>74</v>
      </c>
      <c r="AR805" t="s">
        <v>782</v>
      </c>
      <c r="AS805" t="s">
        <v>783</v>
      </c>
      <c r="AT805" t="s">
        <v>13186</v>
      </c>
      <c r="AU805">
        <v>2014</v>
      </c>
      <c r="AV805">
        <v>119</v>
      </c>
      <c r="AW805">
        <v>1</v>
      </c>
      <c r="AX805" t="s">
        <v>74</v>
      </c>
      <c r="AY805" t="s">
        <v>74</v>
      </c>
      <c r="AZ805" t="s">
        <v>74</v>
      </c>
      <c r="BA805" t="s">
        <v>74</v>
      </c>
      <c r="BB805">
        <v>595</v>
      </c>
      <c r="BC805">
        <v>614</v>
      </c>
      <c r="BD805" t="s">
        <v>74</v>
      </c>
      <c r="BE805" t="s">
        <v>14857</v>
      </c>
      <c r="BF805" t="str">
        <f>HYPERLINK("http://dx.doi.org/10.1002/2013JC009429","http://dx.doi.org/10.1002/2013JC009429")</f>
        <v>http://dx.doi.org/10.1002/2013JC009429</v>
      </c>
      <c r="BG805" t="s">
        <v>74</v>
      </c>
      <c r="BH805" t="s">
        <v>74</v>
      </c>
      <c r="BI805">
        <v>20</v>
      </c>
      <c r="BJ805" t="s">
        <v>785</v>
      </c>
      <c r="BK805" t="s">
        <v>101</v>
      </c>
      <c r="BL805" t="s">
        <v>785</v>
      </c>
      <c r="BM805" t="s">
        <v>14813</v>
      </c>
      <c r="BN805" t="s">
        <v>74</v>
      </c>
      <c r="BO805" t="s">
        <v>74</v>
      </c>
      <c r="BP805" t="s">
        <v>74</v>
      </c>
      <c r="BQ805" t="s">
        <v>74</v>
      </c>
      <c r="BR805" t="s">
        <v>104</v>
      </c>
      <c r="BS805" t="s">
        <v>14858</v>
      </c>
      <c r="BT805" t="str">
        <f>HYPERLINK("https%3A%2F%2Fwww.webofscience.com%2Fwos%2Fwoscc%2Ffull-record%2FWOS:000331879100042","View Full Record in Web of Science")</f>
        <v>View Full Record in Web of Science</v>
      </c>
    </row>
    <row r="806" spans="1:72" x14ac:dyDescent="0.15">
      <c r="A806" t="s">
        <v>72</v>
      </c>
      <c r="B806" t="s">
        <v>14859</v>
      </c>
      <c r="C806" t="s">
        <v>74</v>
      </c>
      <c r="D806" t="s">
        <v>74</v>
      </c>
      <c r="E806" t="s">
        <v>74</v>
      </c>
      <c r="F806" t="s">
        <v>14860</v>
      </c>
      <c r="G806" t="s">
        <v>74</v>
      </c>
      <c r="H806" t="s">
        <v>74</v>
      </c>
      <c r="I806" t="s">
        <v>14861</v>
      </c>
      <c r="J806" t="s">
        <v>14862</v>
      </c>
      <c r="K806" t="s">
        <v>74</v>
      </c>
      <c r="L806" t="s">
        <v>74</v>
      </c>
      <c r="M806" t="s">
        <v>78</v>
      </c>
      <c r="N806" t="s">
        <v>79</v>
      </c>
      <c r="O806" t="s">
        <v>74</v>
      </c>
      <c r="P806" t="s">
        <v>74</v>
      </c>
      <c r="Q806" t="s">
        <v>74</v>
      </c>
      <c r="R806" t="s">
        <v>74</v>
      </c>
      <c r="S806" t="s">
        <v>74</v>
      </c>
      <c r="T806" t="s">
        <v>14863</v>
      </c>
      <c r="U806" t="s">
        <v>14864</v>
      </c>
      <c r="V806" t="s">
        <v>14865</v>
      </c>
      <c r="W806" t="s">
        <v>14866</v>
      </c>
      <c r="X806" t="s">
        <v>14867</v>
      </c>
      <c r="Y806" t="s">
        <v>14868</v>
      </c>
      <c r="Z806" t="s">
        <v>14869</v>
      </c>
      <c r="AA806" t="s">
        <v>13676</v>
      </c>
      <c r="AB806" t="s">
        <v>14870</v>
      </c>
      <c r="AC806" t="s">
        <v>14871</v>
      </c>
      <c r="AD806" t="s">
        <v>14872</v>
      </c>
      <c r="AE806" t="s">
        <v>14873</v>
      </c>
      <c r="AF806" t="s">
        <v>74</v>
      </c>
      <c r="AG806">
        <v>29</v>
      </c>
      <c r="AH806">
        <v>7</v>
      </c>
      <c r="AI806">
        <v>9</v>
      </c>
      <c r="AJ806">
        <v>2</v>
      </c>
      <c r="AK806">
        <v>31</v>
      </c>
      <c r="AL806" t="s">
        <v>14874</v>
      </c>
      <c r="AM806" t="s">
        <v>14875</v>
      </c>
      <c r="AN806" t="s">
        <v>14876</v>
      </c>
      <c r="AO806" t="s">
        <v>14877</v>
      </c>
      <c r="AP806" t="s">
        <v>14878</v>
      </c>
      <c r="AQ806" t="s">
        <v>74</v>
      </c>
      <c r="AR806" t="s">
        <v>14879</v>
      </c>
      <c r="AS806" t="s">
        <v>14880</v>
      </c>
      <c r="AT806" t="s">
        <v>14881</v>
      </c>
      <c r="AU806">
        <v>2014</v>
      </c>
      <c r="AV806">
        <v>48</v>
      </c>
      <c r="AW806">
        <v>1</v>
      </c>
      <c r="AX806" t="s">
        <v>74</v>
      </c>
      <c r="AY806" t="s">
        <v>74</v>
      </c>
      <c r="AZ806" t="s">
        <v>74</v>
      </c>
      <c r="BA806" t="s">
        <v>74</v>
      </c>
      <c r="BB806">
        <v>84</v>
      </c>
      <c r="BC806">
        <v>91</v>
      </c>
      <c r="BD806" t="s">
        <v>74</v>
      </c>
      <c r="BE806" t="s">
        <v>14882</v>
      </c>
      <c r="BF806" t="str">
        <f>HYPERLINK("http://dx.doi.org/10.4031/MTSJ.48.1.5","http://dx.doi.org/10.4031/MTSJ.48.1.5")</f>
        <v>http://dx.doi.org/10.4031/MTSJ.48.1.5</v>
      </c>
      <c r="BG806" t="s">
        <v>74</v>
      </c>
      <c r="BH806" t="s">
        <v>74</v>
      </c>
      <c r="BI806">
        <v>8</v>
      </c>
      <c r="BJ806" t="s">
        <v>14883</v>
      </c>
      <c r="BK806" t="s">
        <v>101</v>
      </c>
      <c r="BL806" t="s">
        <v>14884</v>
      </c>
      <c r="BM806" t="s">
        <v>14885</v>
      </c>
      <c r="BN806" t="s">
        <v>74</v>
      </c>
      <c r="BO806" t="s">
        <v>1244</v>
      </c>
      <c r="BP806" t="s">
        <v>74</v>
      </c>
      <c r="BQ806" t="s">
        <v>74</v>
      </c>
      <c r="BR806" t="s">
        <v>104</v>
      </c>
      <c r="BS806" t="s">
        <v>14886</v>
      </c>
      <c r="BT806" t="str">
        <f>HYPERLINK("https%3A%2F%2Fwww.webofscience.com%2Fwos%2Fwoscc%2Ffull-record%2FWOS:000331919300009","View Full Record in Web of Science")</f>
        <v>View Full Record in Web of Science</v>
      </c>
    </row>
    <row r="807" spans="1:72" x14ac:dyDescent="0.15">
      <c r="A807" t="s">
        <v>72</v>
      </c>
      <c r="B807" t="s">
        <v>14887</v>
      </c>
      <c r="C807" t="s">
        <v>74</v>
      </c>
      <c r="D807" t="s">
        <v>74</v>
      </c>
      <c r="E807" t="s">
        <v>74</v>
      </c>
      <c r="F807" t="s">
        <v>14888</v>
      </c>
      <c r="G807" t="s">
        <v>74</v>
      </c>
      <c r="H807" t="s">
        <v>74</v>
      </c>
      <c r="I807" t="s">
        <v>14889</v>
      </c>
      <c r="J807" t="s">
        <v>10504</v>
      </c>
      <c r="K807" t="s">
        <v>74</v>
      </c>
      <c r="L807" t="s">
        <v>74</v>
      </c>
      <c r="M807" t="s">
        <v>78</v>
      </c>
      <c r="N807" t="s">
        <v>79</v>
      </c>
      <c r="O807" t="s">
        <v>74</v>
      </c>
      <c r="P807" t="s">
        <v>74</v>
      </c>
      <c r="Q807" t="s">
        <v>74</v>
      </c>
      <c r="R807" t="s">
        <v>74</v>
      </c>
      <c r="S807" t="s">
        <v>74</v>
      </c>
      <c r="T807" t="s">
        <v>74</v>
      </c>
      <c r="U807" t="s">
        <v>14890</v>
      </c>
      <c r="V807" t="s">
        <v>14891</v>
      </c>
      <c r="W807" t="s">
        <v>14892</v>
      </c>
      <c r="X807" t="s">
        <v>14893</v>
      </c>
      <c r="Y807" t="s">
        <v>14894</v>
      </c>
      <c r="Z807" t="s">
        <v>14895</v>
      </c>
      <c r="AA807" t="s">
        <v>14896</v>
      </c>
      <c r="AB807" t="s">
        <v>14897</v>
      </c>
      <c r="AC807" t="s">
        <v>14898</v>
      </c>
      <c r="AD807" t="s">
        <v>14899</v>
      </c>
      <c r="AE807" t="s">
        <v>14900</v>
      </c>
      <c r="AF807" t="s">
        <v>74</v>
      </c>
      <c r="AG807">
        <v>66</v>
      </c>
      <c r="AH807">
        <v>18</v>
      </c>
      <c r="AI807">
        <v>21</v>
      </c>
      <c r="AJ807">
        <v>0</v>
      </c>
      <c r="AK807">
        <v>29</v>
      </c>
      <c r="AL807" t="s">
        <v>1463</v>
      </c>
      <c r="AM807" t="s">
        <v>1464</v>
      </c>
      <c r="AN807" t="s">
        <v>1465</v>
      </c>
      <c r="AO807" t="s">
        <v>10515</v>
      </c>
      <c r="AP807" t="s">
        <v>74</v>
      </c>
      <c r="AQ807" t="s">
        <v>74</v>
      </c>
      <c r="AR807" t="s">
        <v>10517</v>
      </c>
      <c r="AS807" t="s">
        <v>10518</v>
      </c>
      <c r="AT807" t="s">
        <v>74</v>
      </c>
      <c r="AU807">
        <v>2014</v>
      </c>
      <c r="AV807">
        <v>10</v>
      </c>
      <c r="AW807">
        <v>1</v>
      </c>
      <c r="AX807" t="s">
        <v>74</v>
      </c>
      <c r="AY807" t="s">
        <v>74</v>
      </c>
      <c r="AZ807" t="s">
        <v>74</v>
      </c>
      <c r="BA807" t="s">
        <v>74</v>
      </c>
      <c r="BB807">
        <v>93</v>
      </c>
      <c r="BC807">
        <v>105</v>
      </c>
      <c r="BD807" t="s">
        <v>74</v>
      </c>
      <c r="BE807" t="s">
        <v>14901</v>
      </c>
      <c r="BF807" t="str">
        <f>HYPERLINK("http://dx.doi.org/10.5194/os-10-93-2014","http://dx.doi.org/10.5194/os-10-93-2014")</f>
        <v>http://dx.doi.org/10.5194/os-10-93-2014</v>
      </c>
      <c r="BG807" t="s">
        <v>74</v>
      </c>
      <c r="BH807" t="s">
        <v>74</v>
      </c>
      <c r="BI807">
        <v>13</v>
      </c>
      <c r="BJ807" t="s">
        <v>6540</v>
      </c>
      <c r="BK807" t="s">
        <v>101</v>
      </c>
      <c r="BL807" t="s">
        <v>6540</v>
      </c>
      <c r="BM807" t="s">
        <v>14902</v>
      </c>
      <c r="BN807" t="s">
        <v>74</v>
      </c>
      <c r="BO807" t="s">
        <v>9228</v>
      </c>
      <c r="BP807" t="s">
        <v>74</v>
      </c>
      <c r="BQ807" t="s">
        <v>74</v>
      </c>
      <c r="BR807" t="s">
        <v>104</v>
      </c>
      <c r="BS807" t="s">
        <v>14903</v>
      </c>
      <c r="BT807" t="str">
        <f>HYPERLINK("https%3A%2F%2Fwww.webofscience.com%2Fwos%2Fwoscc%2Ffull-record%2FWOS:000332316200007","View Full Record in Web of Science")</f>
        <v>View Full Record in Web of Science</v>
      </c>
    </row>
    <row r="808" spans="1:72" x14ac:dyDescent="0.15">
      <c r="A808" t="s">
        <v>72</v>
      </c>
      <c r="B808" t="s">
        <v>14904</v>
      </c>
      <c r="C808" t="s">
        <v>74</v>
      </c>
      <c r="D808" t="s">
        <v>74</v>
      </c>
      <c r="E808" t="s">
        <v>74</v>
      </c>
      <c r="F808" t="s">
        <v>14905</v>
      </c>
      <c r="G808" t="s">
        <v>74</v>
      </c>
      <c r="H808" t="s">
        <v>74</v>
      </c>
      <c r="I808" t="s">
        <v>14906</v>
      </c>
      <c r="J808" t="s">
        <v>14907</v>
      </c>
      <c r="K808" t="s">
        <v>74</v>
      </c>
      <c r="L808" t="s">
        <v>74</v>
      </c>
      <c r="M808" t="s">
        <v>78</v>
      </c>
      <c r="N808" t="s">
        <v>79</v>
      </c>
      <c r="O808" t="s">
        <v>74</v>
      </c>
      <c r="P808" t="s">
        <v>74</v>
      </c>
      <c r="Q808" t="s">
        <v>74</v>
      </c>
      <c r="R808" t="s">
        <v>74</v>
      </c>
      <c r="S808" t="s">
        <v>74</v>
      </c>
      <c r="T808" t="s">
        <v>74</v>
      </c>
      <c r="U808" t="s">
        <v>14908</v>
      </c>
      <c r="V808" t="s">
        <v>14909</v>
      </c>
      <c r="W808" t="s">
        <v>14910</v>
      </c>
      <c r="X808" t="s">
        <v>14911</v>
      </c>
      <c r="Y808" t="s">
        <v>14912</v>
      </c>
      <c r="Z808" t="s">
        <v>14913</v>
      </c>
      <c r="AA808" t="s">
        <v>14914</v>
      </c>
      <c r="AB808" t="s">
        <v>14915</v>
      </c>
      <c r="AC808" t="s">
        <v>14916</v>
      </c>
      <c r="AD808" t="s">
        <v>14917</v>
      </c>
      <c r="AE808" t="s">
        <v>14918</v>
      </c>
      <c r="AF808" t="s">
        <v>74</v>
      </c>
      <c r="AG808">
        <v>69</v>
      </c>
      <c r="AH808">
        <v>19</v>
      </c>
      <c r="AI808">
        <v>19</v>
      </c>
      <c r="AJ808">
        <v>0</v>
      </c>
      <c r="AK808">
        <v>3</v>
      </c>
      <c r="AL808" t="s">
        <v>14919</v>
      </c>
      <c r="AM808" t="s">
        <v>14920</v>
      </c>
      <c r="AN808" t="s">
        <v>14921</v>
      </c>
      <c r="AO808" t="s">
        <v>14922</v>
      </c>
      <c r="AP808" t="s">
        <v>74</v>
      </c>
      <c r="AQ808" t="s">
        <v>74</v>
      </c>
      <c r="AR808" t="s">
        <v>14907</v>
      </c>
      <c r="AS808" t="s">
        <v>14923</v>
      </c>
      <c r="AT808" t="s">
        <v>74</v>
      </c>
      <c r="AU808">
        <v>2014</v>
      </c>
      <c r="AV808">
        <v>19</v>
      </c>
      <c r="AW808">
        <v>1</v>
      </c>
      <c r="AX808" t="s">
        <v>74</v>
      </c>
      <c r="AY808" t="s">
        <v>74</v>
      </c>
      <c r="AZ808" t="s">
        <v>74</v>
      </c>
      <c r="BA808" t="s">
        <v>74</v>
      </c>
      <c r="BB808">
        <v>161</v>
      </c>
      <c r="BC808">
        <v>180</v>
      </c>
      <c r="BD808" t="s">
        <v>74</v>
      </c>
      <c r="BE808" t="s">
        <v>74</v>
      </c>
      <c r="BF808" t="s">
        <v>74</v>
      </c>
      <c r="BG808" t="s">
        <v>74</v>
      </c>
      <c r="BH808" t="s">
        <v>74</v>
      </c>
      <c r="BI808">
        <v>20</v>
      </c>
      <c r="BJ808" t="s">
        <v>952</v>
      </c>
      <c r="BK808" t="s">
        <v>101</v>
      </c>
      <c r="BL808" t="s">
        <v>597</v>
      </c>
      <c r="BM808" t="s">
        <v>14924</v>
      </c>
      <c r="BN808" t="s">
        <v>74</v>
      </c>
      <c r="BO808" t="s">
        <v>74</v>
      </c>
      <c r="BP808" t="s">
        <v>74</v>
      </c>
      <c r="BQ808" t="s">
        <v>74</v>
      </c>
      <c r="BR808" t="s">
        <v>104</v>
      </c>
      <c r="BS808" t="s">
        <v>14925</v>
      </c>
      <c r="BT808" t="str">
        <f>HYPERLINK("https%3A%2F%2Fwww.webofscience.com%2Fwos%2Fwoscc%2Ffull-record%2FWOS:000331590200007","View Full Record in Web of Science")</f>
        <v>View Full Record in Web of Science</v>
      </c>
    </row>
    <row r="809" spans="1:72" x14ac:dyDescent="0.15">
      <c r="A809" t="s">
        <v>72</v>
      </c>
      <c r="B809" t="s">
        <v>14926</v>
      </c>
      <c r="C809" t="s">
        <v>74</v>
      </c>
      <c r="D809" t="s">
        <v>74</v>
      </c>
      <c r="E809" t="s">
        <v>74</v>
      </c>
      <c r="F809" t="s">
        <v>14927</v>
      </c>
      <c r="G809" t="s">
        <v>74</v>
      </c>
      <c r="H809" t="s">
        <v>74</v>
      </c>
      <c r="I809" t="s">
        <v>14928</v>
      </c>
      <c r="J809" t="s">
        <v>14929</v>
      </c>
      <c r="K809" t="s">
        <v>74</v>
      </c>
      <c r="L809" t="s">
        <v>74</v>
      </c>
      <c r="M809" t="s">
        <v>78</v>
      </c>
      <c r="N809" t="s">
        <v>79</v>
      </c>
      <c r="O809" t="s">
        <v>74</v>
      </c>
      <c r="P809" t="s">
        <v>74</v>
      </c>
      <c r="Q809" t="s">
        <v>74</v>
      </c>
      <c r="R809" t="s">
        <v>74</v>
      </c>
      <c r="S809" t="s">
        <v>74</v>
      </c>
      <c r="T809" t="s">
        <v>14930</v>
      </c>
      <c r="U809" t="s">
        <v>14931</v>
      </c>
      <c r="V809" t="s">
        <v>14932</v>
      </c>
      <c r="W809" t="s">
        <v>14933</v>
      </c>
      <c r="X809" t="s">
        <v>14934</v>
      </c>
      <c r="Y809" t="s">
        <v>14935</v>
      </c>
      <c r="Z809" t="s">
        <v>14936</v>
      </c>
      <c r="AA809" t="s">
        <v>14937</v>
      </c>
      <c r="AB809" t="s">
        <v>14938</v>
      </c>
      <c r="AC809" t="s">
        <v>14939</v>
      </c>
      <c r="AD809" t="s">
        <v>14939</v>
      </c>
      <c r="AE809" t="s">
        <v>14940</v>
      </c>
      <c r="AF809" t="s">
        <v>74</v>
      </c>
      <c r="AG809">
        <v>31</v>
      </c>
      <c r="AH809">
        <v>4</v>
      </c>
      <c r="AI809">
        <v>5</v>
      </c>
      <c r="AJ809">
        <v>0</v>
      </c>
      <c r="AK809">
        <v>27</v>
      </c>
      <c r="AL809" t="s">
        <v>902</v>
      </c>
      <c r="AM809" t="s">
        <v>653</v>
      </c>
      <c r="AN809" t="s">
        <v>903</v>
      </c>
      <c r="AO809" t="s">
        <v>14941</v>
      </c>
      <c r="AP809" t="s">
        <v>74</v>
      </c>
      <c r="AQ809" t="s">
        <v>74</v>
      </c>
      <c r="AR809" t="s">
        <v>14942</v>
      </c>
      <c r="AS809" t="s">
        <v>14943</v>
      </c>
      <c r="AT809" t="s">
        <v>13186</v>
      </c>
      <c r="AU809">
        <v>2014</v>
      </c>
      <c r="AV809">
        <v>6</v>
      </c>
      <c r="AW809" t="s">
        <v>74</v>
      </c>
      <c r="AX809" t="s">
        <v>74</v>
      </c>
      <c r="AY809" t="s">
        <v>74</v>
      </c>
      <c r="AZ809" t="s">
        <v>74</v>
      </c>
      <c r="BA809" t="s">
        <v>74</v>
      </c>
      <c r="BB809">
        <v>623</v>
      </c>
      <c r="BC809">
        <v>630</v>
      </c>
      <c r="BD809" t="s">
        <v>74</v>
      </c>
      <c r="BE809" t="s">
        <v>14944</v>
      </c>
      <c r="BF809" t="str">
        <f>HYPERLINK("http://dx.doi.org/10.1016/j.jff.2013.11.003","http://dx.doi.org/10.1016/j.jff.2013.11.003")</f>
        <v>http://dx.doi.org/10.1016/j.jff.2013.11.003</v>
      </c>
      <c r="BG809" t="s">
        <v>74</v>
      </c>
      <c r="BH809" t="s">
        <v>74</v>
      </c>
      <c r="BI809">
        <v>8</v>
      </c>
      <c r="BJ809" t="s">
        <v>14945</v>
      </c>
      <c r="BK809" t="s">
        <v>101</v>
      </c>
      <c r="BL809" t="s">
        <v>14945</v>
      </c>
      <c r="BM809" t="s">
        <v>14946</v>
      </c>
      <c r="BN809" t="s">
        <v>74</v>
      </c>
      <c r="BO809" t="s">
        <v>74</v>
      </c>
      <c r="BP809" t="s">
        <v>74</v>
      </c>
      <c r="BQ809" t="s">
        <v>74</v>
      </c>
      <c r="BR809" t="s">
        <v>104</v>
      </c>
      <c r="BS809" t="s">
        <v>14947</v>
      </c>
      <c r="BT809" t="str">
        <f>HYPERLINK("https%3A%2F%2Fwww.webofscience.com%2Fwos%2Fwoscc%2Ffull-record%2FWOS:000331423000062","View Full Record in Web of Science")</f>
        <v>View Full Record in Web of Science</v>
      </c>
    </row>
    <row r="810" spans="1:72" x14ac:dyDescent="0.15">
      <c r="A810" t="s">
        <v>72</v>
      </c>
      <c r="B810" t="s">
        <v>14948</v>
      </c>
      <c r="C810" t="s">
        <v>74</v>
      </c>
      <c r="D810" t="s">
        <v>74</v>
      </c>
      <c r="E810" t="s">
        <v>74</v>
      </c>
      <c r="F810" t="s">
        <v>14949</v>
      </c>
      <c r="G810" t="s">
        <v>74</v>
      </c>
      <c r="H810" t="s">
        <v>74</v>
      </c>
      <c r="I810" t="s">
        <v>14950</v>
      </c>
      <c r="J810" t="s">
        <v>1397</v>
      </c>
      <c r="K810" t="s">
        <v>74</v>
      </c>
      <c r="L810" t="s">
        <v>74</v>
      </c>
      <c r="M810" t="s">
        <v>78</v>
      </c>
      <c r="N810" t="s">
        <v>79</v>
      </c>
      <c r="O810" t="s">
        <v>74</v>
      </c>
      <c r="P810" t="s">
        <v>74</v>
      </c>
      <c r="Q810" t="s">
        <v>74</v>
      </c>
      <c r="R810" t="s">
        <v>74</v>
      </c>
      <c r="S810" t="s">
        <v>74</v>
      </c>
      <c r="T810" t="s">
        <v>14951</v>
      </c>
      <c r="U810" t="s">
        <v>14952</v>
      </c>
      <c r="V810" t="s">
        <v>14953</v>
      </c>
      <c r="W810" t="s">
        <v>14954</v>
      </c>
      <c r="X810" t="s">
        <v>14955</v>
      </c>
      <c r="Y810" t="s">
        <v>14956</v>
      </c>
      <c r="Z810" t="s">
        <v>14957</v>
      </c>
      <c r="AA810" t="s">
        <v>14958</v>
      </c>
      <c r="AB810" t="s">
        <v>14959</v>
      </c>
      <c r="AC810" t="s">
        <v>14960</v>
      </c>
      <c r="AD810" t="s">
        <v>14961</v>
      </c>
      <c r="AE810" t="s">
        <v>14962</v>
      </c>
      <c r="AF810" t="s">
        <v>74</v>
      </c>
      <c r="AG810">
        <v>61</v>
      </c>
      <c r="AH810">
        <v>23</v>
      </c>
      <c r="AI810">
        <v>26</v>
      </c>
      <c r="AJ810">
        <v>0</v>
      </c>
      <c r="AK810">
        <v>20</v>
      </c>
      <c r="AL810" t="s">
        <v>946</v>
      </c>
      <c r="AM810" t="s">
        <v>522</v>
      </c>
      <c r="AN810" t="s">
        <v>947</v>
      </c>
      <c r="AO810" t="s">
        <v>1410</v>
      </c>
      <c r="AP810" t="s">
        <v>1411</v>
      </c>
      <c r="AQ810" t="s">
        <v>74</v>
      </c>
      <c r="AR810" t="s">
        <v>1412</v>
      </c>
      <c r="AS810" t="s">
        <v>1413</v>
      </c>
      <c r="AT810" t="s">
        <v>14963</v>
      </c>
      <c r="AU810">
        <v>2014</v>
      </c>
      <c r="AV810">
        <v>83</v>
      </c>
      <c r="AW810" t="s">
        <v>74</v>
      </c>
      <c r="AX810" t="s">
        <v>74</v>
      </c>
      <c r="AY810" t="s">
        <v>74</v>
      </c>
      <c r="AZ810" t="s">
        <v>74</v>
      </c>
      <c r="BA810" t="s">
        <v>74</v>
      </c>
      <c r="BB810">
        <v>46</v>
      </c>
      <c r="BC810">
        <v>57</v>
      </c>
      <c r="BD810" t="s">
        <v>74</v>
      </c>
      <c r="BE810" t="s">
        <v>14964</v>
      </c>
      <c r="BF810" t="str">
        <f>HYPERLINK("http://dx.doi.org/10.1016/j.quascirev.2013.10.028","http://dx.doi.org/10.1016/j.quascirev.2013.10.028")</f>
        <v>http://dx.doi.org/10.1016/j.quascirev.2013.10.028</v>
      </c>
      <c r="BG810" t="s">
        <v>74</v>
      </c>
      <c r="BH810" t="s">
        <v>74</v>
      </c>
      <c r="BI810">
        <v>12</v>
      </c>
      <c r="BJ810" t="s">
        <v>1415</v>
      </c>
      <c r="BK810" t="s">
        <v>101</v>
      </c>
      <c r="BL810" t="s">
        <v>1416</v>
      </c>
      <c r="BM810" t="s">
        <v>14965</v>
      </c>
      <c r="BN810" t="s">
        <v>74</v>
      </c>
      <c r="BO810" t="s">
        <v>74</v>
      </c>
      <c r="BP810" t="s">
        <v>74</v>
      </c>
      <c r="BQ810" t="s">
        <v>74</v>
      </c>
      <c r="BR810" t="s">
        <v>104</v>
      </c>
      <c r="BS810" t="s">
        <v>14966</v>
      </c>
      <c r="BT810" t="str">
        <f>HYPERLINK("https%3A%2F%2Fwww.webofscience.com%2Fwos%2Fwoscc%2Ffull-record%2FWOS:000331673400004","View Full Record in Web of Science")</f>
        <v>View Full Record in Web of Science</v>
      </c>
    </row>
    <row r="811" spans="1:72" x14ac:dyDescent="0.15">
      <c r="A811" t="s">
        <v>72</v>
      </c>
      <c r="B811" t="s">
        <v>14967</v>
      </c>
      <c r="C811" t="s">
        <v>74</v>
      </c>
      <c r="D811" t="s">
        <v>74</v>
      </c>
      <c r="E811" t="s">
        <v>74</v>
      </c>
      <c r="F811" t="s">
        <v>14968</v>
      </c>
      <c r="G811" t="s">
        <v>74</v>
      </c>
      <c r="H811" t="s">
        <v>74</v>
      </c>
      <c r="I811" t="s">
        <v>14969</v>
      </c>
      <c r="J811" t="s">
        <v>5943</v>
      </c>
      <c r="K811" t="s">
        <v>74</v>
      </c>
      <c r="L811" t="s">
        <v>74</v>
      </c>
      <c r="M811" t="s">
        <v>78</v>
      </c>
      <c r="N811" t="s">
        <v>79</v>
      </c>
      <c r="O811" t="s">
        <v>74</v>
      </c>
      <c r="P811" t="s">
        <v>74</v>
      </c>
      <c r="Q811" t="s">
        <v>74</v>
      </c>
      <c r="R811" t="s">
        <v>74</v>
      </c>
      <c r="S811" t="s">
        <v>74</v>
      </c>
      <c r="T811" t="s">
        <v>74</v>
      </c>
      <c r="U811" t="s">
        <v>74</v>
      </c>
      <c r="V811" t="s">
        <v>14970</v>
      </c>
      <c r="W811" t="s">
        <v>14971</v>
      </c>
      <c r="X811" t="s">
        <v>3274</v>
      </c>
      <c r="Y811" t="s">
        <v>14972</v>
      </c>
      <c r="Z811" t="s">
        <v>74</v>
      </c>
      <c r="AA811" t="s">
        <v>74</v>
      </c>
      <c r="AB811" t="s">
        <v>74</v>
      </c>
      <c r="AC811" t="s">
        <v>74</v>
      </c>
      <c r="AD811" t="s">
        <v>74</v>
      </c>
      <c r="AE811" t="s">
        <v>74</v>
      </c>
      <c r="AF811" t="s">
        <v>74</v>
      </c>
      <c r="AG811">
        <v>9</v>
      </c>
      <c r="AH811">
        <v>1</v>
      </c>
      <c r="AI811">
        <v>1</v>
      </c>
      <c r="AJ811">
        <v>0</v>
      </c>
      <c r="AK811">
        <v>1</v>
      </c>
      <c r="AL811" t="s">
        <v>5948</v>
      </c>
      <c r="AM811" t="s">
        <v>92</v>
      </c>
      <c r="AN811" t="s">
        <v>5949</v>
      </c>
      <c r="AO811" t="s">
        <v>5950</v>
      </c>
      <c r="AP811" t="s">
        <v>5951</v>
      </c>
      <c r="AQ811" t="s">
        <v>74</v>
      </c>
      <c r="AR811" t="s">
        <v>5952</v>
      </c>
      <c r="AS811" t="s">
        <v>5953</v>
      </c>
      <c r="AT811" t="s">
        <v>13186</v>
      </c>
      <c r="AU811">
        <v>2014</v>
      </c>
      <c r="AV811">
        <v>39</v>
      </c>
      <c r="AW811">
        <v>1</v>
      </c>
      <c r="AX811" t="s">
        <v>74</v>
      </c>
      <c r="AY811" t="s">
        <v>74</v>
      </c>
      <c r="AZ811" t="s">
        <v>74</v>
      </c>
      <c r="BA811" t="s">
        <v>74</v>
      </c>
      <c r="BB811">
        <v>11</v>
      </c>
      <c r="BC811">
        <v>16</v>
      </c>
      <c r="BD811" t="s">
        <v>74</v>
      </c>
      <c r="BE811" t="s">
        <v>14973</v>
      </c>
      <c r="BF811" t="str">
        <f>HYPERLINK("http://dx.doi.org/10.3103/S1068373914010026","http://dx.doi.org/10.3103/S1068373914010026")</f>
        <v>http://dx.doi.org/10.3103/S1068373914010026</v>
      </c>
      <c r="BG811" t="s">
        <v>74</v>
      </c>
      <c r="BH811" t="s">
        <v>74</v>
      </c>
      <c r="BI811">
        <v>6</v>
      </c>
      <c r="BJ811" t="s">
        <v>1391</v>
      </c>
      <c r="BK811" t="s">
        <v>101</v>
      </c>
      <c r="BL811" t="s">
        <v>1391</v>
      </c>
      <c r="BM811" t="s">
        <v>14974</v>
      </c>
      <c r="BN811" t="s">
        <v>74</v>
      </c>
      <c r="BO811" t="s">
        <v>74</v>
      </c>
      <c r="BP811" t="s">
        <v>74</v>
      </c>
      <c r="BQ811" t="s">
        <v>74</v>
      </c>
      <c r="BR811" t="s">
        <v>104</v>
      </c>
      <c r="BS811" t="s">
        <v>14975</v>
      </c>
      <c r="BT811" t="str">
        <f>HYPERLINK("https%3A%2F%2Fwww.webofscience.com%2Fwos%2Fwoscc%2Ffull-record%2FWOS:000331702600002","View Full Record in Web of Science")</f>
        <v>View Full Record in Web of Science</v>
      </c>
    </row>
    <row r="812" spans="1:72" x14ac:dyDescent="0.15">
      <c r="A812" t="s">
        <v>72</v>
      </c>
      <c r="B812" t="s">
        <v>14976</v>
      </c>
      <c r="C812" t="s">
        <v>74</v>
      </c>
      <c r="D812" t="s">
        <v>74</v>
      </c>
      <c r="E812" t="s">
        <v>74</v>
      </c>
      <c r="F812" t="s">
        <v>14977</v>
      </c>
      <c r="G812" t="s">
        <v>74</v>
      </c>
      <c r="H812" t="s">
        <v>74</v>
      </c>
      <c r="I812" t="s">
        <v>14978</v>
      </c>
      <c r="J812" t="s">
        <v>10666</v>
      </c>
      <c r="K812" t="s">
        <v>74</v>
      </c>
      <c r="L812" t="s">
        <v>74</v>
      </c>
      <c r="M812" t="s">
        <v>1424</v>
      </c>
      <c r="N812" t="s">
        <v>79</v>
      </c>
      <c r="O812" t="s">
        <v>74</v>
      </c>
      <c r="P812" t="s">
        <v>74</v>
      </c>
      <c r="Q812" t="s">
        <v>74</v>
      </c>
      <c r="R812" t="s">
        <v>74</v>
      </c>
      <c r="S812" t="s">
        <v>74</v>
      </c>
      <c r="T812" t="s">
        <v>14979</v>
      </c>
      <c r="U812" t="s">
        <v>14980</v>
      </c>
      <c r="V812" t="s">
        <v>14981</v>
      </c>
      <c r="W812" t="s">
        <v>14982</v>
      </c>
      <c r="X812" t="s">
        <v>13773</v>
      </c>
      <c r="Y812" t="s">
        <v>14983</v>
      </c>
      <c r="Z812" t="s">
        <v>14984</v>
      </c>
      <c r="AA812" t="s">
        <v>74</v>
      </c>
      <c r="AB812" t="s">
        <v>74</v>
      </c>
      <c r="AC812" t="s">
        <v>74</v>
      </c>
      <c r="AD812" t="s">
        <v>74</v>
      </c>
      <c r="AE812" t="s">
        <v>74</v>
      </c>
      <c r="AF812" t="s">
        <v>74</v>
      </c>
      <c r="AG812">
        <v>49</v>
      </c>
      <c r="AH812">
        <v>6</v>
      </c>
      <c r="AI812">
        <v>6</v>
      </c>
      <c r="AJ812">
        <v>0</v>
      </c>
      <c r="AK812">
        <v>0</v>
      </c>
      <c r="AL812" t="s">
        <v>10678</v>
      </c>
      <c r="AM812" t="s">
        <v>10679</v>
      </c>
      <c r="AN812" t="s">
        <v>10680</v>
      </c>
      <c r="AO812" t="s">
        <v>10681</v>
      </c>
      <c r="AP812" t="s">
        <v>10682</v>
      </c>
      <c r="AQ812" t="s">
        <v>74</v>
      </c>
      <c r="AR812" t="s">
        <v>10666</v>
      </c>
      <c r="AS812" t="s">
        <v>10683</v>
      </c>
      <c r="AT812" t="s">
        <v>74</v>
      </c>
      <c r="AU812">
        <v>2014</v>
      </c>
      <c r="AV812">
        <v>51</v>
      </c>
      <c r="AW812">
        <v>1</v>
      </c>
      <c r="AX812" t="s">
        <v>74</v>
      </c>
      <c r="AY812" t="s">
        <v>74</v>
      </c>
      <c r="AZ812" t="s">
        <v>74</v>
      </c>
      <c r="BA812" t="s">
        <v>74</v>
      </c>
      <c r="BB812">
        <v>61</v>
      </c>
      <c r="BC812">
        <v>78</v>
      </c>
      <c r="BD812" t="s">
        <v>74</v>
      </c>
      <c r="BE812" t="s">
        <v>14985</v>
      </c>
      <c r="BF812" t="str">
        <f>HYPERLINK("http://dx.doi.org/10.5710/AMEGH.02.12.2013.1166","http://dx.doi.org/10.5710/AMEGH.02.12.2013.1166")</f>
        <v>http://dx.doi.org/10.5710/AMEGH.02.12.2013.1166</v>
      </c>
      <c r="BG812" t="s">
        <v>74</v>
      </c>
      <c r="BH812" t="s">
        <v>74</v>
      </c>
      <c r="BI812">
        <v>18</v>
      </c>
      <c r="BJ812" t="s">
        <v>2715</v>
      </c>
      <c r="BK812" t="s">
        <v>101</v>
      </c>
      <c r="BL812" t="s">
        <v>2715</v>
      </c>
      <c r="BM812" t="s">
        <v>14986</v>
      </c>
      <c r="BN812" t="s">
        <v>74</v>
      </c>
      <c r="BO812" t="s">
        <v>234</v>
      </c>
      <c r="BP812" t="s">
        <v>74</v>
      </c>
      <c r="BQ812" t="s">
        <v>74</v>
      </c>
      <c r="BR812" t="s">
        <v>104</v>
      </c>
      <c r="BS812" t="s">
        <v>14987</v>
      </c>
      <c r="BT812" t="str">
        <f>HYPERLINK("https%3A%2F%2Fwww.webofscience.com%2Fwos%2Fwoscc%2Ffull-record%2FWOS:000331614900005","View Full Record in Web of Science")</f>
        <v>View Full Record in Web of Science</v>
      </c>
    </row>
    <row r="813" spans="1:72" x14ac:dyDescent="0.15">
      <c r="A813" t="s">
        <v>72</v>
      </c>
      <c r="B813" t="s">
        <v>14988</v>
      </c>
      <c r="C813" t="s">
        <v>74</v>
      </c>
      <c r="D813" t="s">
        <v>74</v>
      </c>
      <c r="E813" t="s">
        <v>74</v>
      </c>
      <c r="F813" t="s">
        <v>14989</v>
      </c>
      <c r="G813" t="s">
        <v>74</v>
      </c>
      <c r="H813" t="s">
        <v>74</v>
      </c>
      <c r="I813" t="s">
        <v>14990</v>
      </c>
      <c r="J813" t="s">
        <v>10297</v>
      </c>
      <c r="K813" t="s">
        <v>74</v>
      </c>
      <c r="L813" t="s">
        <v>74</v>
      </c>
      <c r="M813" t="s">
        <v>78</v>
      </c>
      <c r="N813" t="s">
        <v>79</v>
      </c>
      <c r="O813" t="s">
        <v>74</v>
      </c>
      <c r="P813" t="s">
        <v>74</v>
      </c>
      <c r="Q813" t="s">
        <v>74</v>
      </c>
      <c r="R813" t="s">
        <v>74</v>
      </c>
      <c r="S813" t="s">
        <v>74</v>
      </c>
      <c r="T813" t="s">
        <v>14991</v>
      </c>
      <c r="U813" t="s">
        <v>14992</v>
      </c>
      <c r="V813" t="s">
        <v>14993</v>
      </c>
      <c r="W813" t="s">
        <v>14994</v>
      </c>
      <c r="X813" t="s">
        <v>14995</v>
      </c>
      <c r="Y813" t="s">
        <v>14996</v>
      </c>
      <c r="Z813" t="s">
        <v>14997</v>
      </c>
      <c r="AA813" t="s">
        <v>14998</v>
      </c>
      <c r="AB813" t="s">
        <v>14999</v>
      </c>
      <c r="AC813" t="s">
        <v>15000</v>
      </c>
      <c r="AD813" t="s">
        <v>15001</v>
      </c>
      <c r="AE813" t="s">
        <v>15002</v>
      </c>
      <c r="AF813" t="s">
        <v>74</v>
      </c>
      <c r="AG813">
        <v>41</v>
      </c>
      <c r="AH813">
        <v>21</v>
      </c>
      <c r="AI813">
        <v>21</v>
      </c>
      <c r="AJ813">
        <v>0</v>
      </c>
      <c r="AK813">
        <v>36</v>
      </c>
      <c r="AL813" t="s">
        <v>10310</v>
      </c>
      <c r="AM813" t="s">
        <v>10311</v>
      </c>
      <c r="AN813" t="s">
        <v>10312</v>
      </c>
      <c r="AO813" t="s">
        <v>10313</v>
      </c>
      <c r="AP813" t="s">
        <v>10314</v>
      </c>
      <c r="AQ813" t="s">
        <v>74</v>
      </c>
      <c r="AR813" t="s">
        <v>10315</v>
      </c>
      <c r="AS813" t="s">
        <v>10316</v>
      </c>
      <c r="AT813" t="s">
        <v>74</v>
      </c>
      <c r="AU813">
        <v>2014</v>
      </c>
      <c r="AV813">
        <v>71</v>
      </c>
      <c r="AW813">
        <v>3</v>
      </c>
      <c r="AX813" t="s">
        <v>74</v>
      </c>
      <c r="AY813" t="s">
        <v>74</v>
      </c>
      <c r="AZ813" t="s">
        <v>74</v>
      </c>
      <c r="BA813" t="s">
        <v>74</v>
      </c>
      <c r="BB813">
        <v>193</v>
      </c>
      <c r="BC813">
        <v>202</v>
      </c>
      <c r="BD813" t="s">
        <v>74</v>
      </c>
      <c r="BE813" t="s">
        <v>15003</v>
      </c>
      <c r="BF813" t="str">
        <f>HYPERLINK("http://dx.doi.org/10.3354/ame01677","http://dx.doi.org/10.3354/ame01677")</f>
        <v>http://dx.doi.org/10.3354/ame01677</v>
      </c>
      <c r="BG813" t="s">
        <v>74</v>
      </c>
      <c r="BH813" t="s">
        <v>74</v>
      </c>
      <c r="BI813">
        <v>10</v>
      </c>
      <c r="BJ813" t="s">
        <v>10318</v>
      </c>
      <c r="BK813" t="s">
        <v>101</v>
      </c>
      <c r="BL813" t="s">
        <v>10319</v>
      </c>
      <c r="BM813" t="s">
        <v>15004</v>
      </c>
      <c r="BN813" t="s">
        <v>74</v>
      </c>
      <c r="BO813" t="s">
        <v>200</v>
      </c>
      <c r="BP813" t="s">
        <v>74</v>
      </c>
      <c r="BQ813" t="s">
        <v>74</v>
      </c>
      <c r="BR813" t="s">
        <v>104</v>
      </c>
      <c r="BS813" t="s">
        <v>15005</v>
      </c>
      <c r="BT813" t="str">
        <f>HYPERLINK("https%3A%2F%2Fwww.webofscience.com%2Fwos%2Fwoscc%2Ffull-record%2FWOS:000331522100001","View Full Record in Web of Science")</f>
        <v>View Full Record in Web of Science</v>
      </c>
    </row>
    <row r="814" spans="1:72" x14ac:dyDescent="0.15">
      <c r="A814" t="s">
        <v>72</v>
      </c>
      <c r="B814" t="s">
        <v>15006</v>
      </c>
      <c r="C814" t="s">
        <v>74</v>
      </c>
      <c r="D814" t="s">
        <v>74</v>
      </c>
      <c r="E814" t="s">
        <v>74</v>
      </c>
      <c r="F814" t="s">
        <v>15007</v>
      </c>
      <c r="G814" t="s">
        <v>74</v>
      </c>
      <c r="H814" t="s">
        <v>74</v>
      </c>
      <c r="I814" t="s">
        <v>15008</v>
      </c>
      <c r="J814" t="s">
        <v>15009</v>
      </c>
      <c r="K814" t="s">
        <v>74</v>
      </c>
      <c r="L814" t="s">
        <v>74</v>
      </c>
      <c r="M814" t="s">
        <v>78</v>
      </c>
      <c r="N814" t="s">
        <v>79</v>
      </c>
      <c r="O814" t="s">
        <v>74</v>
      </c>
      <c r="P814" t="s">
        <v>74</v>
      </c>
      <c r="Q814" t="s">
        <v>74</v>
      </c>
      <c r="R814" t="s">
        <v>74</v>
      </c>
      <c r="S814" t="s">
        <v>74</v>
      </c>
      <c r="T814" t="s">
        <v>15010</v>
      </c>
      <c r="U814" t="s">
        <v>15011</v>
      </c>
      <c r="V814" t="s">
        <v>15012</v>
      </c>
      <c r="W814" t="s">
        <v>15013</v>
      </c>
      <c r="X814" t="s">
        <v>3874</v>
      </c>
      <c r="Y814" t="s">
        <v>15014</v>
      </c>
      <c r="Z814" t="s">
        <v>15015</v>
      </c>
      <c r="AA814" t="s">
        <v>15016</v>
      </c>
      <c r="AB814" t="s">
        <v>15017</v>
      </c>
      <c r="AC814" t="s">
        <v>15018</v>
      </c>
      <c r="AD814" t="s">
        <v>15019</v>
      </c>
      <c r="AE814" t="s">
        <v>15020</v>
      </c>
      <c r="AF814" t="s">
        <v>74</v>
      </c>
      <c r="AG814">
        <v>84</v>
      </c>
      <c r="AH814">
        <v>36</v>
      </c>
      <c r="AI814">
        <v>41</v>
      </c>
      <c r="AJ814">
        <v>0</v>
      </c>
      <c r="AK814">
        <v>29</v>
      </c>
      <c r="AL814" t="s">
        <v>1048</v>
      </c>
      <c r="AM814" t="s">
        <v>522</v>
      </c>
      <c r="AN814" t="s">
        <v>1049</v>
      </c>
      <c r="AO814" t="s">
        <v>15021</v>
      </c>
      <c r="AP814" t="s">
        <v>74</v>
      </c>
      <c r="AQ814" t="s">
        <v>74</v>
      </c>
      <c r="AR814" t="s">
        <v>15022</v>
      </c>
      <c r="AS814" t="s">
        <v>15023</v>
      </c>
      <c r="AT814" t="s">
        <v>74</v>
      </c>
      <c r="AU814">
        <v>2014</v>
      </c>
      <c r="AV814">
        <v>6</v>
      </c>
      <c r="AW814">
        <v>1</v>
      </c>
      <c r="AX814" t="s">
        <v>74</v>
      </c>
      <c r="AY814" t="s">
        <v>74</v>
      </c>
      <c r="AZ814" t="s">
        <v>74</v>
      </c>
      <c r="BA814" t="s">
        <v>74</v>
      </c>
      <c r="BB814">
        <v>133</v>
      </c>
      <c r="BC814">
        <v>148</v>
      </c>
      <c r="BD814" t="s">
        <v>74</v>
      </c>
      <c r="BE814" t="s">
        <v>15024</v>
      </c>
      <c r="BF814" t="str">
        <f>HYPERLINK("http://dx.doi.org/10.1093/gbe/evt209","http://dx.doi.org/10.1093/gbe/evt209")</f>
        <v>http://dx.doi.org/10.1093/gbe/evt209</v>
      </c>
      <c r="BG814" t="s">
        <v>74</v>
      </c>
      <c r="BH814" t="s">
        <v>74</v>
      </c>
      <c r="BI814">
        <v>16</v>
      </c>
      <c r="BJ814" t="s">
        <v>15025</v>
      </c>
      <c r="BK814" t="s">
        <v>101</v>
      </c>
      <c r="BL814" t="s">
        <v>15025</v>
      </c>
      <c r="BM814" t="s">
        <v>15026</v>
      </c>
      <c r="BN814">
        <v>24391155</v>
      </c>
      <c r="BO814" t="s">
        <v>15027</v>
      </c>
      <c r="BP814" t="s">
        <v>74</v>
      </c>
      <c r="BQ814" t="s">
        <v>74</v>
      </c>
      <c r="BR814" t="s">
        <v>104</v>
      </c>
      <c r="BS814" t="s">
        <v>15028</v>
      </c>
      <c r="BT814" t="str">
        <f>HYPERLINK("https%3A%2F%2Fwww.webofscience.com%2Fwos%2Fwoscc%2Ffull-record%2FWOS:000331289100011","View Full Record in Web of Science")</f>
        <v>View Full Record in Web of Science</v>
      </c>
    </row>
    <row r="815" spans="1:72" x14ac:dyDescent="0.15">
      <c r="A815" t="s">
        <v>72</v>
      </c>
      <c r="B815" t="s">
        <v>15029</v>
      </c>
      <c r="C815" t="s">
        <v>74</v>
      </c>
      <c r="D815" t="s">
        <v>74</v>
      </c>
      <c r="E815" t="s">
        <v>74</v>
      </c>
      <c r="F815" t="s">
        <v>15030</v>
      </c>
      <c r="G815" t="s">
        <v>74</v>
      </c>
      <c r="H815" t="s">
        <v>74</v>
      </c>
      <c r="I815" t="s">
        <v>15031</v>
      </c>
      <c r="J815" t="s">
        <v>15032</v>
      </c>
      <c r="K815" t="s">
        <v>74</v>
      </c>
      <c r="L815" t="s">
        <v>74</v>
      </c>
      <c r="M815" t="s">
        <v>78</v>
      </c>
      <c r="N815" t="s">
        <v>79</v>
      </c>
      <c r="O815" t="s">
        <v>74</v>
      </c>
      <c r="P815" t="s">
        <v>74</v>
      </c>
      <c r="Q815" t="s">
        <v>74</v>
      </c>
      <c r="R815" t="s">
        <v>74</v>
      </c>
      <c r="S815" t="s">
        <v>74</v>
      </c>
      <c r="T815" t="s">
        <v>15033</v>
      </c>
      <c r="U815" t="s">
        <v>15034</v>
      </c>
      <c r="V815" t="s">
        <v>15035</v>
      </c>
      <c r="W815" t="s">
        <v>15036</v>
      </c>
      <c r="X815" t="s">
        <v>15037</v>
      </c>
      <c r="Y815" t="s">
        <v>15038</v>
      </c>
      <c r="Z815" t="s">
        <v>15039</v>
      </c>
      <c r="AA815" t="s">
        <v>74</v>
      </c>
      <c r="AB815" t="s">
        <v>74</v>
      </c>
      <c r="AC815" t="s">
        <v>74</v>
      </c>
      <c r="AD815" t="s">
        <v>74</v>
      </c>
      <c r="AE815" t="s">
        <v>74</v>
      </c>
      <c r="AF815" t="s">
        <v>74</v>
      </c>
      <c r="AG815">
        <v>23</v>
      </c>
      <c r="AH815">
        <v>4</v>
      </c>
      <c r="AI815">
        <v>5</v>
      </c>
      <c r="AJ815">
        <v>0</v>
      </c>
      <c r="AK815">
        <v>12</v>
      </c>
      <c r="AL815" t="s">
        <v>15040</v>
      </c>
      <c r="AM815" t="s">
        <v>15041</v>
      </c>
      <c r="AN815" t="s">
        <v>15042</v>
      </c>
      <c r="AO815" t="s">
        <v>15043</v>
      </c>
      <c r="AP815" t="s">
        <v>74</v>
      </c>
      <c r="AQ815" t="s">
        <v>74</v>
      </c>
      <c r="AR815" t="s">
        <v>15044</v>
      </c>
      <c r="AS815" t="s">
        <v>15045</v>
      </c>
      <c r="AT815" t="s">
        <v>13186</v>
      </c>
      <c r="AU815">
        <v>2014</v>
      </c>
      <c r="AV815">
        <v>35</v>
      </c>
      <c r="AW815">
        <v>1</v>
      </c>
      <c r="AX815" t="s">
        <v>74</v>
      </c>
      <c r="AY815" t="s">
        <v>74</v>
      </c>
      <c r="AZ815" t="s">
        <v>74</v>
      </c>
      <c r="BA815" t="s">
        <v>74</v>
      </c>
      <c r="BB815">
        <v>229</v>
      </c>
      <c r="BC815">
        <v>235</v>
      </c>
      <c r="BD815" t="s">
        <v>74</v>
      </c>
      <c r="BE815" t="s">
        <v>74</v>
      </c>
      <c r="BF815" t="s">
        <v>74</v>
      </c>
      <c r="BG815" t="s">
        <v>74</v>
      </c>
      <c r="BH815" t="s">
        <v>74</v>
      </c>
      <c r="BI815">
        <v>7</v>
      </c>
      <c r="BJ815" t="s">
        <v>478</v>
      </c>
      <c r="BK815" t="s">
        <v>101</v>
      </c>
      <c r="BL815" t="s">
        <v>102</v>
      </c>
      <c r="BM815" t="s">
        <v>15046</v>
      </c>
      <c r="BN815" t="s">
        <v>74</v>
      </c>
      <c r="BO815" t="s">
        <v>74</v>
      </c>
      <c r="BP815" t="s">
        <v>74</v>
      </c>
      <c r="BQ815" t="s">
        <v>74</v>
      </c>
      <c r="BR815" t="s">
        <v>104</v>
      </c>
      <c r="BS815" t="s">
        <v>15047</v>
      </c>
      <c r="BT815" t="str">
        <f>HYPERLINK("https%3A%2F%2Fwww.webofscience.com%2Fwos%2Fwoscc%2Ffull-record%2FWOS:000331416000013","View Full Record in Web of Science")</f>
        <v>View Full Record in Web of Science</v>
      </c>
    </row>
    <row r="816" spans="1:72" x14ac:dyDescent="0.15">
      <c r="A816" t="s">
        <v>72</v>
      </c>
      <c r="B816" t="s">
        <v>15048</v>
      </c>
      <c r="C816" t="s">
        <v>74</v>
      </c>
      <c r="D816" t="s">
        <v>74</v>
      </c>
      <c r="E816" t="s">
        <v>74</v>
      </c>
      <c r="F816" t="s">
        <v>15049</v>
      </c>
      <c r="G816" t="s">
        <v>74</v>
      </c>
      <c r="H816" t="s">
        <v>74</v>
      </c>
      <c r="I816" t="s">
        <v>15050</v>
      </c>
      <c r="J816" t="s">
        <v>10582</v>
      </c>
      <c r="K816" t="s">
        <v>74</v>
      </c>
      <c r="L816" t="s">
        <v>74</v>
      </c>
      <c r="M816" t="s">
        <v>78</v>
      </c>
      <c r="N816" t="s">
        <v>79</v>
      </c>
      <c r="O816" t="s">
        <v>74</v>
      </c>
      <c r="P816" t="s">
        <v>74</v>
      </c>
      <c r="Q816" t="s">
        <v>74</v>
      </c>
      <c r="R816" t="s">
        <v>74</v>
      </c>
      <c r="S816" t="s">
        <v>74</v>
      </c>
      <c r="T816" t="s">
        <v>15051</v>
      </c>
      <c r="U816" t="s">
        <v>15052</v>
      </c>
      <c r="V816" t="s">
        <v>15053</v>
      </c>
      <c r="W816" t="s">
        <v>15054</v>
      </c>
      <c r="X816" t="s">
        <v>15055</v>
      </c>
      <c r="Y816" t="s">
        <v>15056</v>
      </c>
      <c r="Z816" t="s">
        <v>15057</v>
      </c>
      <c r="AA816" t="s">
        <v>15058</v>
      </c>
      <c r="AB816" t="s">
        <v>74</v>
      </c>
      <c r="AC816" t="s">
        <v>15059</v>
      </c>
      <c r="AD816" t="s">
        <v>15060</v>
      </c>
      <c r="AE816" t="s">
        <v>15061</v>
      </c>
      <c r="AF816" t="s">
        <v>74</v>
      </c>
      <c r="AG816">
        <v>23</v>
      </c>
      <c r="AH816">
        <v>20</v>
      </c>
      <c r="AI816">
        <v>23</v>
      </c>
      <c r="AJ816">
        <v>3</v>
      </c>
      <c r="AK816">
        <v>43</v>
      </c>
      <c r="AL816" t="s">
        <v>10795</v>
      </c>
      <c r="AM816" t="s">
        <v>10796</v>
      </c>
      <c r="AN816" t="s">
        <v>10797</v>
      </c>
      <c r="AO816" t="s">
        <v>10595</v>
      </c>
      <c r="AP816" t="s">
        <v>10596</v>
      </c>
      <c r="AQ816" t="s">
        <v>74</v>
      </c>
      <c r="AR816" t="s">
        <v>10597</v>
      </c>
      <c r="AS816" t="s">
        <v>10598</v>
      </c>
      <c r="AT816" t="s">
        <v>74</v>
      </c>
      <c r="AU816">
        <v>2014</v>
      </c>
      <c r="AV816">
        <v>33</v>
      </c>
      <c r="AW816" t="s">
        <v>74</v>
      </c>
      <c r="AX816" t="s">
        <v>74</v>
      </c>
      <c r="AY816" t="s">
        <v>74</v>
      </c>
      <c r="AZ816" t="s">
        <v>74</v>
      </c>
      <c r="BA816" t="s">
        <v>74</v>
      </c>
      <c r="BB816" t="s">
        <v>74</v>
      </c>
      <c r="BC816" t="s">
        <v>74</v>
      </c>
      <c r="BD816">
        <v>18533</v>
      </c>
      <c r="BE816" t="s">
        <v>15062</v>
      </c>
      <c r="BF816" t="str">
        <f>HYPERLINK("http://dx.doi.org/10.3402/polar.v33.18533","http://dx.doi.org/10.3402/polar.v33.18533")</f>
        <v>http://dx.doi.org/10.3402/polar.v33.18533</v>
      </c>
      <c r="BG816" t="s">
        <v>74</v>
      </c>
      <c r="BH816" t="s">
        <v>74</v>
      </c>
      <c r="BI816">
        <v>8</v>
      </c>
      <c r="BJ816" t="s">
        <v>10600</v>
      </c>
      <c r="BK816" t="s">
        <v>101</v>
      </c>
      <c r="BL816" t="s">
        <v>10601</v>
      </c>
      <c r="BM816" t="s">
        <v>15063</v>
      </c>
      <c r="BN816" t="s">
        <v>74</v>
      </c>
      <c r="BO816" t="s">
        <v>4013</v>
      </c>
      <c r="BP816" t="s">
        <v>74</v>
      </c>
      <c r="BQ816" t="s">
        <v>74</v>
      </c>
      <c r="BR816" t="s">
        <v>104</v>
      </c>
      <c r="BS816" t="s">
        <v>15064</v>
      </c>
      <c r="BT816" t="str">
        <f>HYPERLINK("https%3A%2F%2Fwww.webofscience.com%2Fwos%2Fwoscc%2Ffull-record%2FWOS:000331881700001","View Full Record in Web of Science")</f>
        <v>View Full Record in Web of Science</v>
      </c>
    </row>
    <row r="817" spans="1:72" x14ac:dyDescent="0.15">
      <c r="A817" t="s">
        <v>72</v>
      </c>
      <c r="B817" t="s">
        <v>15065</v>
      </c>
      <c r="C817" t="s">
        <v>74</v>
      </c>
      <c r="D817" t="s">
        <v>74</v>
      </c>
      <c r="E817" t="s">
        <v>74</v>
      </c>
      <c r="F817" t="s">
        <v>15066</v>
      </c>
      <c r="G817" t="s">
        <v>74</v>
      </c>
      <c r="H817" t="s">
        <v>74</v>
      </c>
      <c r="I817" t="s">
        <v>15067</v>
      </c>
      <c r="J817" t="s">
        <v>10582</v>
      </c>
      <c r="K817" t="s">
        <v>74</v>
      </c>
      <c r="L817" t="s">
        <v>74</v>
      </c>
      <c r="M817" t="s">
        <v>78</v>
      </c>
      <c r="N817" t="s">
        <v>79</v>
      </c>
      <c r="O817" t="s">
        <v>74</v>
      </c>
      <c r="P817" t="s">
        <v>74</v>
      </c>
      <c r="Q817" t="s">
        <v>74</v>
      </c>
      <c r="R817" t="s">
        <v>74</v>
      </c>
      <c r="S817" t="s">
        <v>74</v>
      </c>
      <c r="T817" t="s">
        <v>15068</v>
      </c>
      <c r="U817" t="s">
        <v>15069</v>
      </c>
      <c r="V817" t="s">
        <v>15070</v>
      </c>
      <c r="W817" t="s">
        <v>15071</v>
      </c>
      <c r="X817" t="s">
        <v>15072</v>
      </c>
      <c r="Y817" t="s">
        <v>15073</v>
      </c>
      <c r="Z817" t="s">
        <v>15074</v>
      </c>
      <c r="AA817" t="s">
        <v>15075</v>
      </c>
      <c r="AB817" t="s">
        <v>15076</v>
      </c>
      <c r="AC817" t="s">
        <v>15077</v>
      </c>
      <c r="AD817" t="s">
        <v>15078</v>
      </c>
      <c r="AE817" t="s">
        <v>15079</v>
      </c>
      <c r="AF817" t="s">
        <v>74</v>
      </c>
      <c r="AG817">
        <v>48</v>
      </c>
      <c r="AH817">
        <v>6</v>
      </c>
      <c r="AI817">
        <v>6</v>
      </c>
      <c r="AJ817">
        <v>0</v>
      </c>
      <c r="AK817">
        <v>49</v>
      </c>
      <c r="AL817" t="s">
        <v>11015</v>
      </c>
      <c r="AM817" t="s">
        <v>11016</v>
      </c>
      <c r="AN817" t="s">
        <v>11017</v>
      </c>
      <c r="AO817" t="s">
        <v>10595</v>
      </c>
      <c r="AP817" t="s">
        <v>10596</v>
      </c>
      <c r="AQ817" t="s">
        <v>74</v>
      </c>
      <c r="AR817" t="s">
        <v>10597</v>
      </c>
      <c r="AS817" t="s">
        <v>10598</v>
      </c>
      <c r="AT817" t="s">
        <v>74</v>
      </c>
      <c r="AU817">
        <v>2014</v>
      </c>
      <c r="AV817">
        <v>33</v>
      </c>
      <c r="AW817" t="s">
        <v>74</v>
      </c>
      <c r="AX817" t="s">
        <v>74</v>
      </c>
      <c r="AY817" t="s">
        <v>74</v>
      </c>
      <c r="AZ817" t="s">
        <v>74</v>
      </c>
      <c r="BA817" t="s">
        <v>74</v>
      </c>
      <c r="BB817" t="s">
        <v>74</v>
      </c>
      <c r="BC817" t="s">
        <v>74</v>
      </c>
      <c r="BD817">
        <v>21630</v>
      </c>
      <c r="BE817" t="s">
        <v>15080</v>
      </c>
      <c r="BF817" t="str">
        <f>HYPERLINK("http://dx.doi.org/10.3402/polar.v33.21630","http://dx.doi.org/10.3402/polar.v33.21630")</f>
        <v>http://dx.doi.org/10.3402/polar.v33.21630</v>
      </c>
      <c r="BG817" t="s">
        <v>74</v>
      </c>
      <c r="BH817" t="s">
        <v>74</v>
      </c>
      <c r="BI817">
        <v>10</v>
      </c>
      <c r="BJ817" t="s">
        <v>10600</v>
      </c>
      <c r="BK817" t="s">
        <v>101</v>
      </c>
      <c r="BL817" t="s">
        <v>10601</v>
      </c>
      <c r="BM817" t="s">
        <v>15081</v>
      </c>
      <c r="BN817" t="s">
        <v>74</v>
      </c>
      <c r="BO817" t="s">
        <v>2318</v>
      </c>
      <c r="BP817" t="s">
        <v>74</v>
      </c>
      <c r="BQ817" t="s">
        <v>74</v>
      </c>
      <c r="BR817" t="s">
        <v>104</v>
      </c>
      <c r="BS817" t="s">
        <v>15082</v>
      </c>
      <c r="BT817" t="str">
        <f>HYPERLINK("https%3A%2F%2Fwww.webofscience.com%2Fwos%2Fwoscc%2Ffull-record%2FWOS:000331882100001","View Full Record in Web of Science")</f>
        <v>View Full Record in Web of Science</v>
      </c>
    </row>
    <row r="818" spans="1:72" x14ac:dyDescent="0.15">
      <c r="A818" t="s">
        <v>72</v>
      </c>
      <c r="B818" t="s">
        <v>15083</v>
      </c>
      <c r="C818" t="s">
        <v>74</v>
      </c>
      <c r="D818" t="s">
        <v>74</v>
      </c>
      <c r="E818" t="s">
        <v>74</v>
      </c>
      <c r="F818" t="s">
        <v>15084</v>
      </c>
      <c r="G818" t="s">
        <v>74</v>
      </c>
      <c r="H818" t="s">
        <v>74</v>
      </c>
      <c r="I818" t="s">
        <v>15085</v>
      </c>
      <c r="J818" t="s">
        <v>10582</v>
      </c>
      <c r="K818" t="s">
        <v>74</v>
      </c>
      <c r="L818" t="s">
        <v>74</v>
      </c>
      <c r="M818" t="s">
        <v>78</v>
      </c>
      <c r="N818" t="s">
        <v>79</v>
      </c>
      <c r="O818" t="s">
        <v>74</v>
      </c>
      <c r="P818" t="s">
        <v>74</v>
      </c>
      <c r="Q818" t="s">
        <v>74</v>
      </c>
      <c r="R818" t="s">
        <v>74</v>
      </c>
      <c r="S818" t="s">
        <v>74</v>
      </c>
      <c r="T818" t="s">
        <v>15086</v>
      </c>
      <c r="U818" t="s">
        <v>15087</v>
      </c>
      <c r="V818" t="s">
        <v>15088</v>
      </c>
      <c r="W818" t="s">
        <v>15089</v>
      </c>
      <c r="X818" t="s">
        <v>15090</v>
      </c>
      <c r="Y818" t="s">
        <v>15091</v>
      </c>
      <c r="Z818" t="s">
        <v>11094</v>
      </c>
      <c r="AA818" t="s">
        <v>74</v>
      </c>
      <c r="AB818" t="s">
        <v>74</v>
      </c>
      <c r="AC818" t="s">
        <v>15092</v>
      </c>
      <c r="AD818" t="s">
        <v>15093</v>
      </c>
      <c r="AE818" t="s">
        <v>15094</v>
      </c>
      <c r="AF818" t="s">
        <v>74</v>
      </c>
      <c r="AG818">
        <v>51</v>
      </c>
      <c r="AH818">
        <v>9</v>
      </c>
      <c r="AI818">
        <v>9</v>
      </c>
      <c r="AJ818">
        <v>0</v>
      </c>
      <c r="AK818">
        <v>16</v>
      </c>
      <c r="AL818" t="s">
        <v>11015</v>
      </c>
      <c r="AM818" t="s">
        <v>11016</v>
      </c>
      <c r="AN818" t="s">
        <v>11017</v>
      </c>
      <c r="AO818" t="s">
        <v>10595</v>
      </c>
      <c r="AP818" t="s">
        <v>10596</v>
      </c>
      <c r="AQ818" t="s">
        <v>74</v>
      </c>
      <c r="AR818" t="s">
        <v>10597</v>
      </c>
      <c r="AS818" t="s">
        <v>10598</v>
      </c>
      <c r="AT818" t="s">
        <v>74</v>
      </c>
      <c r="AU818">
        <v>2014</v>
      </c>
      <c r="AV818">
        <v>33</v>
      </c>
      <c r="AW818" t="s">
        <v>74</v>
      </c>
      <c r="AX818" t="s">
        <v>74</v>
      </c>
      <c r="AY818" t="s">
        <v>74</v>
      </c>
      <c r="AZ818" t="s">
        <v>74</v>
      </c>
      <c r="BA818" t="s">
        <v>74</v>
      </c>
      <c r="BB818" t="s">
        <v>74</v>
      </c>
      <c r="BC818" t="s">
        <v>74</v>
      </c>
      <c r="BD818">
        <v>21821</v>
      </c>
      <c r="BE818" t="s">
        <v>15095</v>
      </c>
      <c r="BF818" t="str">
        <f>HYPERLINK("http://dx.doi.org/10.3402/polar.v33.21821","http://dx.doi.org/10.3402/polar.v33.21821")</f>
        <v>http://dx.doi.org/10.3402/polar.v33.21821</v>
      </c>
      <c r="BG818" t="s">
        <v>74</v>
      </c>
      <c r="BH818" t="s">
        <v>74</v>
      </c>
      <c r="BI818">
        <v>12</v>
      </c>
      <c r="BJ818" t="s">
        <v>10600</v>
      </c>
      <c r="BK818" t="s">
        <v>101</v>
      </c>
      <c r="BL818" t="s">
        <v>10601</v>
      </c>
      <c r="BM818" t="s">
        <v>15096</v>
      </c>
      <c r="BN818" t="s">
        <v>74</v>
      </c>
      <c r="BO818" t="s">
        <v>4013</v>
      </c>
      <c r="BP818" t="s">
        <v>74</v>
      </c>
      <c r="BQ818" t="s">
        <v>74</v>
      </c>
      <c r="BR818" t="s">
        <v>104</v>
      </c>
      <c r="BS818" t="s">
        <v>15097</v>
      </c>
      <c r="BT818" t="str">
        <f>HYPERLINK("https%3A%2F%2Fwww.webofscience.com%2Fwos%2Fwoscc%2Ffull-record%2FWOS:000331881900001","View Full Record in Web of Science")</f>
        <v>View Full Record in Web of Science</v>
      </c>
    </row>
    <row r="819" spans="1:72" x14ac:dyDescent="0.15">
      <c r="A819" t="s">
        <v>72</v>
      </c>
      <c r="B819" t="s">
        <v>15098</v>
      </c>
      <c r="C819" t="s">
        <v>74</v>
      </c>
      <c r="D819" t="s">
        <v>74</v>
      </c>
      <c r="E819" t="s">
        <v>74</v>
      </c>
      <c r="F819" t="s">
        <v>15099</v>
      </c>
      <c r="G819" t="s">
        <v>74</v>
      </c>
      <c r="H819" t="s">
        <v>74</v>
      </c>
      <c r="I819" t="s">
        <v>15100</v>
      </c>
      <c r="J819" t="s">
        <v>363</v>
      </c>
      <c r="K819" t="s">
        <v>74</v>
      </c>
      <c r="L819" t="s">
        <v>74</v>
      </c>
      <c r="M819" t="s">
        <v>78</v>
      </c>
      <c r="N819" t="s">
        <v>79</v>
      </c>
      <c r="O819" t="s">
        <v>74</v>
      </c>
      <c r="P819" t="s">
        <v>74</v>
      </c>
      <c r="Q819" t="s">
        <v>74</v>
      </c>
      <c r="R819" t="s">
        <v>74</v>
      </c>
      <c r="S819" t="s">
        <v>74</v>
      </c>
      <c r="T819" t="s">
        <v>15101</v>
      </c>
      <c r="U819" t="s">
        <v>15102</v>
      </c>
      <c r="V819" t="s">
        <v>15103</v>
      </c>
      <c r="W819" t="s">
        <v>15104</v>
      </c>
      <c r="X819" t="s">
        <v>15105</v>
      </c>
      <c r="Y819" t="s">
        <v>15106</v>
      </c>
      <c r="Z819" t="s">
        <v>15107</v>
      </c>
      <c r="AA819" t="s">
        <v>74</v>
      </c>
      <c r="AB819" t="s">
        <v>15108</v>
      </c>
      <c r="AC819" t="s">
        <v>15109</v>
      </c>
      <c r="AD819" t="s">
        <v>15110</v>
      </c>
      <c r="AE819" t="s">
        <v>15111</v>
      </c>
      <c r="AF819" t="s">
        <v>74</v>
      </c>
      <c r="AG819">
        <v>82</v>
      </c>
      <c r="AH819">
        <v>26</v>
      </c>
      <c r="AI819">
        <v>25</v>
      </c>
      <c r="AJ819">
        <v>0</v>
      </c>
      <c r="AK819">
        <v>46</v>
      </c>
      <c r="AL819" t="s">
        <v>15112</v>
      </c>
      <c r="AM819" t="s">
        <v>377</v>
      </c>
      <c r="AN819" t="s">
        <v>378</v>
      </c>
      <c r="AO819" t="s">
        <v>379</v>
      </c>
      <c r="AP819" t="s">
        <v>380</v>
      </c>
      <c r="AQ819" t="s">
        <v>74</v>
      </c>
      <c r="AR819" t="s">
        <v>381</v>
      </c>
      <c r="AS819" t="s">
        <v>382</v>
      </c>
      <c r="AT819" t="s">
        <v>13186</v>
      </c>
      <c r="AU819">
        <v>2014</v>
      </c>
      <c r="AV819">
        <v>92</v>
      </c>
      <c r="AW819">
        <v>1</v>
      </c>
      <c r="AX819" t="s">
        <v>74</v>
      </c>
      <c r="AY819" t="s">
        <v>74</v>
      </c>
      <c r="AZ819" t="s">
        <v>74</v>
      </c>
      <c r="BA819" t="s">
        <v>74</v>
      </c>
      <c r="BB819">
        <v>19</v>
      </c>
      <c r="BC819">
        <v>31</v>
      </c>
      <c r="BD819" t="s">
        <v>74</v>
      </c>
      <c r="BE819" t="s">
        <v>15113</v>
      </c>
      <c r="BF819" t="str">
        <f>HYPERLINK("http://dx.doi.org/10.1139/cjz-2013-0106","http://dx.doi.org/10.1139/cjz-2013-0106")</f>
        <v>http://dx.doi.org/10.1139/cjz-2013-0106</v>
      </c>
      <c r="BG819" t="s">
        <v>74</v>
      </c>
      <c r="BH819" t="s">
        <v>74</v>
      </c>
      <c r="BI819">
        <v>13</v>
      </c>
      <c r="BJ819" t="s">
        <v>384</v>
      </c>
      <c r="BK819" t="s">
        <v>101</v>
      </c>
      <c r="BL819" t="s">
        <v>384</v>
      </c>
      <c r="BM819" t="s">
        <v>15114</v>
      </c>
      <c r="BN819" t="s">
        <v>74</v>
      </c>
      <c r="BO819" t="s">
        <v>234</v>
      </c>
      <c r="BP819" t="s">
        <v>74</v>
      </c>
      <c r="BQ819" t="s">
        <v>74</v>
      </c>
      <c r="BR819" t="s">
        <v>104</v>
      </c>
      <c r="BS819" t="s">
        <v>15115</v>
      </c>
      <c r="BT819" t="str">
        <f>HYPERLINK("https%3A%2F%2Fwww.webofscience.com%2Fwos%2Fwoscc%2Ffull-record%2FWOS:000331076500003","View Full Record in Web of Science")</f>
        <v>View Full Record in Web of Science</v>
      </c>
    </row>
    <row r="820" spans="1:72" x14ac:dyDescent="0.15">
      <c r="A820" t="s">
        <v>72</v>
      </c>
      <c r="B820" t="s">
        <v>15116</v>
      </c>
      <c r="C820" t="s">
        <v>74</v>
      </c>
      <c r="D820" t="s">
        <v>74</v>
      </c>
      <c r="E820" t="s">
        <v>74</v>
      </c>
      <c r="F820" t="s">
        <v>15117</v>
      </c>
      <c r="G820" t="s">
        <v>74</v>
      </c>
      <c r="H820" t="s">
        <v>74</v>
      </c>
      <c r="I820" t="s">
        <v>15118</v>
      </c>
      <c r="J820" t="s">
        <v>15119</v>
      </c>
      <c r="K820" t="s">
        <v>74</v>
      </c>
      <c r="L820" t="s">
        <v>74</v>
      </c>
      <c r="M820" t="s">
        <v>78</v>
      </c>
      <c r="N820" t="s">
        <v>79</v>
      </c>
      <c r="O820" t="s">
        <v>74</v>
      </c>
      <c r="P820" t="s">
        <v>74</v>
      </c>
      <c r="Q820" t="s">
        <v>74</v>
      </c>
      <c r="R820" t="s">
        <v>74</v>
      </c>
      <c r="S820" t="s">
        <v>74</v>
      </c>
      <c r="T820" t="s">
        <v>15120</v>
      </c>
      <c r="U820" t="s">
        <v>15121</v>
      </c>
      <c r="V820" t="s">
        <v>15122</v>
      </c>
      <c r="W820" t="s">
        <v>15123</v>
      </c>
      <c r="X820" t="s">
        <v>15124</v>
      </c>
      <c r="Y820" t="s">
        <v>15125</v>
      </c>
      <c r="Z820" t="s">
        <v>15126</v>
      </c>
      <c r="AA820" t="s">
        <v>15127</v>
      </c>
      <c r="AB820" t="s">
        <v>15128</v>
      </c>
      <c r="AC820" t="s">
        <v>15129</v>
      </c>
      <c r="AD820" t="s">
        <v>15130</v>
      </c>
      <c r="AE820" t="s">
        <v>15131</v>
      </c>
      <c r="AF820" t="s">
        <v>74</v>
      </c>
      <c r="AG820">
        <v>78</v>
      </c>
      <c r="AH820">
        <v>109</v>
      </c>
      <c r="AI820">
        <v>117</v>
      </c>
      <c r="AJ820">
        <v>4</v>
      </c>
      <c r="AK820">
        <v>117</v>
      </c>
      <c r="AL820" t="s">
        <v>652</v>
      </c>
      <c r="AM820" t="s">
        <v>653</v>
      </c>
      <c r="AN820" t="s">
        <v>654</v>
      </c>
      <c r="AO820" t="s">
        <v>15132</v>
      </c>
      <c r="AP820" t="s">
        <v>15133</v>
      </c>
      <c r="AQ820" t="s">
        <v>74</v>
      </c>
      <c r="AR820" t="s">
        <v>15134</v>
      </c>
      <c r="AS820" t="s">
        <v>15135</v>
      </c>
      <c r="AT820" t="s">
        <v>13186</v>
      </c>
      <c r="AU820">
        <v>2014</v>
      </c>
      <c r="AV820">
        <v>128</v>
      </c>
      <c r="AW820" t="s">
        <v>74</v>
      </c>
      <c r="AX820" t="s">
        <v>74</v>
      </c>
      <c r="AY820" t="s">
        <v>74</v>
      </c>
      <c r="AZ820" t="s">
        <v>74</v>
      </c>
      <c r="BA820" t="s">
        <v>74</v>
      </c>
      <c r="BB820">
        <v>122</v>
      </c>
      <c r="BC820">
        <v>138</v>
      </c>
      <c r="BD820" t="s">
        <v>74</v>
      </c>
      <c r="BE820" t="s">
        <v>15136</v>
      </c>
      <c r="BF820" t="str">
        <f>HYPERLINK("http://dx.doi.org/10.1016/j.earscirev.2013.11.004","http://dx.doi.org/10.1016/j.earscirev.2013.11.004")</f>
        <v>http://dx.doi.org/10.1016/j.earscirev.2013.11.004</v>
      </c>
      <c r="BG820" t="s">
        <v>74</v>
      </c>
      <c r="BH820" t="s">
        <v>74</v>
      </c>
      <c r="BI820">
        <v>17</v>
      </c>
      <c r="BJ820" t="s">
        <v>952</v>
      </c>
      <c r="BK820" t="s">
        <v>101</v>
      </c>
      <c r="BL820" t="s">
        <v>597</v>
      </c>
      <c r="BM820" t="s">
        <v>15137</v>
      </c>
      <c r="BN820" t="s">
        <v>74</v>
      </c>
      <c r="BO820" t="s">
        <v>74</v>
      </c>
      <c r="BP820" t="s">
        <v>74</v>
      </c>
      <c r="BQ820" t="s">
        <v>74</v>
      </c>
      <c r="BR820" t="s">
        <v>104</v>
      </c>
      <c r="BS820" t="s">
        <v>15138</v>
      </c>
      <c r="BT820" t="str">
        <f>HYPERLINK("https%3A%2F%2Fwww.webofscience.com%2Fwos%2Fwoscc%2Ffull-record%2FWOS:000331025700007","View Full Record in Web of Science")</f>
        <v>View Full Record in Web of Science</v>
      </c>
    </row>
    <row r="821" spans="1:72" x14ac:dyDescent="0.15">
      <c r="A821" t="s">
        <v>72</v>
      </c>
      <c r="B821" t="s">
        <v>15139</v>
      </c>
      <c r="C821" t="s">
        <v>74</v>
      </c>
      <c r="D821" t="s">
        <v>74</v>
      </c>
      <c r="E821" t="s">
        <v>74</v>
      </c>
      <c r="F821" t="s">
        <v>15140</v>
      </c>
      <c r="G821" t="s">
        <v>74</v>
      </c>
      <c r="H821" t="s">
        <v>74</v>
      </c>
      <c r="I821" t="s">
        <v>15141</v>
      </c>
      <c r="J821" t="s">
        <v>4111</v>
      </c>
      <c r="K821" t="s">
        <v>74</v>
      </c>
      <c r="L821" t="s">
        <v>74</v>
      </c>
      <c r="M821" t="s">
        <v>78</v>
      </c>
      <c r="N821" t="s">
        <v>79</v>
      </c>
      <c r="O821" t="s">
        <v>74</v>
      </c>
      <c r="P821" t="s">
        <v>74</v>
      </c>
      <c r="Q821" t="s">
        <v>74</v>
      </c>
      <c r="R821" t="s">
        <v>74</v>
      </c>
      <c r="S821" t="s">
        <v>74</v>
      </c>
      <c r="T821" t="s">
        <v>15142</v>
      </c>
      <c r="U821" t="s">
        <v>15143</v>
      </c>
      <c r="V821" t="s">
        <v>15144</v>
      </c>
      <c r="W821" t="s">
        <v>15145</v>
      </c>
      <c r="X821" t="s">
        <v>15146</v>
      </c>
      <c r="Y821" t="s">
        <v>15147</v>
      </c>
      <c r="Z821" t="s">
        <v>15148</v>
      </c>
      <c r="AA821" t="s">
        <v>15149</v>
      </c>
      <c r="AB821" t="s">
        <v>8664</v>
      </c>
      <c r="AC821" t="s">
        <v>74</v>
      </c>
      <c r="AD821" t="s">
        <v>74</v>
      </c>
      <c r="AE821" t="s">
        <v>74</v>
      </c>
      <c r="AF821" t="s">
        <v>74</v>
      </c>
      <c r="AG821">
        <v>57</v>
      </c>
      <c r="AH821">
        <v>45</v>
      </c>
      <c r="AI821">
        <v>47</v>
      </c>
      <c r="AJ821">
        <v>0</v>
      </c>
      <c r="AK821">
        <v>16</v>
      </c>
      <c r="AL821" t="s">
        <v>1048</v>
      </c>
      <c r="AM821" t="s">
        <v>522</v>
      </c>
      <c r="AN821" t="s">
        <v>1049</v>
      </c>
      <c r="AO821" t="s">
        <v>4124</v>
      </c>
      <c r="AP821" t="s">
        <v>4125</v>
      </c>
      <c r="AQ821" t="s">
        <v>74</v>
      </c>
      <c r="AR821" t="s">
        <v>4126</v>
      </c>
      <c r="AS821" t="s">
        <v>4127</v>
      </c>
      <c r="AT821" t="s">
        <v>14881</v>
      </c>
      <c r="AU821">
        <v>2014</v>
      </c>
      <c r="AV821">
        <v>71</v>
      </c>
      <c r="AW821">
        <v>2</v>
      </c>
      <c r="AX821" t="s">
        <v>74</v>
      </c>
      <c r="AY821" t="s">
        <v>74</v>
      </c>
      <c r="AZ821" t="s">
        <v>74</v>
      </c>
      <c r="BA821" t="s">
        <v>74</v>
      </c>
      <c r="BB821">
        <v>195</v>
      </c>
      <c r="BC821">
        <v>203</v>
      </c>
      <c r="BD821" t="s">
        <v>74</v>
      </c>
      <c r="BE821" t="s">
        <v>15150</v>
      </c>
      <c r="BF821" t="str">
        <f>HYPERLINK("http://dx.doi.org/10.1093/icesjms/fst158","http://dx.doi.org/10.1093/icesjms/fst158")</f>
        <v>http://dx.doi.org/10.1093/icesjms/fst158</v>
      </c>
      <c r="BG821" t="s">
        <v>74</v>
      </c>
      <c r="BH821" t="s">
        <v>74</v>
      </c>
      <c r="BI821">
        <v>9</v>
      </c>
      <c r="BJ821" t="s">
        <v>4129</v>
      </c>
      <c r="BK821" t="s">
        <v>479</v>
      </c>
      <c r="BL821" t="s">
        <v>4129</v>
      </c>
      <c r="BM821" t="s">
        <v>15151</v>
      </c>
      <c r="BN821" t="s">
        <v>74</v>
      </c>
      <c r="BO821" t="s">
        <v>200</v>
      </c>
      <c r="BP821" t="s">
        <v>74</v>
      </c>
      <c r="BQ821" t="s">
        <v>74</v>
      </c>
      <c r="BR821" t="s">
        <v>104</v>
      </c>
      <c r="BS821" t="s">
        <v>15152</v>
      </c>
      <c r="BT821" t="str">
        <f>HYPERLINK("https%3A%2F%2Fwww.webofscience.com%2Fwos%2Fwoscc%2Ffull-record%2FWOS:000330844100006","View Full Record in Web of Science")</f>
        <v>View Full Record in Web of Science</v>
      </c>
    </row>
    <row r="822" spans="1:72" x14ac:dyDescent="0.15">
      <c r="A822" t="s">
        <v>72</v>
      </c>
      <c r="B822" t="s">
        <v>15153</v>
      </c>
      <c r="C822" t="s">
        <v>74</v>
      </c>
      <c r="D822" t="s">
        <v>74</v>
      </c>
      <c r="E822" t="s">
        <v>74</v>
      </c>
      <c r="F822" t="s">
        <v>15154</v>
      </c>
      <c r="G822" t="s">
        <v>74</v>
      </c>
      <c r="H822" t="s">
        <v>74</v>
      </c>
      <c r="I822" t="s">
        <v>15155</v>
      </c>
      <c r="J822" t="s">
        <v>4111</v>
      </c>
      <c r="K822" t="s">
        <v>74</v>
      </c>
      <c r="L822" t="s">
        <v>74</v>
      </c>
      <c r="M822" t="s">
        <v>78</v>
      </c>
      <c r="N822" t="s">
        <v>79</v>
      </c>
      <c r="O822" t="s">
        <v>74</v>
      </c>
      <c r="P822" t="s">
        <v>74</v>
      </c>
      <c r="Q822" t="s">
        <v>74</v>
      </c>
      <c r="R822" t="s">
        <v>74</v>
      </c>
      <c r="S822" t="s">
        <v>74</v>
      </c>
      <c r="T822" t="s">
        <v>15156</v>
      </c>
      <c r="U822" t="s">
        <v>15157</v>
      </c>
      <c r="V822" t="s">
        <v>15158</v>
      </c>
      <c r="W822" t="s">
        <v>15159</v>
      </c>
      <c r="X822" t="s">
        <v>15160</v>
      </c>
      <c r="Y822" t="s">
        <v>15161</v>
      </c>
      <c r="Z822" t="s">
        <v>15162</v>
      </c>
      <c r="AA822" t="s">
        <v>15163</v>
      </c>
      <c r="AB822" t="s">
        <v>15164</v>
      </c>
      <c r="AC822" t="s">
        <v>15165</v>
      </c>
      <c r="AD822" t="s">
        <v>15165</v>
      </c>
      <c r="AE822" t="s">
        <v>15166</v>
      </c>
      <c r="AF822" t="s">
        <v>74</v>
      </c>
      <c r="AG822">
        <v>55</v>
      </c>
      <c r="AH822">
        <v>20</v>
      </c>
      <c r="AI822">
        <v>22</v>
      </c>
      <c r="AJ822">
        <v>1</v>
      </c>
      <c r="AK822">
        <v>21</v>
      </c>
      <c r="AL822" t="s">
        <v>1048</v>
      </c>
      <c r="AM822" t="s">
        <v>522</v>
      </c>
      <c r="AN822" t="s">
        <v>1049</v>
      </c>
      <c r="AO822" t="s">
        <v>4124</v>
      </c>
      <c r="AP822" t="s">
        <v>4125</v>
      </c>
      <c r="AQ822" t="s">
        <v>74</v>
      </c>
      <c r="AR822" t="s">
        <v>4126</v>
      </c>
      <c r="AS822" t="s">
        <v>4127</v>
      </c>
      <c r="AT822" t="s">
        <v>14881</v>
      </c>
      <c r="AU822">
        <v>2014</v>
      </c>
      <c r="AV822">
        <v>71</v>
      </c>
      <c r="AW822">
        <v>2</v>
      </c>
      <c r="AX822" t="s">
        <v>74</v>
      </c>
      <c r="AY822" t="s">
        <v>74</v>
      </c>
      <c r="AZ822" t="s">
        <v>74</v>
      </c>
      <c r="BA822" t="s">
        <v>74</v>
      </c>
      <c r="BB822">
        <v>272</v>
      </c>
      <c r="BC822">
        <v>281</v>
      </c>
      <c r="BD822" t="s">
        <v>74</v>
      </c>
      <c r="BE822" t="s">
        <v>15167</v>
      </c>
      <c r="BF822" t="str">
        <f>HYPERLINK("http://dx.doi.org/10.1093/icesjms/fst023","http://dx.doi.org/10.1093/icesjms/fst023")</f>
        <v>http://dx.doi.org/10.1093/icesjms/fst023</v>
      </c>
      <c r="BG822" t="s">
        <v>74</v>
      </c>
      <c r="BH822" t="s">
        <v>74</v>
      </c>
      <c r="BI822">
        <v>10</v>
      </c>
      <c r="BJ822" t="s">
        <v>4129</v>
      </c>
      <c r="BK822" t="s">
        <v>101</v>
      </c>
      <c r="BL822" t="s">
        <v>4129</v>
      </c>
      <c r="BM822" t="s">
        <v>15151</v>
      </c>
      <c r="BN822" t="s">
        <v>74</v>
      </c>
      <c r="BO822" t="s">
        <v>200</v>
      </c>
      <c r="BP822" t="s">
        <v>74</v>
      </c>
      <c r="BQ822" t="s">
        <v>74</v>
      </c>
      <c r="BR822" t="s">
        <v>104</v>
      </c>
      <c r="BS822" t="s">
        <v>15168</v>
      </c>
      <c r="BT822" t="str">
        <f>HYPERLINK("https%3A%2F%2Fwww.webofscience.com%2Fwos%2Fwoscc%2Ffull-record%2FWOS:000330844100014","View Full Record in Web of Science")</f>
        <v>View Full Record in Web of Science</v>
      </c>
    </row>
    <row r="823" spans="1:72" x14ac:dyDescent="0.15">
      <c r="A823" t="s">
        <v>72</v>
      </c>
      <c r="B823" t="s">
        <v>15169</v>
      </c>
      <c r="C823" t="s">
        <v>74</v>
      </c>
      <c r="D823" t="s">
        <v>74</v>
      </c>
      <c r="E823" t="s">
        <v>74</v>
      </c>
      <c r="F823" t="s">
        <v>15170</v>
      </c>
      <c r="G823" t="s">
        <v>74</v>
      </c>
      <c r="H823" t="s">
        <v>74</v>
      </c>
      <c r="I823" t="s">
        <v>15171</v>
      </c>
      <c r="J823" t="s">
        <v>4111</v>
      </c>
      <c r="K823" t="s">
        <v>74</v>
      </c>
      <c r="L823" t="s">
        <v>74</v>
      </c>
      <c r="M823" t="s">
        <v>78</v>
      </c>
      <c r="N823" t="s">
        <v>79</v>
      </c>
      <c r="O823" t="s">
        <v>74</v>
      </c>
      <c r="P823" t="s">
        <v>74</v>
      </c>
      <c r="Q823" t="s">
        <v>74</v>
      </c>
      <c r="R823" t="s">
        <v>74</v>
      </c>
      <c r="S823" t="s">
        <v>74</v>
      </c>
      <c r="T823" t="s">
        <v>15172</v>
      </c>
      <c r="U823" t="s">
        <v>15173</v>
      </c>
      <c r="V823" t="s">
        <v>15174</v>
      </c>
      <c r="W823" t="s">
        <v>15175</v>
      </c>
      <c r="X823" t="s">
        <v>15176</v>
      </c>
      <c r="Y823" t="s">
        <v>15161</v>
      </c>
      <c r="Z823" t="s">
        <v>15162</v>
      </c>
      <c r="AA823" t="s">
        <v>15163</v>
      </c>
      <c r="AB823" t="s">
        <v>15164</v>
      </c>
      <c r="AC823" t="s">
        <v>15165</v>
      </c>
      <c r="AD823" t="s">
        <v>15165</v>
      </c>
      <c r="AE823" t="s">
        <v>15177</v>
      </c>
      <c r="AF823" t="s">
        <v>74</v>
      </c>
      <c r="AG823">
        <v>49</v>
      </c>
      <c r="AH823">
        <v>17</v>
      </c>
      <c r="AI823">
        <v>20</v>
      </c>
      <c r="AJ823">
        <v>1</v>
      </c>
      <c r="AK823">
        <v>27</v>
      </c>
      <c r="AL823" t="s">
        <v>1048</v>
      </c>
      <c r="AM823" t="s">
        <v>522</v>
      </c>
      <c r="AN823" t="s">
        <v>1049</v>
      </c>
      <c r="AO823" t="s">
        <v>4124</v>
      </c>
      <c r="AP823" t="s">
        <v>4125</v>
      </c>
      <c r="AQ823" t="s">
        <v>74</v>
      </c>
      <c r="AR823" t="s">
        <v>4126</v>
      </c>
      <c r="AS823" t="s">
        <v>4127</v>
      </c>
      <c r="AT823" t="s">
        <v>14881</v>
      </c>
      <c r="AU823">
        <v>2014</v>
      </c>
      <c r="AV823">
        <v>71</v>
      </c>
      <c r="AW823">
        <v>2</v>
      </c>
      <c r="AX823" t="s">
        <v>74</v>
      </c>
      <c r="AY823" t="s">
        <v>74</v>
      </c>
      <c r="AZ823" t="s">
        <v>74</v>
      </c>
      <c r="BA823" t="s">
        <v>74</v>
      </c>
      <c r="BB823">
        <v>282</v>
      </c>
      <c r="BC823">
        <v>292</v>
      </c>
      <c r="BD823" t="s">
        <v>74</v>
      </c>
      <c r="BE823" t="s">
        <v>15178</v>
      </c>
      <c r="BF823" t="str">
        <f>HYPERLINK("http://dx.doi.org/10.1093/icesjms/fst021","http://dx.doi.org/10.1093/icesjms/fst021")</f>
        <v>http://dx.doi.org/10.1093/icesjms/fst021</v>
      </c>
      <c r="BG823" t="s">
        <v>74</v>
      </c>
      <c r="BH823" t="s">
        <v>74</v>
      </c>
      <c r="BI823">
        <v>11</v>
      </c>
      <c r="BJ823" t="s">
        <v>4129</v>
      </c>
      <c r="BK823" t="s">
        <v>101</v>
      </c>
      <c r="BL823" t="s">
        <v>4129</v>
      </c>
      <c r="BM823" t="s">
        <v>15151</v>
      </c>
      <c r="BN823" t="s">
        <v>74</v>
      </c>
      <c r="BO823" t="s">
        <v>200</v>
      </c>
      <c r="BP823" t="s">
        <v>74</v>
      </c>
      <c r="BQ823" t="s">
        <v>74</v>
      </c>
      <c r="BR823" t="s">
        <v>104</v>
      </c>
      <c r="BS823" t="s">
        <v>15179</v>
      </c>
      <c r="BT823" t="str">
        <f>HYPERLINK("https%3A%2F%2Fwww.webofscience.com%2Fwos%2Fwoscc%2Ffull-record%2FWOS:000330844100015","View Full Record in Web of Science")</f>
        <v>View Full Record in Web of Science</v>
      </c>
    </row>
    <row r="824" spans="1:72" x14ac:dyDescent="0.15">
      <c r="A824" t="s">
        <v>72</v>
      </c>
      <c r="B824" t="s">
        <v>15180</v>
      </c>
      <c r="C824" t="s">
        <v>74</v>
      </c>
      <c r="D824" t="s">
        <v>74</v>
      </c>
      <c r="E824" t="s">
        <v>74</v>
      </c>
      <c r="F824" t="s">
        <v>15181</v>
      </c>
      <c r="G824" t="s">
        <v>74</v>
      </c>
      <c r="H824" t="s">
        <v>74</v>
      </c>
      <c r="I824" t="s">
        <v>15182</v>
      </c>
      <c r="J824" t="s">
        <v>15183</v>
      </c>
      <c r="K824" t="s">
        <v>74</v>
      </c>
      <c r="L824" t="s">
        <v>74</v>
      </c>
      <c r="M824" t="s">
        <v>78</v>
      </c>
      <c r="N824" t="s">
        <v>79</v>
      </c>
      <c r="O824" t="s">
        <v>74</v>
      </c>
      <c r="P824" t="s">
        <v>74</v>
      </c>
      <c r="Q824" t="s">
        <v>74</v>
      </c>
      <c r="R824" t="s">
        <v>74</v>
      </c>
      <c r="S824" t="s">
        <v>74</v>
      </c>
      <c r="T824" t="s">
        <v>15184</v>
      </c>
      <c r="U824" t="s">
        <v>15185</v>
      </c>
      <c r="V824" t="s">
        <v>15186</v>
      </c>
      <c r="W824" t="s">
        <v>15187</v>
      </c>
      <c r="X824" t="s">
        <v>15188</v>
      </c>
      <c r="Y824" t="s">
        <v>15189</v>
      </c>
      <c r="Z824" t="s">
        <v>15190</v>
      </c>
      <c r="AA824" t="s">
        <v>15191</v>
      </c>
      <c r="AB824" t="s">
        <v>15192</v>
      </c>
      <c r="AC824" t="s">
        <v>15193</v>
      </c>
      <c r="AD824" t="s">
        <v>15194</v>
      </c>
      <c r="AE824" t="s">
        <v>15195</v>
      </c>
      <c r="AF824" t="s">
        <v>74</v>
      </c>
      <c r="AG824">
        <v>66</v>
      </c>
      <c r="AH824">
        <v>7</v>
      </c>
      <c r="AI824">
        <v>7</v>
      </c>
      <c r="AJ824">
        <v>0</v>
      </c>
      <c r="AK824">
        <v>4</v>
      </c>
      <c r="AL824" t="s">
        <v>145</v>
      </c>
      <c r="AM824" t="s">
        <v>92</v>
      </c>
      <c r="AN824" t="s">
        <v>472</v>
      </c>
      <c r="AO824" t="s">
        <v>15196</v>
      </c>
      <c r="AP824" t="s">
        <v>15197</v>
      </c>
      <c r="AQ824" t="s">
        <v>74</v>
      </c>
      <c r="AR824" t="s">
        <v>15198</v>
      </c>
      <c r="AS824" t="s">
        <v>15199</v>
      </c>
      <c r="AT824" t="s">
        <v>13186</v>
      </c>
      <c r="AU824">
        <v>2014</v>
      </c>
      <c r="AV824">
        <v>103</v>
      </c>
      <c r="AW824">
        <v>1</v>
      </c>
      <c r="AX824" t="s">
        <v>74</v>
      </c>
      <c r="AY824" t="s">
        <v>74</v>
      </c>
      <c r="AZ824" t="s">
        <v>74</v>
      </c>
      <c r="BA824" t="s">
        <v>74</v>
      </c>
      <c r="BB824">
        <v>7</v>
      </c>
      <c r="BC824">
        <v>22</v>
      </c>
      <c r="BD824" t="s">
        <v>74</v>
      </c>
      <c r="BE824" t="s">
        <v>15200</v>
      </c>
      <c r="BF824" t="str">
        <f>HYPERLINK("http://dx.doi.org/10.1007/s00531-013-0957-6","http://dx.doi.org/10.1007/s00531-013-0957-6")</f>
        <v>http://dx.doi.org/10.1007/s00531-013-0957-6</v>
      </c>
      <c r="BG824" t="s">
        <v>74</v>
      </c>
      <c r="BH824" t="s">
        <v>74</v>
      </c>
      <c r="BI824">
        <v>16</v>
      </c>
      <c r="BJ824" t="s">
        <v>952</v>
      </c>
      <c r="BK824" t="s">
        <v>101</v>
      </c>
      <c r="BL824" t="s">
        <v>597</v>
      </c>
      <c r="BM824" t="s">
        <v>15201</v>
      </c>
      <c r="BN824" t="s">
        <v>74</v>
      </c>
      <c r="BO824" t="s">
        <v>74</v>
      </c>
      <c r="BP824" t="s">
        <v>74</v>
      </c>
      <c r="BQ824" t="s">
        <v>74</v>
      </c>
      <c r="BR824" t="s">
        <v>104</v>
      </c>
      <c r="BS824" t="s">
        <v>15202</v>
      </c>
      <c r="BT824" t="str">
        <f>HYPERLINK("https%3A%2F%2Fwww.webofscience.com%2Fwos%2Fwoscc%2Ffull-record%2FWOS:000331106800003","View Full Record in Web of Science")</f>
        <v>View Full Record in Web of Science</v>
      </c>
    </row>
    <row r="825" spans="1:72" x14ac:dyDescent="0.15">
      <c r="A825" t="s">
        <v>72</v>
      </c>
      <c r="B825" t="s">
        <v>15203</v>
      </c>
      <c r="C825" t="s">
        <v>74</v>
      </c>
      <c r="D825" t="s">
        <v>74</v>
      </c>
      <c r="E825" t="s">
        <v>74</v>
      </c>
      <c r="F825" t="s">
        <v>15204</v>
      </c>
      <c r="G825" t="s">
        <v>74</v>
      </c>
      <c r="H825" t="s">
        <v>74</v>
      </c>
      <c r="I825" t="s">
        <v>15205</v>
      </c>
      <c r="J825" t="s">
        <v>15206</v>
      </c>
      <c r="K825" t="s">
        <v>74</v>
      </c>
      <c r="L825" t="s">
        <v>74</v>
      </c>
      <c r="M825" t="s">
        <v>78</v>
      </c>
      <c r="N825" t="s">
        <v>79</v>
      </c>
      <c r="O825" t="s">
        <v>74</v>
      </c>
      <c r="P825" t="s">
        <v>74</v>
      </c>
      <c r="Q825" t="s">
        <v>74</v>
      </c>
      <c r="R825" t="s">
        <v>74</v>
      </c>
      <c r="S825" t="s">
        <v>74</v>
      </c>
      <c r="T825" t="s">
        <v>15207</v>
      </c>
      <c r="U825" t="s">
        <v>15208</v>
      </c>
      <c r="V825" t="s">
        <v>15209</v>
      </c>
      <c r="W825" t="s">
        <v>15210</v>
      </c>
      <c r="X825" t="s">
        <v>15211</v>
      </c>
      <c r="Y825" t="s">
        <v>15212</v>
      </c>
      <c r="Z825" t="s">
        <v>15213</v>
      </c>
      <c r="AA825" t="s">
        <v>74</v>
      </c>
      <c r="AB825" t="s">
        <v>74</v>
      </c>
      <c r="AC825" t="s">
        <v>15214</v>
      </c>
      <c r="AD825" t="s">
        <v>15215</v>
      </c>
      <c r="AE825" t="s">
        <v>15216</v>
      </c>
      <c r="AF825" t="s">
        <v>74</v>
      </c>
      <c r="AG825">
        <v>63</v>
      </c>
      <c r="AH825">
        <v>10</v>
      </c>
      <c r="AI825">
        <v>12</v>
      </c>
      <c r="AJ825">
        <v>0</v>
      </c>
      <c r="AK825">
        <v>8</v>
      </c>
      <c r="AL825" t="s">
        <v>652</v>
      </c>
      <c r="AM825" t="s">
        <v>653</v>
      </c>
      <c r="AN825" t="s">
        <v>654</v>
      </c>
      <c r="AO825" t="s">
        <v>15217</v>
      </c>
      <c r="AP825" t="s">
        <v>15218</v>
      </c>
      <c r="AQ825" t="s">
        <v>74</v>
      </c>
      <c r="AR825" t="s">
        <v>15219</v>
      </c>
      <c r="AS825" t="s">
        <v>15220</v>
      </c>
      <c r="AT825" t="s">
        <v>14963</v>
      </c>
      <c r="AU825">
        <v>2014</v>
      </c>
      <c r="AV825">
        <v>269</v>
      </c>
      <c r="AW825" t="s">
        <v>74</v>
      </c>
      <c r="AX825" t="s">
        <v>74</v>
      </c>
      <c r="AY825" t="s">
        <v>74</v>
      </c>
      <c r="AZ825" t="s">
        <v>74</v>
      </c>
      <c r="BA825" t="s">
        <v>74</v>
      </c>
      <c r="BB825">
        <v>44</v>
      </c>
      <c r="BC825">
        <v>56</v>
      </c>
      <c r="BD825" t="s">
        <v>74</v>
      </c>
      <c r="BE825" t="s">
        <v>15221</v>
      </c>
      <c r="BF825" t="str">
        <f>HYPERLINK("http://dx.doi.org/10.1016/j.jvolgeores.2013.11.003","http://dx.doi.org/10.1016/j.jvolgeores.2013.11.003")</f>
        <v>http://dx.doi.org/10.1016/j.jvolgeores.2013.11.003</v>
      </c>
      <c r="BG825" t="s">
        <v>74</v>
      </c>
      <c r="BH825" t="s">
        <v>74</v>
      </c>
      <c r="BI825">
        <v>13</v>
      </c>
      <c r="BJ825" t="s">
        <v>952</v>
      </c>
      <c r="BK825" t="s">
        <v>101</v>
      </c>
      <c r="BL825" t="s">
        <v>597</v>
      </c>
      <c r="BM825" t="s">
        <v>15222</v>
      </c>
      <c r="BN825" t="s">
        <v>74</v>
      </c>
      <c r="BO825" t="s">
        <v>234</v>
      </c>
      <c r="BP825" t="s">
        <v>74</v>
      </c>
      <c r="BQ825" t="s">
        <v>74</v>
      </c>
      <c r="BR825" t="s">
        <v>104</v>
      </c>
      <c r="BS825" t="s">
        <v>15223</v>
      </c>
      <c r="BT825" t="str">
        <f>HYPERLINK("https%3A%2F%2Fwww.webofscience.com%2Fwos%2Fwoscc%2Ffull-record%2FWOS:000330927500005","View Full Record in Web of Science")</f>
        <v>View Full Record in Web of Science</v>
      </c>
    </row>
    <row r="826" spans="1:72" x14ac:dyDescent="0.15">
      <c r="A826" t="s">
        <v>72</v>
      </c>
      <c r="B826" t="s">
        <v>15224</v>
      </c>
      <c r="C826" t="s">
        <v>74</v>
      </c>
      <c r="D826" t="s">
        <v>74</v>
      </c>
      <c r="E826" t="s">
        <v>74</v>
      </c>
      <c r="F826" t="s">
        <v>15225</v>
      </c>
      <c r="G826" t="s">
        <v>74</v>
      </c>
      <c r="H826" t="s">
        <v>74</v>
      </c>
      <c r="I826" t="s">
        <v>15226</v>
      </c>
      <c r="J826" t="s">
        <v>15227</v>
      </c>
      <c r="K826" t="s">
        <v>74</v>
      </c>
      <c r="L826" t="s">
        <v>74</v>
      </c>
      <c r="M826" t="s">
        <v>78</v>
      </c>
      <c r="N826" t="s">
        <v>79</v>
      </c>
      <c r="O826" t="s">
        <v>74</v>
      </c>
      <c r="P826" t="s">
        <v>74</v>
      </c>
      <c r="Q826" t="s">
        <v>74</v>
      </c>
      <c r="R826" t="s">
        <v>74</v>
      </c>
      <c r="S826" t="s">
        <v>74</v>
      </c>
      <c r="T826" t="s">
        <v>15228</v>
      </c>
      <c r="U826" t="s">
        <v>15229</v>
      </c>
      <c r="V826" t="s">
        <v>15230</v>
      </c>
      <c r="W826" t="s">
        <v>15231</v>
      </c>
      <c r="X826" t="s">
        <v>15232</v>
      </c>
      <c r="Y826" t="s">
        <v>15233</v>
      </c>
      <c r="Z826" t="s">
        <v>15234</v>
      </c>
      <c r="AA826" t="s">
        <v>15235</v>
      </c>
      <c r="AB826" t="s">
        <v>15236</v>
      </c>
      <c r="AC826" t="s">
        <v>15237</v>
      </c>
      <c r="AD826" t="s">
        <v>15238</v>
      </c>
      <c r="AE826" t="s">
        <v>15239</v>
      </c>
      <c r="AF826" t="s">
        <v>74</v>
      </c>
      <c r="AG826">
        <v>57</v>
      </c>
      <c r="AH826">
        <v>30</v>
      </c>
      <c r="AI826">
        <v>31</v>
      </c>
      <c r="AJ826">
        <v>0</v>
      </c>
      <c r="AK826">
        <v>26</v>
      </c>
      <c r="AL826" t="s">
        <v>1048</v>
      </c>
      <c r="AM826" t="s">
        <v>522</v>
      </c>
      <c r="AN826" t="s">
        <v>1049</v>
      </c>
      <c r="AO826" t="s">
        <v>15240</v>
      </c>
      <c r="AP826" t="s">
        <v>15241</v>
      </c>
      <c r="AQ826" t="s">
        <v>74</v>
      </c>
      <c r="AR826" t="s">
        <v>15242</v>
      </c>
      <c r="AS826" t="s">
        <v>15243</v>
      </c>
      <c r="AT826" t="s">
        <v>13186</v>
      </c>
      <c r="AU826">
        <v>2014</v>
      </c>
      <c r="AV826">
        <v>170</v>
      </c>
      <c r="AW826">
        <v>1</v>
      </c>
      <c r="AX826" t="s">
        <v>74</v>
      </c>
      <c r="AY826" t="s">
        <v>74</v>
      </c>
      <c r="AZ826" t="s">
        <v>74</v>
      </c>
      <c r="BA826" t="s">
        <v>74</v>
      </c>
      <c r="BB826">
        <v>110</v>
      </c>
      <c r="BC826">
        <v>131</v>
      </c>
      <c r="BD826" t="s">
        <v>74</v>
      </c>
      <c r="BE826" t="s">
        <v>15244</v>
      </c>
      <c r="BF826" t="str">
        <f>HYPERLINK("http://dx.doi.org/10.1111/zoj.12097","http://dx.doi.org/10.1111/zoj.12097")</f>
        <v>http://dx.doi.org/10.1111/zoj.12097</v>
      </c>
      <c r="BG826" t="s">
        <v>74</v>
      </c>
      <c r="BH826" t="s">
        <v>74</v>
      </c>
      <c r="BI826">
        <v>22</v>
      </c>
      <c r="BJ826" t="s">
        <v>384</v>
      </c>
      <c r="BK826" t="s">
        <v>101</v>
      </c>
      <c r="BL826" t="s">
        <v>384</v>
      </c>
      <c r="BM826" t="s">
        <v>15245</v>
      </c>
      <c r="BN826" t="s">
        <v>74</v>
      </c>
      <c r="BO826" t="s">
        <v>74</v>
      </c>
      <c r="BP826" t="s">
        <v>74</v>
      </c>
      <c r="BQ826" t="s">
        <v>74</v>
      </c>
      <c r="BR826" t="s">
        <v>104</v>
      </c>
      <c r="BS826" t="s">
        <v>15246</v>
      </c>
      <c r="BT826" t="str">
        <f>HYPERLINK("https%3A%2F%2Fwww.webofscience.com%2Fwos%2Fwoscc%2Ffull-record%2FWOS:000330782500004","View Full Record in Web of Science")</f>
        <v>View Full Record in Web of Science</v>
      </c>
    </row>
    <row r="827" spans="1:72" x14ac:dyDescent="0.15">
      <c r="A827" t="s">
        <v>72</v>
      </c>
      <c r="B827" t="s">
        <v>15247</v>
      </c>
      <c r="C827" t="s">
        <v>74</v>
      </c>
      <c r="D827" t="s">
        <v>74</v>
      </c>
      <c r="E827" t="s">
        <v>74</v>
      </c>
      <c r="F827" t="s">
        <v>15248</v>
      </c>
      <c r="G827" t="s">
        <v>74</v>
      </c>
      <c r="H827" t="s">
        <v>74</v>
      </c>
      <c r="I827" t="s">
        <v>15249</v>
      </c>
      <c r="J827" t="s">
        <v>15250</v>
      </c>
      <c r="K827" t="s">
        <v>74</v>
      </c>
      <c r="L827" t="s">
        <v>74</v>
      </c>
      <c r="M827" t="s">
        <v>78</v>
      </c>
      <c r="N827" t="s">
        <v>2208</v>
      </c>
      <c r="O827" t="s">
        <v>74</v>
      </c>
      <c r="P827" t="s">
        <v>74</v>
      </c>
      <c r="Q827" t="s">
        <v>74</v>
      </c>
      <c r="R827" t="s">
        <v>74</v>
      </c>
      <c r="S827" t="s">
        <v>74</v>
      </c>
      <c r="T827" t="s">
        <v>74</v>
      </c>
      <c r="U827" t="s">
        <v>74</v>
      </c>
      <c r="V827" t="s">
        <v>74</v>
      </c>
      <c r="W827" t="s">
        <v>15251</v>
      </c>
      <c r="X827" t="s">
        <v>15252</v>
      </c>
      <c r="Y827" t="s">
        <v>15253</v>
      </c>
      <c r="Z827" t="s">
        <v>15254</v>
      </c>
      <c r="AA827" t="s">
        <v>1944</v>
      </c>
      <c r="AB827" t="s">
        <v>15255</v>
      </c>
      <c r="AC827" t="s">
        <v>74</v>
      </c>
      <c r="AD827" t="s">
        <v>74</v>
      </c>
      <c r="AE827" t="s">
        <v>74</v>
      </c>
      <c r="AF827" t="s">
        <v>74</v>
      </c>
      <c r="AG827">
        <v>1</v>
      </c>
      <c r="AH827">
        <v>0</v>
      </c>
      <c r="AI827">
        <v>0</v>
      </c>
      <c r="AJ827">
        <v>0</v>
      </c>
      <c r="AK827">
        <v>12</v>
      </c>
      <c r="AL827" t="s">
        <v>946</v>
      </c>
      <c r="AM827" t="s">
        <v>522</v>
      </c>
      <c r="AN827" t="s">
        <v>947</v>
      </c>
      <c r="AO827" t="s">
        <v>15256</v>
      </c>
      <c r="AP827" t="s">
        <v>15257</v>
      </c>
      <c r="AQ827" t="s">
        <v>74</v>
      </c>
      <c r="AR827" t="s">
        <v>15258</v>
      </c>
      <c r="AS827" t="s">
        <v>15259</v>
      </c>
      <c r="AT827" t="s">
        <v>13186</v>
      </c>
      <c r="AU827">
        <v>2014</v>
      </c>
      <c r="AV827">
        <v>60</v>
      </c>
      <c r="AW827" t="s">
        <v>74</v>
      </c>
      <c r="AX827" t="s">
        <v>74</v>
      </c>
      <c r="AY827" t="s">
        <v>74</v>
      </c>
      <c r="AZ827" t="s">
        <v>74</v>
      </c>
      <c r="BA827" t="s">
        <v>74</v>
      </c>
      <c r="BB827">
        <v>153</v>
      </c>
      <c r="BC827">
        <v>155</v>
      </c>
      <c r="BD827" t="s">
        <v>74</v>
      </c>
      <c r="BE827" t="s">
        <v>15260</v>
      </c>
      <c r="BF827" t="str">
        <f>HYPERLINK("http://dx.doi.org/10.1016/j.jinsphys.2013.11.001","http://dx.doi.org/10.1016/j.jinsphys.2013.11.001")</f>
        <v>http://dx.doi.org/10.1016/j.jinsphys.2013.11.001</v>
      </c>
      <c r="BG827" t="s">
        <v>74</v>
      </c>
      <c r="BH827" t="s">
        <v>74</v>
      </c>
      <c r="BI827">
        <v>3</v>
      </c>
      <c r="BJ827" t="s">
        <v>15261</v>
      </c>
      <c r="BK827" t="s">
        <v>101</v>
      </c>
      <c r="BL827" t="s">
        <v>15261</v>
      </c>
      <c r="BM827" t="s">
        <v>15262</v>
      </c>
      <c r="BN827" t="s">
        <v>74</v>
      </c>
      <c r="BO827" t="s">
        <v>74</v>
      </c>
      <c r="BP827" t="s">
        <v>74</v>
      </c>
      <c r="BQ827" t="s">
        <v>74</v>
      </c>
      <c r="BR827" t="s">
        <v>104</v>
      </c>
      <c r="BS827" t="s">
        <v>15263</v>
      </c>
      <c r="BT827" t="str">
        <f>HYPERLINK("https%3A%2F%2Fwww.webofscience.com%2Fwos%2Fwoscc%2Ffull-record%2FWOS:000330747000019","View Full Record in Web of Science")</f>
        <v>View Full Record in Web of Science</v>
      </c>
    </row>
    <row r="828" spans="1:72" x14ac:dyDescent="0.15">
      <c r="A828" t="s">
        <v>72</v>
      </c>
      <c r="B828" t="s">
        <v>15264</v>
      </c>
      <c r="C828" t="s">
        <v>74</v>
      </c>
      <c r="D828" t="s">
        <v>74</v>
      </c>
      <c r="E828" t="s">
        <v>74</v>
      </c>
      <c r="F828" t="s">
        <v>15265</v>
      </c>
      <c r="G828" t="s">
        <v>74</v>
      </c>
      <c r="H828" t="s">
        <v>74</v>
      </c>
      <c r="I828" t="s">
        <v>15266</v>
      </c>
      <c r="J828" t="s">
        <v>2969</v>
      </c>
      <c r="K828" t="s">
        <v>74</v>
      </c>
      <c r="L828" t="s">
        <v>74</v>
      </c>
      <c r="M828" t="s">
        <v>78</v>
      </c>
      <c r="N828" t="s">
        <v>79</v>
      </c>
      <c r="O828" t="s">
        <v>74</v>
      </c>
      <c r="P828" t="s">
        <v>74</v>
      </c>
      <c r="Q828" t="s">
        <v>74</v>
      </c>
      <c r="R828" t="s">
        <v>74</v>
      </c>
      <c r="S828" t="s">
        <v>74</v>
      </c>
      <c r="T828" t="s">
        <v>15267</v>
      </c>
      <c r="U828" t="s">
        <v>15268</v>
      </c>
      <c r="V828" t="s">
        <v>15269</v>
      </c>
      <c r="W828" t="s">
        <v>15270</v>
      </c>
      <c r="X828" t="s">
        <v>15271</v>
      </c>
      <c r="Y828" t="s">
        <v>15272</v>
      </c>
      <c r="Z828" t="s">
        <v>15273</v>
      </c>
      <c r="AA828" t="s">
        <v>74</v>
      </c>
      <c r="AB828" t="s">
        <v>15274</v>
      </c>
      <c r="AC828" t="s">
        <v>15275</v>
      </c>
      <c r="AD828" t="s">
        <v>15276</v>
      </c>
      <c r="AE828" t="s">
        <v>15277</v>
      </c>
      <c r="AF828" t="s">
        <v>74</v>
      </c>
      <c r="AG828">
        <v>24</v>
      </c>
      <c r="AH828">
        <v>15</v>
      </c>
      <c r="AI828">
        <v>15</v>
      </c>
      <c r="AJ828">
        <v>2</v>
      </c>
      <c r="AK828">
        <v>15</v>
      </c>
      <c r="AL828" t="s">
        <v>1781</v>
      </c>
      <c r="AM828" t="s">
        <v>92</v>
      </c>
      <c r="AN828" t="s">
        <v>1782</v>
      </c>
      <c r="AO828" t="s">
        <v>2982</v>
      </c>
      <c r="AP828" t="s">
        <v>2983</v>
      </c>
      <c r="AQ828" t="s">
        <v>74</v>
      </c>
      <c r="AR828" t="s">
        <v>2984</v>
      </c>
      <c r="AS828" t="s">
        <v>2985</v>
      </c>
      <c r="AT828" t="s">
        <v>13186</v>
      </c>
      <c r="AU828">
        <v>2014</v>
      </c>
      <c r="AV828">
        <v>135</v>
      </c>
      <c r="AW828" t="s">
        <v>74</v>
      </c>
      <c r="AX828" t="s">
        <v>74</v>
      </c>
      <c r="AY828" t="s">
        <v>74</v>
      </c>
      <c r="AZ828" t="s">
        <v>74</v>
      </c>
      <c r="BA828" t="s">
        <v>74</v>
      </c>
      <c r="BB828">
        <v>8</v>
      </c>
      <c r="BC828">
        <v>34</v>
      </c>
      <c r="BD828" t="s">
        <v>74</v>
      </c>
      <c r="BE828" t="s">
        <v>15278</v>
      </c>
      <c r="BF828" t="str">
        <f>HYPERLINK("http://dx.doi.org/10.1016/j.atmosres.2013.07.023","http://dx.doi.org/10.1016/j.atmosres.2013.07.023")</f>
        <v>http://dx.doi.org/10.1016/j.atmosres.2013.07.023</v>
      </c>
      <c r="BG828" t="s">
        <v>74</v>
      </c>
      <c r="BH828" t="s">
        <v>74</v>
      </c>
      <c r="BI828">
        <v>27</v>
      </c>
      <c r="BJ828" t="s">
        <v>1391</v>
      </c>
      <c r="BK828" t="s">
        <v>101</v>
      </c>
      <c r="BL828" t="s">
        <v>1391</v>
      </c>
      <c r="BM828" t="s">
        <v>15279</v>
      </c>
      <c r="BN828" t="s">
        <v>74</v>
      </c>
      <c r="BO828" t="s">
        <v>1244</v>
      </c>
      <c r="BP828" t="s">
        <v>74</v>
      </c>
      <c r="BQ828" t="s">
        <v>74</v>
      </c>
      <c r="BR828" t="s">
        <v>104</v>
      </c>
      <c r="BS828" t="s">
        <v>15280</v>
      </c>
      <c r="BT828" t="str">
        <f>HYPERLINK("https%3A%2F%2Fwww.webofscience.com%2Fwos%2Fwoscc%2Ffull-record%2FWOS:000330203600002","View Full Record in Web of Science")</f>
        <v>View Full Record in Web of Science</v>
      </c>
    </row>
    <row r="829" spans="1:72" x14ac:dyDescent="0.15">
      <c r="A829" t="s">
        <v>72</v>
      </c>
      <c r="B829" t="s">
        <v>15281</v>
      </c>
      <c r="C829" t="s">
        <v>74</v>
      </c>
      <c r="D829" t="s">
        <v>74</v>
      </c>
      <c r="E829" t="s">
        <v>74</v>
      </c>
      <c r="F829" t="s">
        <v>15282</v>
      </c>
      <c r="G829" t="s">
        <v>74</v>
      </c>
      <c r="H829" t="s">
        <v>74</v>
      </c>
      <c r="I829" t="s">
        <v>15283</v>
      </c>
      <c r="J829" t="s">
        <v>15284</v>
      </c>
      <c r="K829" t="s">
        <v>74</v>
      </c>
      <c r="L829" t="s">
        <v>74</v>
      </c>
      <c r="M829" t="s">
        <v>78</v>
      </c>
      <c r="N829" t="s">
        <v>79</v>
      </c>
      <c r="O829" t="s">
        <v>74</v>
      </c>
      <c r="P829" t="s">
        <v>74</v>
      </c>
      <c r="Q829" t="s">
        <v>74</v>
      </c>
      <c r="R829" t="s">
        <v>74</v>
      </c>
      <c r="S829" t="s">
        <v>74</v>
      </c>
      <c r="T829" t="s">
        <v>15285</v>
      </c>
      <c r="U829" t="s">
        <v>15286</v>
      </c>
      <c r="V829" t="s">
        <v>15287</v>
      </c>
      <c r="W829" t="s">
        <v>15288</v>
      </c>
      <c r="X829" t="s">
        <v>15289</v>
      </c>
      <c r="Y829" t="s">
        <v>15290</v>
      </c>
      <c r="Z829" t="s">
        <v>15291</v>
      </c>
      <c r="AA829" t="s">
        <v>15292</v>
      </c>
      <c r="AB829" t="s">
        <v>15293</v>
      </c>
      <c r="AC829" t="s">
        <v>15294</v>
      </c>
      <c r="AD829" t="s">
        <v>15295</v>
      </c>
      <c r="AE829" t="s">
        <v>15296</v>
      </c>
      <c r="AF829" t="s">
        <v>74</v>
      </c>
      <c r="AG829">
        <v>50</v>
      </c>
      <c r="AH829">
        <v>13</v>
      </c>
      <c r="AI829">
        <v>17</v>
      </c>
      <c r="AJ829">
        <v>0</v>
      </c>
      <c r="AK829">
        <v>10</v>
      </c>
      <c r="AL829" t="s">
        <v>403</v>
      </c>
      <c r="AM829" t="s">
        <v>404</v>
      </c>
      <c r="AN829" t="s">
        <v>405</v>
      </c>
      <c r="AO829" t="s">
        <v>15297</v>
      </c>
      <c r="AP829" t="s">
        <v>15298</v>
      </c>
      <c r="AQ829" t="s">
        <v>74</v>
      </c>
      <c r="AR829" t="s">
        <v>15299</v>
      </c>
      <c r="AS829" t="s">
        <v>15300</v>
      </c>
      <c r="AT829" t="s">
        <v>13186</v>
      </c>
      <c r="AU829">
        <v>2014</v>
      </c>
      <c r="AV829">
        <v>281</v>
      </c>
      <c r="AW829">
        <v>1</v>
      </c>
      <c r="AX829" t="s">
        <v>74</v>
      </c>
      <c r="AY829" t="s">
        <v>74</v>
      </c>
      <c r="AZ829" t="s">
        <v>74</v>
      </c>
      <c r="BA829" t="s">
        <v>74</v>
      </c>
      <c r="BB829">
        <v>401</v>
      </c>
      <c r="BC829">
        <v>415</v>
      </c>
      <c r="BD829" t="s">
        <v>74</v>
      </c>
      <c r="BE829" t="s">
        <v>15301</v>
      </c>
      <c r="BF829" t="str">
        <f>HYPERLINK("http://dx.doi.org/10.1111/febs.12610","http://dx.doi.org/10.1111/febs.12610")</f>
        <v>http://dx.doi.org/10.1111/febs.12610</v>
      </c>
      <c r="BG829" t="s">
        <v>74</v>
      </c>
      <c r="BH829" t="s">
        <v>74</v>
      </c>
      <c r="BI829">
        <v>15</v>
      </c>
      <c r="BJ829" t="s">
        <v>3153</v>
      </c>
      <c r="BK829" t="s">
        <v>101</v>
      </c>
      <c r="BL829" t="s">
        <v>3153</v>
      </c>
      <c r="BM829" t="s">
        <v>15302</v>
      </c>
      <c r="BN829">
        <v>24206103</v>
      </c>
      <c r="BO829" t="s">
        <v>200</v>
      </c>
      <c r="BP829" t="s">
        <v>74</v>
      </c>
      <c r="BQ829" t="s">
        <v>74</v>
      </c>
      <c r="BR829" t="s">
        <v>104</v>
      </c>
      <c r="BS829" t="s">
        <v>15303</v>
      </c>
      <c r="BT829" t="str">
        <f>HYPERLINK("https%3A%2F%2Fwww.webofscience.com%2Fwos%2Fwoscc%2Ffull-record%2FWOS:000330591100030","View Full Record in Web of Science")</f>
        <v>View Full Record in Web of Science</v>
      </c>
    </row>
    <row r="830" spans="1:72" x14ac:dyDescent="0.15">
      <c r="A830" t="s">
        <v>72</v>
      </c>
      <c r="B830" t="s">
        <v>15304</v>
      </c>
      <c r="C830" t="s">
        <v>74</v>
      </c>
      <c r="D830" t="s">
        <v>74</v>
      </c>
      <c r="E830" t="s">
        <v>74</v>
      </c>
      <c r="F830" t="s">
        <v>15305</v>
      </c>
      <c r="G830" t="s">
        <v>74</v>
      </c>
      <c r="H830" t="s">
        <v>74</v>
      </c>
      <c r="I830" t="s">
        <v>15306</v>
      </c>
      <c r="J830" t="s">
        <v>15307</v>
      </c>
      <c r="K830" t="s">
        <v>74</v>
      </c>
      <c r="L830" t="s">
        <v>74</v>
      </c>
      <c r="M830" t="s">
        <v>78</v>
      </c>
      <c r="N830" t="s">
        <v>79</v>
      </c>
      <c r="O830" t="s">
        <v>74</v>
      </c>
      <c r="P830" t="s">
        <v>74</v>
      </c>
      <c r="Q830" t="s">
        <v>74</v>
      </c>
      <c r="R830" t="s">
        <v>74</v>
      </c>
      <c r="S830" t="s">
        <v>74</v>
      </c>
      <c r="T830" t="s">
        <v>15308</v>
      </c>
      <c r="U830" t="s">
        <v>15309</v>
      </c>
      <c r="V830" t="s">
        <v>15310</v>
      </c>
      <c r="W830" t="s">
        <v>15311</v>
      </c>
      <c r="X830" t="s">
        <v>15312</v>
      </c>
      <c r="Y830" t="s">
        <v>15313</v>
      </c>
      <c r="Z830" t="s">
        <v>15314</v>
      </c>
      <c r="AA830" t="s">
        <v>15315</v>
      </c>
      <c r="AB830" t="s">
        <v>15316</v>
      </c>
      <c r="AC830" t="s">
        <v>15317</v>
      </c>
      <c r="AD830" t="s">
        <v>992</v>
      </c>
      <c r="AE830" t="s">
        <v>15318</v>
      </c>
      <c r="AF830" t="s">
        <v>74</v>
      </c>
      <c r="AG830">
        <v>69</v>
      </c>
      <c r="AH830">
        <v>21</v>
      </c>
      <c r="AI830">
        <v>22</v>
      </c>
      <c r="AJ830">
        <v>0</v>
      </c>
      <c r="AK830">
        <v>44</v>
      </c>
      <c r="AL830" t="s">
        <v>652</v>
      </c>
      <c r="AM830" t="s">
        <v>653</v>
      </c>
      <c r="AN830" t="s">
        <v>654</v>
      </c>
      <c r="AO830" t="s">
        <v>15319</v>
      </c>
      <c r="AP830" t="s">
        <v>15320</v>
      </c>
      <c r="AQ830" t="s">
        <v>74</v>
      </c>
      <c r="AR830" t="s">
        <v>15307</v>
      </c>
      <c r="AS830" t="s">
        <v>15321</v>
      </c>
      <c r="AT830" t="s">
        <v>13186</v>
      </c>
      <c r="AU830">
        <v>2014</v>
      </c>
      <c r="AV830">
        <v>31</v>
      </c>
      <c r="AW830" t="s">
        <v>74</v>
      </c>
      <c r="AX830" t="s">
        <v>74</v>
      </c>
      <c r="AY830" t="s">
        <v>74</v>
      </c>
      <c r="AZ830" t="s">
        <v>74</v>
      </c>
      <c r="BA830" t="s">
        <v>74</v>
      </c>
      <c r="BB830">
        <v>54</v>
      </c>
      <c r="BC830">
        <v>65</v>
      </c>
      <c r="BD830" t="s">
        <v>74</v>
      </c>
      <c r="BE830" t="s">
        <v>15322</v>
      </c>
      <c r="BF830" t="str">
        <f>HYPERLINK("http://dx.doi.org/10.1016/j.hal.2013.09.005","http://dx.doi.org/10.1016/j.hal.2013.09.005")</f>
        <v>http://dx.doi.org/10.1016/j.hal.2013.09.005</v>
      </c>
      <c r="BG830" t="s">
        <v>74</v>
      </c>
      <c r="BH830" t="s">
        <v>74</v>
      </c>
      <c r="BI830">
        <v>12</v>
      </c>
      <c r="BJ830" t="s">
        <v>1028</v>
      </c>
      <c r="BK830" t="s">
        <v>101</v>
      </c>
      <c r="BL830" t="s">
        <v>1028</v>
      </c>
      <c r="BM830" t="s">
        <v>15323</v>
      </c>
      <c r="BN830">
        <v>28040111</v>
      </c>
      <c r="BO830" t="s">
        <v>74</v>
      </c>
      <c r="BP830" t="s">
        <v>74</v>
      </c>
      <c r="BQ830" t="s">
        <v>74</v>
      </c>
      <c r="BR830" t="s">
        <v>104</v>
      </c>
      <c r="BS830" t="s">
        <v>15324</v>
      </c>
      <c r="BT830" t="str">
        <f>HYPERLINK("https%3A%2F%2Fwww.webofscience.com%2Fwos%2Fwoscc%2Ffull-record%2FWOS:000330497500007","View Full Record in Web of Science")</f>
        <v>View Full Record in Web of Science</v>
      </c>
    </row>
    <row r="831" spans="1:72" x14ac:dyDescent="0.15">
      <c r="A831" t="s">
        <v>72</v>
      </c>
      <c r="B831" t="s">
        <v>15325</v>
      </c>
      <c r="C831" t="s">
        <v>74</v>
      </c>
      <c r="D831" t="s">
        <v>74</v>
      </c>
      <c r="E831" t="s">
        <v>74</v>
      </c>
      <c r="F831" t="s">
        <v>15326</v>
      </c>
      <c r="G831" t="s">
        <v>74</v>
      </c>
      <c r="H831" t="s">
        <v>74</v>
      </c>
      <c r="I831" t="s">
        <v>15327</v>
      </c>
      <c r="J831" t="s">
        <v>15307</v>
      </c>
      <c r="K831" t="s">
        <v>74</v>
      </c>
      <c r="L831" t="s">
        <v>74</v>
      </c>
      <c r="M831" t="s">
        <v>78</v>
      </c>
      <c r="N831" t="s">
        <v>79</v>
      </c>
      <c r="O831" t="s">
        <v>74</v>
      </c>
      <c r="P831" t="s">
        <v>74</v>
      </c>
      <c r="Q831" t="s">
        <v>74</v>
      </c>
      <c r="R831" t="s">
        <v>74</v>
      </c>
      <c r="S831" t="s">
        <v>74</v>
      </c>
      <c r="T831" t="s">
        <v>15328</v>
      </c>
      <c r="U831" t="s">
        <v>15329</v>
      </c>
      <c r="V831" t="s">
        <v>15330</v>
      </c>
      <c r="W831" t="s">
        <v>15331</v>
      </c>
      <c r="X831" t="s">
        <v>15332</v>
      </c>
      <c r="Y831" t="s">
        <v>15333</v>
      </c>
      <c r="Z831" t="s">
        <v>15334</v>
      </c>
      <c r="AA831" t="s">
        <v>15335</v>
      </c>
      <c r="AB831" t="s">
        <v>74</v>
      </c>
      <c r="AC831" t="s">
        <v>15336</v>
      </c>
      <c r="AD831" t="s">
        <v>15337</v>
      </c>
      <c r="AE831" t="s">
        <v>15338</v>
      </c>
      <c r="AF831" t="s">
        <v>74</v>
      </c>
      <c r="AG831">
        <v>52</v>
      </c>
      <c r="AH831">
        <v>46</v>
      </c>
      <c r="AI831">
        <v>55</v>
      </c>
      <c r="AJ831">
        <v>1</v>
      </c>
      <c r="AK831">
        <v>54</v>
      </c>
      <c r="AL831" t="s">
        <v>652</v>
      </c>
      <c r="AM831" t="s">
        <v>653</v>
      </c>
      <c r="AN831" t="s">
        <v>654</v>
      </c>
      <c r="AO831" t="s">
        <v>15319</v>
      </c>
      <c r="AP831" t="s">
        <v>15320</v>
      </c>
      <c r="AQ831" t="s">
        <v>74</v>
      </c>
      <c r="AR831" t="s">
        <v>15307</v>
      </c>
      <c r="AS831" t="s">
        <v>15321</v>
      </c>
      <c r="AT831" t="s">
        <v>13186</v>
      </c>
      <c r="AU831">
        <v>2014</v>
      </c>
      <c r="AV831">
        <v>31</v>
      </c>
      <c r="AW831" t="s">
        <v>74</v>
      </c>
      <c r="AX831" t="s">
        <v>74</v>
      </c>
      <c r="AY831" t="s">
        <v>74</v>
      </c>
      <c r="AZ831" t="s">
        <v>74</v>
      </c>
      <c r="BA831" t="s">
        <v>74</v>
      </c>
      <c r="BB831">
        <v>100</v>
      </c>
      <c r="BC831">
        <v>113</v>
      </c>
      <c r="BD831" t="s">
        <v>74</v>
      </c>
      <c r="BE831" t="s">
        <v>15339</v>
      </c>
      <c r="BF831" t="str">
        <f>HYPERLINK("http://dx.doi.org/10.1016/j.hal.2013.10.013","http://dx.doi.org/10.1016/j.hal.2013.10.013")</f>
        <v>http://dx.doi.org/10.1016/j.hal.2013.10.013</v>
      </c>
      <c r="BG831" t="s">
        <v>74</v>
      </c>
      <c r="BH831" t="s">
        <v>74</v>
      </c>
      <c r="BI831">
        <v>14</v>
      </c>
      <c r="BJ831" t="s">
        <v>1028</v>
      </c>
      <c r="BK831" t="s">
        <v>101</v>
      </c>
      <c r="BL831" t="s">
        <v>1028</v>
      </c>
      <c r="BM831" t="s">
        <v>15323</v>
      </c>
      <c r="BN831">
        <v>28040099</v>
      </c>
      <c r="BO831" t="s">
        <v>74</v>
      </c>
      <c r="BP831" t="s">
        <v>74</v>
      </c>
      <c r="BQ831" t="s">
        <v>74</v>
      </c>
      <c r="BR831" t="s">
        <v>104</v>
      </c>
      <c r="BS831" t="s">
        <v>15340</v>
      </c>
      <c r="BT831" t="str">
        <f>HYPERLINK("https%3A%2F%2Fwww.webofscience.com%2Fwos%2Fwoscc%2Ffull-record%2FWOS:000330497500012","View Full Record in Web of Science")</f>
        <v>View Full Record in Web of Science</v>
      </c>
    </row>
    <row r="832" spans="1:72" x14ac:dyDescent="0.15">
      <c r="A832" t="s">
        <v>72</v>
      </c>
      <c r="B832" t="s">
        <v>15341</v>
      </c>
      <c r="C832" t="s">
        <v>74</v>
      </c>
      <c r="D832" t="s">
        <v>74</v>
      </c>
      <c r="E832" t="s">
        <v>74</v>
      </c>
      <c r="F832" t="s">
        <v>15342</v>
      </c>
      <c r="G832" t="s">
        <v>74</v>
      </c>
      <c r="H832" t="s">
        <v>74</v>
      </c>
      <c r="I832" t="s">
        <v>15343</v>
      </c>
      <c r="J832" t="s">
        <v>10826</v>
      </c>
      <c r="K832" t="s">
        <v>74</v>
      </c>
      <c r="L832" t="s">
        <v>74</v>
      </c>
      <c r="M832" t="s">
        <v>78</v>
      </c>
      <c r="N832" t="s">
        <v>79</v>
      </c>
      <c r="O832" t="s">
        <v>74</v>
      </c>
      <c r="P832" t="s">
        <v>74</v>
      </c>
      <c r="Q832" t="s">
        <v>74</v>
      </c>
      <c r="R832" t="s">
        <v>74</v>
      </c>
      <c r="S832" t="s">
        <v>74</v>
      </c>
      <c r="T832" t="s">
        <v>15344</v>
      </c>
      <c r="U832" t="s">
        <v>15345</v>
      </c>
      <c r="V832" t="s">
        <v>15346</v>
      </c>
      <c r="W832" t="s">
        <v>15347</v>
      </c>
      <c r="X832" t="s">
        <v>2362</v>
      </c>
      <c r="Y832" t="s">
        <v>15348</v>
      </c>
      <c r="Z832" t="s">
        <v>15349</v>
      </c>
      <c r="AA832" t="s">
        <v>15350</v>
      </c>
      <c r="AB832" t="s">
        <v>15351</v>
      </c>
      <c r="AC832" t="s">
        <v>15352</v>
      </c>
      <c r="AD832" t="s">
        <v>15353</v>
      </c>
      <c r="AE832" t="s">
        <v>15354</v>
      </c>
      <c r="AF832" t="s">
        <v>74</v>
      </c>
      <c r="AG832">
        <v>38</v>
      </c>
      <c r="AH832">
        <v>21</v>
      </c>
      <c r="AI832">
        <v>23</v>
      </c>
      <c r="AJ832">
        <v>1</v>
      </c>
      <c r="AK832">
        <v>100</v>
      </c>
      <c r="AL832" t="s">
        <v>10310</v>
      </c>
      <c r="AM832" t="s">
        <v>10311</v>
      </c>
      <c r="AN832" t="s">
        <v>10312</v>
      </c>
      <c r="AO832" t="s">
        <v>10838</v>
      </c>
      <c r="AP832" t="s">
        <v>10839</v>
      </c>
      <c r="AQ832" t="s">
        <v>74</v>
      </c>
      <c r="AR832" t="s">
        <v>10840</v>
      </c>
      <c r="AS832" t="s">
        <v>10841</v>
      </c>
      <c r="AT832" t="s">
        <v>74</v>
      </c>
      <c r="AU832">
        <v>2014</v>
      </c>
      <c r="AV832">
        <v>496</v>
      </c>
      <c r="AW832" t="s">
        <v>74</v>
      </c>
      <c r="AX832" t="s">
        <v>74</v>
      </c>
      <c r="AY832" t="s">
        <v>74</v>
      </c>
      <c r="AZ832" t="s">
        <v>74</v>
      </c>
      <c r="BA832" t="s">
        <v>74</v>
      </c>
      <c r="BB832">
        <v>85</v>
      </c>
      <c r="BC832">
        <v>98</v>
      </c>
      <c r="BD832" t="s">
        <v>74</v>
      </c>
      <c r="BE832" t="s">
        <v>15355</v>
      </c>
      <c r="BF832" t="str">
        <f>HYPERLINK("http://dx.doi.org/10.3354/meps10592","http://dx.doi.org/10.3354/meps10592")</f>
        <v>http://dx.doi.org/10.3354/meps10592</v>
      </c>
      <c r="BG832" t="s">
        <v>74</v>
      </c>
      <c r="BH832" t="s">
        <v>74</v>
      </c>
      <c r="BI832">
        <v>14</v>
      </c>
      <c r="BJ832" t="s">
        <v>10843</v>
      </c>
      <c r="BK832" t="s">
        <v>101</v>
      </c>
      <c r="BL832" t="s">
        <v>10844</v>
      </c>
      <c r="BM832" t="s">
        <v>15356</v>
      </c>
      <c r="BN832" t="s">
        <v>74</v>
      </c>
      <c r="BO832" t="s">
        <v>200</v>
      </c>
      <c r="BP832" t="s">
        <v>74</v>
      </c>
      <c r="BQ832" t="s">
        <v>74</v>
      </c>
      <c r="BR832" t="s">
        <v>104</v>
      </c>
      <c r="BS832" t="s">
        <v>15357</v>
      </c>
      <c r="BT832" t="str">
        <f>HYPERLINK("https%3A%2F%2Fwww.webofscience.com%2Fwos%2Fwoscc%2Ffull-record%2FWOS:000330356500007","View Full Record in Web of Science")</f>
        <v>View Full Record in Web of Science</v>
      </c>
    </row>
    <row r="833" spans="1:72" x14ac:dyDescent="0.15">
      <c r="A833" t="s">
        <v>72</v>
      </c>
      <c r="B833" t="s">
        <v>15358</v>
      </c>
      <c r="C833" t="s">
        <v>74</v>
      </c>
      <c r="D833" t="s">
        <v>74</v>
      </c>
      <c r="E833" t="s">
        <v>74</v>
      </c>
      <c r="F833" t="s">
        <v>15359</v>
      </c>
      <c r="G833" t="s">
        <v>74</v>
      </c>
      <c r="H833" t="s">
        <v>74</v>
      </c>
      <c r="I833" t="s">
        <v>15360</v>
      </c>
      <c r="J833" t="s">
        <v>15361</v>
      </c>
      <c r="K833" t="s">
        <v>74</v>
      </c>
      <c r="L833" t="s">
        <v>74</v>
      </c>
      <c r="M833" t="s">
        <v>78</v>
      </c>
      <c r="N833" t="s">
        <v>79</v>
      </c>
      <c r="O833" t="s">
        <v>74</v>
      </c>
      <c r="P833" t="s">
        <v>74</v>
      </c>
      <c r="Q833" t="s">
        <v>74</v>
      </c>
      <c r="R833" t="s">
        <v>74</v>
      </c>
      <c r="S833" t="s">
        <v>74</v>
      </c>
      <c r="T833" t="s">
        <v>15362</v>
      </c>
      <c r="U833" t="s">
        <v>15363</v>
      </c>
      <c r="V833" t="s">
        <v>15364</v>
      </c>
      <c r="W833" t="s">
        <v>15365</v>
      </c>
      <c r="X833" t="s">
        <v>15366</v>
      </c>
      <c r="Y833" t="s">
        <v>15367</v>
      </c>
      <c r="Z833" t="s">
        <v>15368</v>
      </c>
      <c r="AA833" t="s">
        <v>15369</v>
      </c>
      <c r="AB833" t="s">
        <v>15370</v>
      </c>
      <c r="AC833" t="s">
        <v>15371</v>
      </c>
      <c r="AD833" t="s">
        <v>15372</v>
      </c>
      <c r="AE833" t="s">
        <v>15373</v>
      </c>
      <c r="AF833" t="s">
        <v>74</v>
      </c>
      <c r="AG833">
        <v>36</v>
      </c>
      <c r="AH833">
        <v>21</v>
      </c>
      <c r="AI833">
        <v>24</v>
      </c>
      <c r="AJ833">
        <v>1</v>
      </c>
      <c r="AK833">
        <v>49</v>
      </c>
      <c r="AL833" t="s">
        <v>11477</v>
      </c>
      <c r="AM833" t="s">
        <v>11478</v>
      </c>
      <c r="AN833" t="s">
        <v>11479</v>
      </c>
      <c r="AO833" t="s">
        <v>15374</v>
      </c>
      <c r="AP833" t="s">
        <v>74</v>
      </c>
      <c r="AQ833" t="s">
        <v>74</v>
      </c>
      <c r="AR833" t="s">
        <v>15375</v>
      </c>
      <c r="AS833" t="s">
        <v>15376</v>
      </c>
      <c r="AT833" t="s">
        <v>74</v>
      </c>
      <c r="AU833">
        <v>2014</v>
      </c>
      <c r="AV833">
        <v>169</v>
      </c>
      <c r="AW833" t="s">
        <v>15377</v>
      </c>
      <c r="AX833" t="s">
        <v>74</v>
      </c>
      <c r="AY833" t="s">
        <v>74</v>
      </c>
      <c r="AZ833" t="s">
        <v>74</v>
      </c>
      <c r="BA833" t="s">
        <v>74</v>
      </c>
      <c r="BB833">
        <v>179</v>
      </c>
      <c r="BC833">
        <v>184</v>
      </c>
      <c r="BD833" t="s">
        <v>74</v>
      </c>
      <c r="BE833" t="s">
        <v>15378</v>
      </c>
      <c r="BF833" t="str">
        <f>HYPERLINK("http://dx.doi.org/10.1016/j.micres.2013.06.012","http://dx.doi.org/10.1016/j.micres.2013.06.012")</f>
        <v>http://dx.doi.org/10.1016/j.micres.2013.06.012</v>
      </c>
      <c r="BG833" t="s">
        <v>74</v>
      </c>
      <c r="BH833" t="s">
        <v>74</v>
      </c>
      <c r="BI833">
        <v>6</v>
      </c>
      <c r="BJ833" t="s">
        <v>3624</v>
      </c>
      <c r="BK833" t="s">
        <v>101</v>
      </c>
      <c r="BL833" t="s">
        <v>3624</v>
      </c>
      <c r="BM833" t="s">
        <v>15379</v>
      </c>
      <c r="BN833">
        <v>23890723</v>
      </c>
      <c r="BO833" t="s">
        <v>1244</v>
      </c>
      <c r="BP833" t="s">
        <v>74</v>
      </c>
      <c r="BQ833" t="s">
        <v>74</v>
      </c>
      <c r="BR833" t="s">
        <v>104</v>
      </c>
      <c r="BS833" t="s">
        <v>15380</v>
      </c>
      <c r="BT833" t="str">
        <f>HYPERLINK("https%3A%2F%2Fwww.webofscience.com%2Fwos%2Fwoscc%2Ffull-record%2FWOS:000330335600009","View Full Record in Web of Science")</f>
        <v>View Full Record in Web of Science</v>
      </c>
    </row>
    <row r="834" spans="1:72" x14ac:dyDescent="0.15">
      <c r="A834" t="s">
        <v>72</v>
      </c>
      <c r="B834" t="s">
        <v>15381</v>
      </c>
      <c r="C834" t="s">
        <v>74</v>
      </c>
      <c r="D834" t="s">
        <v>74</v>
      </c>
      <c r="E834" t="s">
        <v>74</v>
      </c>
      <c r="F834" t="s">
        <v>15382</v>
      </c>
      <c r="G834" t="s">
        <v>74</v>
      </c>
      <c r="H834" t="s">
        <v>74</v>
      </c>
      <c r="I834" t="s">
        <v>15383</v>
      </c>
      <c r="J834" t="s">
        <v>15384</v>
      </c>
      <c r="K834" t="s">
        <v>74</v>
      </c>
      <c r="L834" t="s">
        <v>74</v>
      </c>
      <c r="M834" t="s">
        <v>78</v>
      </c>
      <c r="N834" t="s">
        <v>79</v>
      </c>
      <c r="O834" t="s">
        <v>74</v>
      </c>
      <c r="P834" t="s">
        <v>74</v>
      </c>
      <c r="Q834" t="s">
        <v>74</v>
      </c>
      <c r="R834" t="s">
        <v>74</v>
      </c>
      <c r="S834" t="s">
        <v>74</v>
      </c>
      <c r="T834" t="s">
        <v>15385</v>
      </c>
      <c r="U834" t="s">
        <v>15386</v>
      </c>
      <c r="V834" t="s">
        <v>15387</v>
      </c>
      <c r="W834" t="s">
        <v>15388</v>
      </c>
      <c r="X834" t="s">
        <v>15389</v>
      </c>
      <c r="Y834" t="s">
        <v>15390</v>
      </c>
      <c r="Z834" t="s">
        <v>15391</v>
      </c>
      <c r="AA834" t="s">
        <v>74</v>
      </c>
      <c r="AB834" t="s">
        <v>74</v>
      </c>
      <c r="AC834" t="s">
        <v>15392</v>
      </c>
      <c r="AD834" t="s">
        <v>15393</v>
      </c>
      <c r="AE834" t="s">
        <v>15394</v>
      </c>
      <c r="AF834" t="s">
        <v>74</v>
      </c>
      <c r="AG834">
        <v>22</v>
      </c>
      <c r="AH834">
        <v>22</v>
      </c>
      <c r="AI834">
        <v>26</v>
      </c>
      <c r="AJ834">
        <v>2</v>
      </c>
      <c r="AK834">
        <v>32</v>
      </c>
      <c r="AL834" t="s">
        <v>145</v>
      </c>
      <c r="AM834" t="s">
        <v>92</v>
      </c>
      <c r="AN834" t="s">
        <v>472</v>
      </c>
      <c r="AO834" t="s">
        <v>15395</v>
      </c>
      <c r="AP834" t="s">
        <v>15396</v>
      </c>
      <c r="AQ834" t="s">
        <v>74</v>
      </c>
      <c r="AR834" t="s">
        <v>15397</v>
      </c>
      <c r="AS834" t="s">
        <v>15398</v>
      </c>
      <c r="AT834" t="s">
        <v>13186</v>
      </c>
      <c r="AU834">
        <v>2014</v>
      </c>
      <c r="AV834">
        <v>33</v>
      </c>
      <c r="AW834">
        <v>1</v>
      </c>
      <c r="AX834" t="s">
        <v>74</v>
      </c>
      <c r="AY834" t="s">
        <v>74</v>
      </c>
      <c r="AZ834" t="s">
        <v>74</v>
      </c>
      <c r="BA834" t="s">
        <v>74</v>
      </c>
      <c r="BB834">
        <v>42</v>
      </c>
      <c r="BC834">
        <v>47</v>
      </c>
      <c r="BD834" t="s">
        <v>74</v>
      </c>
      <c r="BE834" t="s">
        <v>15399</v>
      </c>
      <c r="BF834" t="str">
        <f>HYPERLINK("http://dx.doi.org/10.1007/s13131-014-0421-x","http://dx.doi.org/10.1007/s13131-014-0421-x")</f>
        <v>http://dx.doi.org/10.1007/s13131-014-0421-x</v>
      </c>
      <c r="BG834" t="s">
        <v>74</v>
      </c>
      <c r="BH834" t="s">
        <v>74</v>
      </c>
      <c r="BI834">
        <v>6</v>
      </c>
      <c r="BJ834" t="s">
        <v>785</v>
      </c>
      <c r="BK834" t="s">
        <v>101</v>
      </c>
      <c r="BL834" t="s">
        <v>785</v>
      </c>
      <c r="BM834" t="s">
        <v>15400</v>
      </c>
      <c r="BN834" t="s">
        <v>74</v>
      </c>
      <c r="BO834" t="s">
        <v>74</v>
      </c>
      <c r="BP834" t="s">
        <v>74</v>
      </c>
      <c r="BQ834" t="s">
        <v>74</v>
      </c>
      <c r="BR834" t="s">
        <v>104</v>
      </c>
      <c r="BS834" t="s">
        <v>15401</v>
      </c>
      <c r="BT834" t="str">
        <f>HYPERLINK("https%3A%2F%2Fwww.webofscience.com%2Fwos%2Fwoscc%2Ffull-record%2FWOS:000330092300005","View Full Record in Web of Science")</f>
        <v>View Full Record in Web of Science</v>
      </c>
    </row>
    <row r="835" spans="1:72" x14ac:dyDescent="0.15">
      <c r="A835" t="s">
        <v>72</v>
      </c>
      <c r="B835" t="s">
        <v>15402</v>
      </c>
      <c r="C835" t="s">
        <v>74</v>
      </c>
      <c r="D835" t="s">
        <v>74</v>
      </c>
      <c r="E835" t="s">
        <v>74</v>
      </c>
      <c r="F835" t="s">
        <v>15403</v>
      </c>
      <c r="G835" t="s">
        <v>74</v>
      </c>
      <c r="H835" t="s">
        <v>74</v>
      </c>
      <c r="I835" t="s">
        <v>15404</v>
      </c>
      <c r="J835" t="s">
        <v>11305</v>
      </c>
      <c r="K835" t="s">
        <v>74</v>
      </c>
      <c r="L835" t="s">
        <v>74</v>
      </c>
      <c r="M835" t="s">
        <v>78</v>
      </c>
      <c r="N835" t="s">
        <v>79</v>
      </c>
      <c r="O835" t="s">
        <v>74</v>
      </c>
      <c r="P835" t="s">
        <v>74</v>
      </c>
      <c r="Q835" t="s">
        <v>74</v>
      </c>
      <c r="R835" t="s">
        <v>74</v>
      </c>
      <c r="S835" t="s">
        <v>74</v>
      </c>
      <c r="T835" t="s">
        <v>74</v>
      </c>
      <c r="U835" t="s">
        <v>15405</v>
      </c>
      <c r="V835" t="s">
        <v>15406</v>
      </c>
      <c r="W835" t="s">
        <v>15407</v>
      </c>
      <c r="X835" t="s">
        <v>15408</v>
      </c>
      <c r="Y835" t="s">
        <v>15409</v>
      </c>
      <c r="Z835" t="s">
        <v>15410</v>
      </c>
      <c r="AA835" t="s">
        <v>74</v>
      </c>
      <c r="AB835" t="s">
        <v>15411</v>
      </c>
      <c r="AC835" t="s">
        <v>15412</v>
      </c>
      <c r="AD835" t="s">
        <v>15413</v>
      </c>
      <c r="AE835" t="s">
        <v>15414</v>
      </c>
      <c r="AF835" t="s">
        <v>74</v>
      </c>
      <c r="AG835">
        <v>54</v>
      </c>
      <c r="AH835">
        <v>31</v>
      </c>
      <c r="AI835">
        <v>35</v>
      </c>
      <c r="AJ835">
        <v>0</v>
      </c>
      <c r="AK835">
        <v>42</v>
      </c>
      <c r="AL835" t="s">
        <v>1463</v>
      </c>
      <c r="AM835" t="s">
        <v>1464</v>
      </c>
      <c r="AN835" t="s">
        <v>1465</v>
      </c>
      <c r="AO835" t="s">
        <v>11316</v>
      </c>
      <c r="AP835" t="s">
        <v>11317</v>
      </c>
      <c r="AQ835" t="s">
        <v>74</v>
      </c>
      <c r="AR835" t="s">
        <v>11305</v>
      </c>
      <c r="AS835" t="s">
        <v>11318</v>
      </c>
      <c r="AT835" t="s">
        <v>74</v>
      </c>
      <c r="AU835">
        <v>2014</v>
      </c>
      <c r="AV835">
        <v>11</v>
      </c>
      <c r="AW835">
        <v>1</v>
      </c>
      <c r="AX835" t="s">
        <v>74</v>
      </c>
      <c r="AY835" t="s">
        <v>74</v>
      </c>
      <c r="AZ835" t="s">
        <v>74</v>
      </c>
      <c r="BA835" t="s">
        <v>74</v>
      </c>
      <c r="BB835">
        <v>57</v>
      </c>
      <c r="BC835">
        <v>73</v>
      </c>
      <c r="BD835" t="s">
        <v>74</v>
      </c>
      <c r="BE835" t="s">
        <v>15415</v>
      </c>
      <c r="BF835" t="str">
        <f>HYPERLINK("http://dx.doi.org/10.5194/bg-11-57-2014","http://dx.doi.org/10.5194/bg-11-57-2014")</f>
        <v>http://dx.doi.org/10.5194/bg-11-57-2014</v>
      </c>
      <c r="BG835" t="s">
        <v>74</v>
      </c>
      <c r="BH835" t="s">
        <v>74</v>
      </c>
      <c r="BI835">
        <v>17</v>
      </c>
      <c r="BJ835" t="s">
        <v>2923</v>
      </c>
      <c r="BK835" t="s">
        <v>101</v>
      </c>
      <c r="BL835" t="s">
        <v>357</v>
      </c>
      <c r="BM835" t="s">
        <v>15416</v>
      </c>
      <c r="BN835" t="s">
        <v>74</v>
      </c>
      <c r="BO835" t="s">
        <v>6156</v>
      </c>
      <c r="BP835" t="s">
        <v>74</v>
      </c>
      <c r="BQ835" t="s">
        <v>74</v>
      </c>
      <c r="BR835" t="s">
        <v>104</v>
      </c>
      <c r="BS835" t="s">
        <v>15417</v>
      </c>
      <c r="BT835" t="str">
        <f>HYPERLINK("https%3A%2F%2Fwww.webofscience.com%2Fwos%2Fwoscc%2Ffull-record%2FWOS:000329930700004","View Full Record in Web of Science")</f>
        <v>View Full Record in Web of Science</v>
      </c>
    </row>
    <row r="836" spans="1:72" x14ac:dyDescent="0.15">
      <c r="A836" t="s">
        <v>72</v>
      </c>
      <c r="B836" t="s">
        <v>15418</v>
      </c>
      <c r="C836" t="s">
        <v>74</v>
      </c>
      <c r="D836" t="s">
        <v>74</v>
      </c>
      <c r="E836" t="s">
        <v>74</v>
      </c>
      <c r="F836" t="s">
        <v>15419</v>
      </c>
      <c r="G836" t="s">
        <v>74</v>
      </c>
      <c r="H836" t="s">
        <v>74</v>
      </c>
      <c r="I836" t="s">
        <v>15420</v>
      </c>
      <c r="J836" t="s">
        <v>15421</v>
      </c>
      <c r="K836" t="s">
        <v>74</v>
      </c>
      <c r="L836" t="s">
        <v>74</v>
      </c>
      <c r="M836" t="s">
        <v>78</v>
      </c>
      <c r="N836" t="s">
        <v>79</v>
      </c>
      <c r="O836" t="s">
        <v>74</v>
      </c>
      <c r="P836" t="s">
        <v>74</v>
      </c>
      <c r="Q836" t="s">
        <v>74</v>
      </c>
      <c r="R836" t="s">
        <v>74</v>
      </c>
      <c r="S836" t="s">
        <v>74</v>
      </c>
      <c r="T836" t="s">
        <v>15422</v>
      </c>
      <c r="U836" t="s">
        <v>11598</v>
      </c>
      <c r="V836" t="s">
        <v>15423</v>
      </c>
      <c r="W836" t="s">
        <v>15424</v>
      </c>
      <c r="X836" t="s">
        <v>15425</v>
      </c>
      <c r="Y836" t="s">
        <v>15426</v>
      </c>
      <c r="Z836" t="s">
        <v>15427</v>
      </c>
      <c r="AA836" t="s">
        <v>15428</v>
      </c>
      <c r="AB836" t="s">
        <v>15429</v>
      </c>
      <c r="AC836" t="s">
        <v>15430</v>
      </c>
      <c r="AD836" t="s">
        <v>15431</v>
      </c>
      <c r="AE836" t="s">
        <v>15432</v>
      </c>
      <c r="AF836" t="s">
        <v>74</v>
      </c>
      <c r="AG836">
        <v>20</v>
      </c>
      <c r="AH836">
        <v>30</v>
      </c>
      <c r="AI836">
        <v>33</v>
      </c>
      <c r="AJ836">
        <v>2</v>
      </c>
      <c r="AK836">
        <v>31</v>
      </c>
      <c r="AL836" t="s">
        <v>2597</v>
      </c>
      <c r="AM836" t="s">
        <v>2598</v>
      </c>
      <c r="AN836" t="s">
        <v>2599</v>
      </c>
      <c r="AO836" t="s">
        <v>15433</v>
      </c>
      <c r="AP836" t="s">
        <v>74</v>
      </c>
      <c r="AQ836" t="s">
        <v>74</v>
      </c>
      <c r="AR836" t="s">
        <v>15434</v>
      </c>
      <c r="AS836" t="s">
        <v>15435</v>
      </c>
      <c r="AT836" t="s">
        <v>13186</v>
      </c>
      <c r="AU836">
        <v>2014</v>
      </c>
      <c r="AV836">
        <v>4</v>
      </c>
      <c r="AW836">
        <v>1</v>
      </c>
      <c r="AX836" t="s">
        <v>74</v>
      </c>
      <c r="AY836" t="s">
        <v>74</v>
      </c>
      <c r="AZ836" t="s">
        <v>74</v>
      </c>
      <c r="BA836" t="s">
        <v>74</v>
      </c>
      <c r="BB836">
        <v>86</v>
      </c>
      <c r="BC836">
        <v>100</v>
      </c>
      <c r="BD836" t="s">
        <v>74</v>
      </c>
      <c r="BE836" t="s">
        <v>15436</v>
      </c>
      <c r="BF836" t="str">
        <f>HYPERLINK("http://dx.doi.org/10.1109/TTHZ.2013.2294018","http://dx.doi.org/10.1109/TTHZ.2013.2294018")</f>
        <v>http://dx.doi.org/10.1109/TTHZ.2013.2294018</v>
      </c>
      <c r="BG836" t="s">
        <v>74</v>
      </c>
      <c r="BH836" t="s">
        <v>74</v>
      </c>
      <c r="BI836">
        <v>15</v>
      </c>
      <c r="BJ836" t="s">
        <v>15437</v>
      </c>
      <c r="BK836" t="s">
        <v>101</v>
      </c>
      <c r="BL836" t="s">
        <v>15438</v>
      </c>
      <c r="BM836" t="s">
        <v>15439</v>
      </c>
      <c r="BN836" t="s">
        <v>74</v>
      </c>
      <c r="BO836" t="s">
        <v>1371</v>
      </c>
      <c r="BP836" t="s">
        <v>74</v>
      </c>
      <c r="BQ836" t="s">
        <v>74</v>
      </c>
      <c r="BR836" t="s">
        <v>104</v>
      </c>
      <c r="BS836" t="s">
        <v>15440</v>
      </c>
      <c r="BT836" t="str">
        <f>HYPERLINK("https%3A%2F%2Fwww.webofscience.com%2Fwos%2Fwoscc%2Ffull-record%2FWOS:000330171100012","View Full Record in Web of Science")</f>
        <v>View Full Record in Web of Science</v>
      </c>
    </row>
    <row r="837" spans="1:72" x14ac:dyDescent="0.15">
      <c r="A837" t="s">
        <v>72</v>
      </c>
      <c r="B837" t="s">
        <v>15441</v>
      </c>
      <c r="C837" t="s">
        <v>74</v>
      </c>
      <c r="D837" t="s">
        <v>74</v>
      </c>
      <c r="E837" t="s">
        <v>74</v>
      </c>
      <c r="F837" t="s">
        <v>15442</v>
      </c>
      <c r="G837" t="s">
        <v>74</v>
      </c>
      <c r="H837" t="s">
        <v>74</v>
      </c>
      <c r="I837" t="s">
        <v>15443</v>
      </c>
      <c r="J837" t="s">
        <v>889</v>
      </c>
      <c r="K837" t="s">
        <v>74</v>
      </c>
      <c r="L837" t="s">
        <v>74</v>
      </c>
      <c r="M837" t="s">
        <v>78</v>
      </c>
      <c r="N837" t="s">
        <v>79</v>
      </c>
      <c r="O837" t="s">
        <v>74</v>
      </c>
      <c r="P837" t="s">
        <v>74</v>
      </c>
      <c r="Q837" t="s">
        <v>74</v>
      </c>
      <c r="R837" t="s">
        <v>74</v>
      </c>
      <c r="S837" t="s">
        <v>74</v>
      </c>
      <c r="T837" t="s">
        <v>15444</v>
      </c>
      <c r="U837" t="s">
        <v>15445</v>
      </c>
      <c r="V837" t="s">
        <v>15446</v>
      </c>
      <c r="W837" t="s">
        <v>15447</v>
      </c>
      <c r="X837" t="s">
        <v>15448</v>
      </c>
      <c r="Y837" t="s">
        <v>15449</v>
      </c>
      <c r="Z837" t="s">
        <v>15450</v>
      </c>
      <c r="AA837" t="s">
        <v>15451</v>
      </c>
      <c r="AB837" t="s">
        <v>15452</v>
      </c>
      <c r="AC837" t="s">
        <v>15453</v>
      </c>
      <c r="AD837" t="s">
        <v>15454</v>
      </c>
      <c r="AE837" t="s">
        <v>15455</v>
      </c>
      <c r="AF837" t="s">
        <v>74</v>
      </c>
      <c r="AG837">
        <v>68</v>
      </c>
      <c r="AH837">
        <v>17</v>
      </c>
      <c r="AI837">
        <v>18</v>
      </c>
      <c r="AJ837">
        <v>0</v>
      </c>
      <c r="AK837">
        <v>13</v>
      </c>
      <c r="AL837" t="s">
        <v>652</v>
      </c>
      <c r="AM837" t="s">
        <v>653</v>
      </c>
      <c r="AN837" t="s">
        <v>654</v>
      </c>
      <c r="AO837" t="s">
        <v>904</v>
      </c>
      <c r="AP837" t="s">
        <v>905</v>
      </c>
      <c r="AQ837" t="s">
        <v>74</v>
      </c>
      <c r="AR837" t="s">
        <v>906</v>
      </c>
      <c r="AS837" t="s">
        <v>907</v>
      </c>
      <c r="AT837" t="s">
        <v>13186</v>
      </c>
      <c r="AU837">
        <v>2014</v>
      </c>
      <c r="AV837">
        <v>85</v>
      </c>
      <c r="AW837" t="s">
        <v>74</v>
      </c>
      <c r="AX837" t="s">
        <v>74</v>
      </c>
      <c r="AY837" t="s">
        <v>74</v>
      </c>
      <c r="AZ837" t="s">
        <v>74</v>
      </c>
      <c r="BA837" t="s">
        <v>74</v>
      </c>
      <c r="BB837">
        <v>1</v>
      </c>
      <c r="BC837">
        <v>17</v>
      </c>
      <c r="BD837" t="s">
        <v>74</v>
      </c>
      <c r="BE837" t="s">
        <v>15456</v>
      </c>
      <c r="BF837" t="str">
        <f>HYPERLINK("http://dx.doi.org/10.1016/j.seares.2013.09.003","http://dx.doi.org/10.1016/j.seares.2013.09.003")</f>
        <v>http://dx.doi.org/10.1016/j.seares.2013.09.003</v>
      </c>
      <c r="BG837" t="s">
        <v>74</v>
      </c>
      <c r="BH837" t="s">
        <v>74</v>
      </c>
      <c r="BI837">
        <v>17</v>
      </c>
      <c r="BJ837" t="s">
        <v>909</v>
      </c>
      <c r="BK837" t="s">
        <v>101</v>
      </c>
      <c r="BL837" t="s">
        <v>909</v>
      </c>
      <c r="BM837" t="s">
        <v>15457</v>
      </c>
      <c r="BN837" t="s">
        <v>74</v>
      </c>
      <c r="BO837" t="s">
        <v>234</v>
      </c>
      <c r="BP837" t="s">
        <v>74</v>
      </c>
      <c r="BQ837" t="s">
        <v>74</v>
      </c>
      <c r="BR837" t="s">
        <v>104</v>
      </c>
      <c r="BS837" t="s">
        <v>15458</v>
      </c>
      <c r="BT837" t="str">
        <f>HYPERLINK("https%3A%2F%2Fwww.webofscience.com%2Fwos%2Fwoscc%2Ffull-record%2FWOS:000329884700001","View Full Record in Web of Science")</f>
        <v>View Full Record in Web of Science</v>
      </c>
    </row>
    <row r="838" spans="1:72" x14ac:dyDescent="0.15">
      <c r="A838" t="s">
        <v>72</v>
      </c>
      <c r="B838" t="s">
        <v>15459</v>
      </c>
      <c r="C838" t="s">
        <v>74</v>
      </c>
      <c r="D838" t="s">
        <v>74</v>
      </c>
      <c r="E838" t="s">
        <v>74</v>
      </c>
      <c r="F838" t="s">
        <v>15460</v>
      </c>
      <c r="G838" t="s">
        <v>74</v>
      </c>
      <c r="H838" t="s">
        <v>74</v>
      </c>
      <c r="I838" t="s">
        <v>15461</v>
      </c>
      <c r="J838" t="s">
        <v>889</v>
      </c>
      <c r="K838" t="s">
        <v>74</v>
      </c>
      <c r="L838" t="s">
        <v>74</v>
      </c>
      <c r="M838" t="s">
        <v>78</v>
      </c>
      <c r="N838" t="s">
        <v>79</v>
      </c>
      <c r="O838" t="s">
        <v>74</v>
      </c>
      <c r="P838" t="s">
        <v>74</v>
      </c>
      <c r="Q838" t="s">
        <v>74</v>
      </c>
      <c r="R838" t="s">
        <v>74</v>
      </c>
      <c r="S838" t="s">
        <v>74</v>
      </c>
      <c r="T838" t="s">
        <v>15462</v>
      </c>
      <c r="U838" t="s">
        <v>15463</v>
      </c>
      <c r="V838" t="s">
        <v>15464</v>
      </c>
      <c r="W838" t="s">
        <v>15465</v>
      </c>
      <c r="X838" t="s">
        <v>15466</v>
      </c>
      <c r="Y838" t="s">
        <v>15467</v>
      </c>
      <c r="Z838" t="s">
        <v>15468</v>
      </c>
      <c r="AA838" t="s">
        <v>74</v>
      </c>
      <c r="AB838" t="s">
        <v>15469</v>
      </c>
      <c r="AC838" t="s">
        <v>15470</v>
      </c>
      <c r="AD838" t="s">
        <v>15471</v>
      </c>
      <c r="AE838" t="s">
        <v>15472</v>
      </c>
      <c r="AF838" t="s">
        <v>74</v>
      </c>
      <c r="AG838">
        <v>93</v>
      </c>
      <c r="AH838">
        <v>47</v>
      </c>
      <c r="AI838">
        <v>51</v>
      </c>
      <c r="AJ838">
        <v>0</v>
      </c>
      <c r="AK838">
        <v>48</v>
      </c>
      <c r="AL838" t="s">
        <v>902</v>
      </c>
      <c r="AM838" t="s">
        <v>653</v>
      </c>
      <c r="AN838" t="s">
        <v>903</v>
      </c>
      <c r="AO838" t="s">
        <v>904</v>
      </c>
      <c r="AP838" t="s">
        <v>905</v>
      </c>
      <c r="AQ838" t="s">
        <v>74</v>
      </c>
      <c r="AR838" t="s">
        <v>906</v>
      </c>
      <c r="AS838" t="s">
        <v>907</v>
      </c>
      <c r="AT838" t="s">
        <v>13186</v>
      </c>
      <c r="AU838">
        <v>2014</v>
      </c>
      <c r="AV838">
        <v>85</v>
      </c>
      <c r="AW838" t="s">
        <v>74</v>
      </c>
      <c r="AX838" t="s">
        <v>74</v>
      </c>
      <c r="AY838" t="s">
        <v>74</v>
      </c>
      <c r="AZ838" t="s">
        <v>74</v>
      </c>
      <c r="BA838" t="s">
        <v>74</v>
      </c>
      <c r="BB838">
        <v>186</v>
      </c>
      <c r="BC838">
        <v>196</v>
      </c>
      <c r="BD838" t="s">
        <v>74</v>
      </c>
      <c r="BE838" t="s">
        <v>15473</v>
      </c>
      <c r="BF838" t="str">
        <f>HYPERLINK("http://dx.doi.org/10.1016/j.seares.2013.04.018","http://dx.doi.org/10.1016/j.seares.2013.04.018")</f>
        <v>http://dx.doi.org/10.1016/j.seares.2013.04.018</v>
      </c>
      <c r="BG838" t="s">
        <v>74</v>
      </c>
      <c r="BH838" t="s">
        <v>74</v>
      </c>
      <c r="BI838">
        <v>11</v>
      </c>
      <c r="BJ838" t="s">
        <v>909</v>
      </c>
      <c r="BK838" t="s">
        <v>101</v>
      </c>
      <c r="BL838" t="s">
        <v>909</v>
      </c>
      <c r="BM838" t="s">
        <v>15457</v>
      </c>
      <c r="BN838" t="s">
        <v>74</v>
      </c>
      <c r="BO838" t="s">
        <v>74</v>
      </c>
      <c r="BP838" t="s">
        <v>74</v>
      </c>
      <c r="BQ838" t="s">
        <v>74</v>
      </c>
      <c r="BR838" t="s">
        <v>104</v>
      </c>
      <c r="BS838" t="s">
        <v>15474</v>
      </c>
      <c r="BT838" t="str">
        <f>HYPERLINK("https%3A%2F%2Fwww.webofscience.com%2Fwos%2Fwoscc%2Ffull-record%2FWOS:000329884700018","View Full Record in Web of Science")</f>
        <v>View Full Record in Web of Science</v>
      </c>
    </row>
    <row r="839" spans="1:72" x14ac:dyDescent="0.15">
      <c r="A839" t="s">
        <v>72</v>
      </c>
      <c r="B839" t="s">
        <v>15475</v>
      </c>
      <c r="C839" t="s">
        <v>74</v>
      </c>
      <c r="D839" t="s">
        <v>74</v>
      </c>
      <c r="E839" t="s">
        <v>74</v>
      </c>
      <c r="F839" t="s">
        <v>15476</v>
      </c>
      <c r="G839" t="s">
        <v>74</v>
      </c>
      <c r="H839" t="s">
        <v>74</v>
      </c>
      <c r="I839" t="s">
        <v>15477</v>
      </c>
      <c r="J839" t="s">
        <v>889</v>
      </c>
      <c r="K839" t="s">
        <v>74</v>
      </c>
      <c r="L839" t="s">
        <v>74</v>
      </c>
      <c r="M839" t="s">
        <v>78</v>
      </c>
      <c r="N839" t="s">
        <v>79</v>
      </c>
      <c r="O839" t="s">
        <v>74</v>
      </c>
      <c r="P839" t="s">
        <v>74</v>
      </c>
      <c r="Q839" t="s">
        <v>74</v>
      </c>
      <c r="R839" t="s">
        <v>74</v>
      </c>
      <c r="S839" t="s">
        <v>74</v>
      </c>
      <c r="T839" t="s">
        <v>15478</v>
      </c>
      <c r="U839" t="s">
        <v>15479</v>
      </c>
      <c r="V839" t="s">
        <v>15480</v>
      </c>
      <c r="W839" t="s">
        <v>15481</v>
      </c>
      <c r="X839" t="s">
        <v>15482</v>
      </c>
      <c r="Y839" t="s">
        <v>15483</v>
      </c>
      <c r="Z839" t="s">
        <v>15484</v>
      </c>
      <c r="AA839" t="s">
        <v>74</v>
      </c>
      <c r="AB839" t="s">
        <v>15485</v>
      </c>
      <c r="AC839" t="s">
        <v>15486</v>
      </c>
      <c r="AD839" t="s">
        <v>15487</v>
      </c>
      <c r="AE839" t="s">
        <v>15488</v>
      </c>
      <c r="AF839" t="s">
        <v>74</v>
      </c>
      <c r="AG839">
        <v>108</v>
      </c>
      <c r="AH839">
        <v>35</v>
      </c>
      <c r="AI839">
        <v>39</v>
      </c>
      <c r="AJ839">
        <v>7</v>
      </c>
      <c r="AK839">
        <v>70</v>
      </c>
      <c r="AL839" t="s">
        <v>652</v>
      </c>
      <c r="AM839" t="s">
        <v>653</v>
      </c>
      <c r="AN839" t="s">
        <v>654</v>
      </c>
      <c r="AO839" t="s">
        <v>904</v>
      </c>
      <c r="AP839" t="s">
        <v>905</v>
      </c>
      <c r="AQ839" t="s">
        <v>74</v>
      </c>
      <c r="AR839" t="s">
        <v>906</v>
      </c>
      <c r="AS839" t="s">
        <v>907</v>
      </c>
      <c r="AT839" t="s">
        <v>13186</v>
      </c>
      <c r="AU839">
        <v>2014</v>
      </c>
      <c r="AV839">
        <v>85</v>
      </c>
      <c r="AW839" t="s">
        <v>74</v>
      </c>
      <c r="AX839" t="s">
        <v>74</v>
      </c>
      <c r="AY839" t="s">
        <v>74</v>
      </c>
      <c r="AZ839" t="s">
        <v>74</v>
      </c>
      <c r="BA839" t="s">
        <v>74</v>
      </c>
      <c r="BB839">
        <v>241</v>
      </c>
      <c r="BC839">
        <v>254</v>
      </c>
      <c r="BD839" t="s">
        <v>74</v>
      </c>
      <c r="BE839" t="s">
        <v>15489</v>
      </c>
      <c r="BF839" t="str">
        <f>HYPERLINK("http://dx.doi.org/10.1016/j.seares.2013.05.007","http://dx.doi.org/10.1016/j.seares.2013.05.007")</f>
        <v>http://dx.doi.org/10.1016/j.seares.2013.05.007</v>
      </c>
      <c r="BG839" t="s">
        <v>74</v>
      </c>
      <c r="BH839" t="s">
        <v>74</v>
      </c>
      <c r="BI839">
        <v>14</v>
      </c>
      <c r="BJ839" t="s">
        <v>909</v>
      </c>
      <c r="BK839" t="s">
        <v>101</v>
      </c>
      <c r="BL839" t="s">
        <v>909</v>
      </c>
      <c r="BM839" t="s">
        <v>15457</v>
      </c>
      <c r="BN839" t="s">
        <v>74</v>
      </c>
      <c r="BO839" t="s">
        <v>74</v>
      </c>
      <c r="BP839" t="s">
        <v>74</v>
      </c>
      <c r="BQ839" t="s">
        <v>74</v>
      </c>
      <c r="BR839" t="s">
        <v>104</v>
      </c>
      <c r="BS839" t="s">
        <v>15490</v>
      </c>
      <c r="BT839" t="str">
        <f>HYPERLINK("https%3A%2F%2Fwww.webofscience.com%2Fwos%2Fwoscc%2Ffull-record%2FWOS:000329884700024","View Full Record in Web of Science")</f>
        <v>View Full Record in Web of Science</v>
      </c>
    </row>
    <row r="840" spans="1:72" x14ac:dyDescent="0.15">
      <c r="A840" t="s">
        <v>72</v>
      </c>
      <c r="B840" t="s">
        <v>15491</v>
      </c>
      <c r="C840" t="s">
        <v>74</v>
      </c>
      <c r="D840" t="s">
        <v>74</v>
      </c>
      <c r="E840" t="s">
        <v>74</v>
      </c>
      <c r="F840" t="s">
        <v>15492</v>
      </c>
      <c r="G840" t="s">
        <v>74</v>
      </c>
      <c r="H840" t="s">
        <v>74</v>
      </c>
      <c r="I840" t="s">
        <v>15493</v>
      </c>
      <c r="J840" t="s">
        <v>889</v>
      </c>
      <c r="K840" t="s">
        <v>74</v>
      </c>
      <c r="L840" t="s">
        <v>74</v>
      </c>
      <c r="M840" t="s">
        <v>78</v>
      </c>
      <c r="N840" t="s">
        <v>79</v>
      </c>
      <c r="O840" t="s">
        <v>74</v>
      </c>
      <c r="P840" t="s">
        <v>74</v>
      </c>
      <c r="Q840" t="s">
        <v>74</v>
      </c>
      <c r="R840" t="s">
        <v>74</v>
      </c>
      <c r="S840" t="s">
        <v>74</v>
      </c>
      <c r="T840" t="s">
        <v>15494</v>
      </c>
      <c r="U840" t="s">
        <v>15495</v>
      </c>
      <c r="V840" t="s">
        <v>15496</v>
      </c>
      <c r="W840" t="s">
        <v>15497</v>
      </c>
      <c r="X840" t="s">
        <v>15498</v>
      </c>
      <c r="Y840" t="s">
        <v>15499</v>
      </c>
      <c r="Z840" t="s">
        <v>15500</v>
      </c>
      <c r="AA840" t="s">
        <v>15501</v>
      </c>
      <c r="AB840" t="s">
        <v>15502</v>
      </c>
      <c r="AC840" t="s">
        <v>15503</v>
      </c>
      <c r="AD840" t="s">
        <v>15504</v>
      </c>
      <c r="AE840" t="s">
        <v>15505</v>
      </c>
      <c r="AF840" t="s">
        <v>74</v>
      </c>
      <c r="AG840">
        <v>29</v>
      </c>
      <c r="AH840">
        <v>12</v>
      </c>
      <c r="AI840">
        <v>12</v>
      </c>
      <c r="AJ840">
        <v>0</v>
      </c>
      <c r="AK840">
        <v>35</v>
      </c>
      <c r="AL840" t="s">
        <v>902</v>
      </c>
      <c r="AM840" t="s">
        <v>653</v>
      </c>
      <c r="AN840" t="s">
        <v>903</v>
      </c>
      <c r="AO840" t="s">
        <v>904</v>
      </c>
      <c r="AP840" t="s">
        <v>905</v>
      </c>
      <c r="AQ840" t="s">
        <v>74</v>
      </c>
      <c r="AR840" t="s">
        <v>906</v>
      </c>
      <c r="AS840" t="s">
        <v>907</v>
      </c>
      <c r="AT840" t="s">
        <v>13186</v>
      </c>
      <c r="AU840">
        <v>2014</v>
      </c>
      <c r="AV840">
        <v>85</v>
      </c>
      <c r="AW840" t="s">
        <v>74</v>
      </c>
      <c r="AX840" t="s">
        <v>74</v>
      </c>
      <c r="AY840" t="s">
        <v>74</v>
      </c>
      <c r="AZ840" t="s">
        <v>74</v>
      </c>
      <c r="BA840" t="s">
        <v>74</v>
      </c>
      <c r="BB840">
        <v>542</v>
      </c>
      <c r="BC840">
        <v>546</v>
      </c>
      <c r="BD840" t="s">
        <v>74</v>
      </c>
      <c r="BE840" t="s">
        <v>15506</v>
      </c>
      <c r="BF840" t="str">
        <f>HYPERLINK("http://dx.doi.org/10.1016/j.seares.2013.09.002","http://dx.doi.org/10.1016/j.seares.2013.09.002")</f>
        <v>http://dx.doi.org/10.1016/j.seares.2013.09.002</v>
      </c>
      <c r="BG840" t="s">
        <v>74</v>
      </c>
      <c r="BH840" t="s">
        <v>74</v>
      </c>
      <c r="BI840">
        <v>5</v>
      </c>
      <c r="BJ840" t="s">
        <v>909</v>
      </c>
      <c r="BK840" t="s">
        <v>101</v>
      </c>
      <c r="BL840" t="s">
        <v>909</v>
      </c>
      <c r="BM840" t="s">
        <v>15457</v>
      </c>
      <c r="BN840" t="s">
        <v>74</v>
      </c>
      <c r="BO840" t="s">
        <v>74</v>
      </c>
      <c r="BP840" t="s">
        <v>74</v>
      </c>
      <c r="BQ840" t="s">
        <v>74</v>
      </c>
      <c r="BR840" t="s">
        <v>104</v>
      </c>
      <c r="BS840" t="s">
        <v>15507</v>
      </c>
      <c r="BT840" t="str">
        <f>HYPERLINK("https%3A%2F%2Fwww.webofscience.com%2Fwos%2Fwoscc%2Ffull-record%2FWOS:000329884700056","View Full Record in Web of Science")</f>
        <v>View Full Record in Web of Science</v>
      </c>
    </row>
    <row r="841" spans="1:72" x14ac:dyDescent="0.15">
      <c r="A841" t="s">
        <v>72</v>
      </c>
      <c r="B841" t="s">
        <v>15508</v>
      </c>
      <c r="C841" t="s">
        <v>74</v>
      </c>
      <c r="D841" t="s">
        <v>74</v>
      </c>
      <c r="E841" t="s">
        <v>74</v>
      </c>
      <c r="F841" t="s">
        <v>15509</v>
      </c>
      <c r="G841" t="s">
        <v>74</v>
      </c>
      <c r="H841" t="s">
        <v>74</v>
      </c>
      <c r="I841" t="s">
        <v>15510</v>
      </c>
      <c r="J841" t="s">
        <v>11283</v>
      </c>
      <c r="K841" t="s">
        <v>74</v>
      </c>
      <c r="L841" t="s">
        <v>74</v>
      </c>
      <c r="M841" t="s">
        <v>78</v>
      </c>
      <c r="N841" t="s">
        <v>79</v>
      </c>
      <c r="O841" t="s">
        <v>74</v>
      </c>
      <c r="P841" t="s">
        <v>74</v>
      </c>
      <c r="Q841" t="s">
        <v>74</v>
      </c>
      <c r="R841" t="s">
        <v>74</v>
      </c>
      <c r="S841" t="s">
        <v>74</v>
      </c>
      <c r="T841" t="s">
        <v>74</v>
      </c>
      <c r="U841" t="s">
        <v>15511</v>
      </c>
      <c r="V841" t="s">
        <v>15512</v>
      </c>
      <c r="W841" t="s">
        <v>15513</v>
      </c>
      <c r="X841" t="s">
        <v>15514</v>
      </c>
      <c r="Y841" t="s">
        <v>15515</v>
      </c>
      <c r="Z841" t="s">
        <v>15516</v>
      </c>
      <c r="AA841" t="s">
        <v>15517</v>
      </c>
      <c r="AB841" t="s">
        <v>15518</v>
      </c>
      <c r="AC841" t="s">
        <v>15519</v>
      </c>
      <c r="AD841" t="s">
        <v>15520</v>
      </c>
      <c r="AE841" t="s">
        <v>15521</v>
      </c>
      <c r="AF841" t="s">
        <v>74</v>
      </c>
      <c r="AG841">
        <v>74</v>
      </c>
      <c r="AH841">
        <v>5</v>
      </c>
      <c r="AI841">
        <v>6</v>
      </c>
      <c r="AJ841">
        <v>0</v>
      </c>
      <c r="AK841">
        <v>18</v>
      </c>
      <c r="AL841" t="s">
        <v>1463</v>
      </c>
      <c r="AM841" t="s">
        <v>1464</v>
      </c>
      <c r="AN841" t="s">
        <v>1465</v>
      </c>
      <c r="AO841" t="s">
        <v>11295</v>
      </c>
      <c r="AP841" t="s">
        <v>11296</v>
      </c>
      <c r="AQ841" t="s">
        <v>74</v>
      </c>
      <c r="AR841" t="s">
        <v>11297</v>
      </c>
      <c r="AS841" t="s">
        <v>11298</v>
      </c>
      <c r="AT841" t="s">
        <v>74</v>
      </c>
      <c r="AU841">
        <v>2014</v>
      </c>
      <c r="AV841">
        <v>14</v>
      </c>
      <c r="AW841">
        <v>1</v>
      </c>
      <c r="AX841" t="s">
        <v>74</v>
      </c>
      <c r="AY841" t="s">
        <v>74</v>
      </c>
      <c r="AZ841" t="s">
        <v>74</v>
      </c>
      <c r="BA841" t="s">
        <v>74</v>
      </c>
      <c r="BB841">
        <v>217</v>
      </c>
      <c r="BC841">
        <v>229</v>
      </c>
      <c r="BD841" t="s">
        <v>74</v>
      </c>
      <c r="BE841" t="s">
        <v>15522</v>
      </c>
      <c r="BF841" t="str">
        <f>HYPERLINK("http://dx.doi.org/10.5194/acp-14-217-2014","http://dx.doi.org/10.5194/acp-14-217-2014")</f>
        <v>http://dx.doi.org/10.5194/acp-14-217-2014</v>
      </c>
      <c r="BG841" t="s">
        <v>74</v>
      </c>
      <c r="BH841" t="s">
        <v>74</v>
      </c>
      <c r="BI841">
        <v>13</v>
      </c>
      <c r="BJ841" t="s">
        <v>3817</v>
      </c>
      <c r="BK841" t="s">
        <v>101</v>
      </c>
      <c r="BL841" t="s">
        <v>1081</v>
      </c>
      <c r="BM841" t="s">
        <v>15523</v>
      </c>
      <c r="BN841" t="s">
        <v>74</v>
      </c>
      <c r="BO841" t="s">
        <v>6156</v>
      </c>
      <c r="BP841" t="s">
        <v>74</v>
      </c>
      <c r="BQ841" t="s">
        <v>74</v>
      </c>
      <c r="BR841" t="s">
        <v>104</v>
      </c>
      <c r="BS841" t="s">
        <v>15524</v>
      </c>
      <c r="BT841" t="str">
        <f>HYPERLINK("https%3A%2F%2Fwww.webofscience.com%2Fwos%2Fwoscc%2Ffull-record%2FWOS:000329930600015","View Full Record in Web of Science")</f>
        <v>View Full Record in Web of Science</v>
      </c>
    </row>
    <row r="842" spans="1:72" x14ac:dyDescent="0.15">
      <c r="A842" t="s">
        <v>72</v>
      </c>
      <c r="B842" t="s">
        <v>15525</v>
      </c>
      <c r="C842" t="s">
        <v>74</v>
      </c>
      <c r="D842" t="s">
        <v>74</v>
      </c>
      <c r="E842" t="s">
        <v>74</v>
      </c>
      <c r="F842" t="s">
        <v>15526</v>
      </c>
      <c r="G842" t="s">
        <v>74</v>
      </c>
      <c r="H842" t="s">
        <v>74</v>
      </c>
      <c r="I842" t="s">
        <v>15527</v>
      </c>
      <c r="J842" t="s">
        <v>15528</v>
      </c>
      <c r="K842" t="s">
        <v>74</v>
      </c>
      <c r="L842" t="s">
        <v>74</v>
      </c>
      <c r="M842" t="s">
        <v>78</v>
      </c>
      <c r="N842" t="s">
        <v>79</v>
      </c>
      <c r="O842" t="s">
        <v>74</v>
      </c>
      <c r="P842" t="s">
        <v>74</v>
      </c>
      <c r="Q842" t="s">
        <v>74</v>
      </c>
      <c r="R842" t="s">
        <v>74</v>
      </c>
      <c r="S842" t="s">
        <v>74</v>
      </c>
      <c r="T842" t="s">
        <v>15529</v>
      </c>
      <c r="U842" t="s">
        <v>74</v>
      </c>
      <c r="V842" t="s">
        <v>15530</v>
      </c>
      <c r="W842" t="s">
        <v>15531</v>
      </c>
      <c r="X842" t="s">
        <v>15532</v>
      </c>
      <c r="Y842" t="s">
        <v>15533</v>
      </c>
      <c r="Z842" t="s">
        <v>15534</v>
      </c>
      <c r="AA842" t="s">
        <v>74</v>
      </c>
      <c r="AB842" t="s">
        <v>74</v>
      </c>
      <c r="AC842" t="s">
        <v>15535</v>
      </c>
      <c r="AD842" t="s">
        <v>15536</v>
      </c>
      <c r="AE842" t="s">
        <v>15537</v>
      </c>
      <c r="AF842" t="s">
        <v>74</v>
      </c>
      <c r="AG842">
        <v>9</v>
      </c>
      <c r="AH842">
        <v>2</v>
      </c>
      <c r="AI842">
        <v>2</v>
      </c>
      <c r="AJ842">
        <v>0</v>
      </c>
      <c r="AK842">
        <v>11</v>
      </c>
      <c r="AL842" t="s">
        <v>15538</v>
      </c>
      <c r="AM842" t="s">
        <v>2796</v>
      </c>
      <c r="AN842" t="s">
        <v>15539</v>
      </c>
      <c r="AO842" t="s">
        <v>15540</v>
      </c>
      <c r="AP842" t="s">
        <v>15541</v>
      </c>
      <c r="AQ842" t="s">
        <v>74</v>
      </c>
      <c r="AR842" t="s">
        <v>15542</v>
      </c>
      <c r="AS842" t="s">
        <v>15543</v>
      </c>
      <c r="AT842" t="s">
        <v>13186</v>
      </c>
      <c r="AU842">
        <v>2014</v>
      </c>
      <c r="AV842">
        <v>23</v>
      </c>
      <c r="AW842">
        <v>1</v>
      </c>
      <c r="AX842" t="s">
        <v>74</v>
      </c>
      <c r="AY842" t="s">
        <v>74</v>
      </c>
      <c r="AZ842" t="s">
        <v>74</v>
      </c>
      <c r="BA842" t="s">
        <v>74</v>
      </c>
      <c r="BB842">
        <v>209</v>
      </c>
      <c r="BC842">
        <v>212</v>
      </c>
      <c r="BD842" t="s">
        <v>74</v>
      </c>
      <c r="BE842" t="s">
        <v>74</v>
      </c>
      <c r="BF842" t="s">
        <v>74</v>
      </c>
      <c r="BG842" t="s">
        <v>74</v>
      </c>
      <c r="BH842" t="s">
        <v>74</v>
      </c>
      <c r="BI842">
        <v>4</v>
      </c>
      <c r="BJ842" t="s">
        <v>15544</v>
      </c>
      <c r="BK842" t="s">
        <v>101</v>
      </c>
      <c r="BL842" t="s">
        <v>10576</v>
      </c>
      <c r="BM842" t="s">
        <v>15545</v>
      </c>
      <c r="BN842" t="s">
        <v>74</v>
      </c>
      <c r="BO842" t="s">
        <v>74</v>
      </c>
      <c r="BP842" t="s">
        <v>74</v>
      </c>
      <c r="BQ842" t="s">
        <v>74</v>
      </c>
      <c r="BR842" t="s">
        <v>104</v>
      </c>
      <c r="BS842" t="s">
        <v>15546</v>
      </c>
      <c r="BT842" t="str">
        <f>HYPERLINK("https%3A%2F%2Fwww.webofscience.com%2Fwos%2Fwoscc%2Ffull-record%2FWOS:000330089800039","View Full Record in Web of Science")</f>
        <v>View Full Record in Web of Science</v>
      </c>
    </row>
    <row r="843" spans="1:72" x14ac:dyDescent="0.15">
      <c r="A843" t="s">
        <v>72</v>
      </c>
      <c r="B843" t="s">
        <v>15547</v>
      </c>
      <c r="C843" t="s">
        <v>74</v>
      </c>
      <c r="D843" t="s">
        <v>74</v>
      </c>
      <c r="E843" t="s">
        <v>74</v>
      </c>
      <c r="F843" t="s">
        <v>15548</v>
      </c>
      <c r="G843" t="s">
        <v>74</v>
      </c>
      <c r="H843" t="s">
        <v>74</v>
      </c>
      <c r="I843" t="s">
        <v>15549</v>
      </c>
      <c r="J843" t="s">
        <v>15550</v>
      </c>
      <c r="K843" t="s">
        <v>74</v>
      </c>
      <c r="L843" t="s">
        <v>74</v>
      </c>
      <c r="M843" t="s">
        <v>78</v>
      </c>
      <c r="N843" t="s">
        <v>79</v>
      </c>
      <c r="O843" t="s">
        <v>74</v>
      </c>
      <c r="P843" t="s">
        <v>74</v>
      </c>
      <c r="Q843" t="s">
        <v>74</v>
      </c>
      <c r="R843" t="s">
        <v>74</v>
      </c>
      <c r="S843" t="s">
        <v>74</v>
      </c>
      <c r="T843" t="s">
        <v>15551</v>
      </c>
      <c r="U843" t="s">
        <v>15552</v>
      </c>
      <c r="V843" t="s">
        <v>15553</v>
      </c>
      <c r="W843" t="s">
        <v>15554</v>
      </c>
      <c r="X843" t="s">
        <v>15555</v>
      </c>
      <c r="Y843" t="s">
        <v>15556</v>
      </c>
      <c r="Z843" t="s">
        <v>15557</v>
      </c>
      <c r="AA843" t="s">
        <v>74</v>
      </c>
      <c r="AB843" t="s">
        <v>74</v>
      </c>
      <c r="AC843" t="s">
        <v>15558</v>
      </c>
      <c r="AD843" t="s">
        <v>15558</v>
      </c>
      <c r="AE843" t="s">
        <v>15559</v>
      </c>
      <c r="AF843" t="s">
        <v>74</v>
      </c>
      <c r="AG843">
        <v>51</v>
      </c>
      <c r="AH843">
        <v>12</v>
      </c>
      <c r="AI843">
        <v>14</v>
      </c>
      <c r="AJ843">
        <v>0</v>
      </c>
      <c r="AK843">
        <v>26</v>
      </c>
      <c r="AL843" t="s">
        <v>2996</v>
      </c>
      <c r="AM843" t="s">
        <v>404</v>
      </c>
      <c r="AN843" t="s">
        <v>405</v>
      </c>
      <c r="AO843" t="s">
        <v>15560</v>
      </c>
      <c r="AP843" t="s">
        <v>15561</v>
      </c>
      <c r="AQ843" t="s">
        <v>74</v>
      </c>
      <c r="AR843" t="s">
        <v>15562</v>
      </c>
      <c r="AS843" t="s">
        <v>15563</v>
      </c>
      <c r="AT843" t="s">
        <v>13186</v>
      </c>
      <c r="AU843">
        <v>2014</v>
      </c>
      <c r="AV843">
        <v>9</v>
      </c>
      <c r="AW843">
        <v>1</v>
      </c>
      <c r="AX843" t="s">
        <v>74</v>
      </c>
      <c r="AY843" t="s">
        <v>74</v>
      </c>
      <c r="AZ843" t="s">
        <v>74</v>
      </c>
      <c r="BA843" t="s">
        <v>74</v>
      </c>
      <c r="BB843">
        <v>1</v>
      </c>
      <c r="BC843">
        <v>13</v>
      </c>
      <c r="BD843" t="s">
        <v>74</v>
      </c>
      <c r="BE843" t="s">
        <v>15564</v>
      </c>
      <c r="BF843" t="str">
        <f>HYPERLINK("http://dx.doi.org/10.1111/1749-4877.12011","http://dx.doi.org/10.1111/1749-4877.12011")</f>
        <v>http://dx.doi.org/10.1111/1749-4877.12011</v>
      </c>
      <c r="BG843" t="s">
        <v>74</v>
      </c>
      <c r="BH843" t="s">
        <v>74</v>
      </c>
      <c r="BI843">
        <v>13</v>
      </c>
      <c r="BJ843" t="s">
        <v>384</v>
      </c>
      <c r="BK843" t="s">
        <v>101</v>
      </c>
      <c r="BL843" t="s">
        <v>384</v>
      </c>
      <c r="BM843" t="s">
        <v>15565</v>
      </c>
      <c r="BN843">
        <v>24447657</v>
      </c>
      <c r="BO843" t="s">
        <v>74</v>
      </c>
      <c r="BP843" t="s">
        <v>74</v>
      </c>
      <c r="BQ843" t="s">
        <v>74</v>
      </c>
      <c r="BR843" t="s">
        <v>104</v>
      </c>
      <c r="BS843" t="s">
        <v>15566</v>
      </c>
      <c r="BT843" t="str">
        <f>HYPERLINK("https%3A%2F%2Fwww.webofscience.com%2Fwos%2Fwoscc%2Ffull-record%2FWOS:000329917600002","View Full Record in Web of Science")</f>
        <v>View Full Record in Web of Science</v>
      </c>
    </row>
    <row r="844" spans="1:72" x14ac:dyDescent="0.15">
      <c r="A844" t="s">
        <v>72</v>
      </c>
      <c r="B844" t="s">
        <v>15567</v>
      </c>
      <c r="C844" t="s">
        <v>74</v>
      </c>
      <c r="D844" t="s">
        <v>74</v>
      </c>
      <c r="E844" t="s">
        <v>74</v>
      </c>
      <c r="F844" t="s">
        <v>15568</v>
      </c>
      <c r="G844" t="s">
        <v>74</v>
      </c>
      <c r="H844" t="s">
        <v>74</v>
      </c>
      <c r="I844" t="s">
        <v>15569</v>
      </c>
      <c r="J844" t="s">
        <v>15570</v>
      </c>
      <c r="K844" t="s">
        <v>74</v>
      </c>
      <c r="L844" t="s">
        <v>74</v>
      </c>
      <c r="M844" t="s">
        <v>78</v>
      </c>
      <c r="N844" t="s">
        <v>79</v>
      </c>
      <c r="O844" t="s">
        <v>74</v>
      </c>
      <c r="P844" t="s">
        <v>74</v>
      </c>
      <c r="Q844" t="s">
        <v>74</v>
      </c>
      <c r="R844" t="s">
        <v>74</v>
      </c>
      <c r="S844" t="s">
        <v>74</v>
      </c>
      <c r="T844" t="s">
        <v>15571</v>
      </c>
      <c r="U844" t="s">
        <v>15572</v>
      </c>
      <c r="V844" t="s">
        <v>15573</v>
      </c>
      <c r="W844" t="s">
        <v>15574</v>
      </c>
      <c r="X844" t="s">
        <v>15575</v>
      </c>
      <c r="Y844" t="s">
        <v>15576</v>
      </c>
      <c r="Z844" t="s">
        <v>15577</v>
      </c>
      <c r="AA844" t="s">
        <v>15578</v>
      </c>
      <c r="AB844" t="s">
        <v>15579</v>
      </c>
      <c r="AC844" t="s">
        <v>15580</v>
      </c>
      <c r="AD844" t="s">
        <v>15581</v>
      </c>
      <c r="AE844" t="s">
        <v>15582</v>
      </c>
      <c r="AF844" t="s">
        <v>74</v>
      </c>
      <c r="AG844">
        <v>64</v>
      </c>
      <c r="AH844">
        <v>24</v>
      </c>
      <c r="AI844">
        <v>28</v>
      </c>
      <c r="AJ844">
        <v>0</v>
      </c>
      <c r="AK844">
        <v>90</v>
      </c>
      <c r="AL844" t="s">
        <v>902</v>
      </c>
      <c r="AM844" t="s">
        <v>653</v>
      </c>
      <c r="AN844" t="s">
        <v>903</v>
      </c>
      <c r="AO844" t="s">
        <v>15583</v>
      </c>
      <c r="AP844" t="s">
        <v>15584</v>
      </c>
      <c r="AQ844" t="s">
        <v>74</v>
      </c>
      <c r="AR844" t="s">
        <v>15585</v>
      </c>
      <c r="AS844" t="s">
        <v>15586</v>
      </c>
      <c r="AT844" t="s">
        <v>13186</v>
      </c>
      <c r="AU844">
        <v>2014</v>
      </c>
      <c r="AV844">
        <v>450</v>
      </c>
      <c r="AW844" t="s">
        <v>74</v>
      </c>
      <c r="AX844" t="s">
        <v>74</v>
      </c>
      <c r="AY844" t="s">
        <v>74</v>
      </c>
      <c r="AZ844" t="s">
        <v>660</v>
      </c>
      <c r="BA844" t="s">
        <v>74</v>
      </c>
      <c r="BB844">
        <v>6</v>
      </c>
      <c r="BC844">
        <v>14</v>
      </c>
      <c r="BD844" t="s">
        <v>74</v>
      </c>
      <c r="BE844" t="s">
        <v>15587</v>
      </c>
      <c r="BF844" t="str">
        <f>HYPERLINK("http://dx.doi.org/10.1016/j.jembe.2013.10.014","http://dx.doi.org/10.1016/j.jembe.2013.10.014")</f>
        <v>http://dx.doi.org/10.1016/j.jembe.2013.10.014</v>
      </c>
      <c r="BG844" t="s">
        <v>74</v>
      </c>
      <c r="BH844" t="s">
        <v>74</v>
      </c>
      <c r="BI844">
        <v>9</v>
      </c>
      <c r="BJ844" t="s">
        <v>3795</v>
      </c>
      <c r="BK844" t="s">
        <v>101</v>
      </c>
      <c r="BL844" t="s">
        <v>2115</v>
      </c>
      <c r="BM844" t="s">
        <v>15588</v>
      </c>
      <c r="BN844" t="s">
        <v>74</v>
      </c>
      <c r="BO844" t="s">
        <v>74</v>
      </c>
      <c r="BP844" t="s">
        <v>74</v>
      </c>
      <c r="BQ844" t="s">
        <v>74</v>
      </c>
      <c r="BR844" t="s">
        <v>104</v>
      </c>
      <c r="BS844" t="s">
        <v>15589</v>
      </c>
      <c r="BT844" t="str">
        <f>HYPERLINK("https%3A%2F%2Fwww.webofscience.com%2Fwos%2Fwoscc%2Ffull-record%2FWOS:000330081700002","View Full Record in Web of Science")</f>
        <v>View Full Record in Web of Science</v>
      </c>
    </row>
    <row r="845" spans="1:72" x14ac:dyDescent="0.15">
      <c r="A845" t="s">
        <v>72</v>
      </c>
      <c r="B845" t="s">
        <v>15590</v>
      </c>
      <c r="C845" t="s">
        <v>74</v>
      </c>
      <c r="D845" t="s">
        <v>74</v>
      </c>
      <c r="E845" t="s">
        <v>74</v>
      </c>
      <c r="F845" t="s">
        <v>15591</v>
      </c>
      <c r="G845" t="s">
        <v>74</v>
      </c>
      <c r="H845" t="s">
        <v>74</v>
      </c>
      <c r="I845" t="s">
        <v>15592</v>
      </c>
      <c r="J845" t="s">
        <v>15570</v>
      </c>
      <c r="K845" t="s">
        <v>74</v>
      </c>
      <c r="L845" t="s">
        <v>74</v>
      </c>
      <c r="M845" t="s">
        <v>78</v>
      </c>
      <c r="N845" t="s">
        <v>79</v>
      </c>
      <c r="O845" t="s">
        <v>74</v>
      </c>
      <c r="P845" t="s">
        <v>74</v>
      </c>
      <c r="Q845" t="s">
        <v>74</v>
      </c>
      <c r="R845" t="s">
        <v>74</v>
      </c>
      <c r="S845" t="s">
        <v>74</v>
      </c>
      <c r="T845" t="s">
        <v>15593</v>
      </c>
      <c r="U845" t="s">
        <v>15594</v>
      </c>
      <c r="V845" t="s">
        <v>15595</v>
      </c>
      <c r="W845" t="s">
        <v>15596</v>
      </c>
      <c r="X845" t="s">
        <v>1881</v>
      </c>
      <c r="Y845" t="s">
        <v>15597</v>
      </c>
      <c r="Z845" t="s">
        <v>15598</v>
      </c>
      <c r="AA845" t="s">
        <v>15599</v>
      </c>
      <c r="AB845" t="s">
        <v>15600</v>
      </c>
      <c r="AC845" t="s">
        <v>15601</v>
      </c>
      <c r="AD845" t="s">
        <v>15602</v>
      </c>
      <c r="AE845" t="s">
        <v>15603</v>
      </c>
      <c r="AF845" t="s">
        <v>74</v>
      </c>
      <c r="AG845">
        <v>69</v>
      </c>
      <c r="AH845">
        <v>18</v>
      </c>
      <c r="AI845">
        <v>21</v>
      </c>
      <c r="AJ845">
        <v>0</v>
      </c>
      <c r="AK845">
        <v>41</v>
      </c>
      <c r="AL845" t="s">
        <v>652</v>
      </c>
      <c r="AM845" t="s">
        <v>653</v>
      </c>
      <c r="AN845" t="s">
        <v>654</v>
      </c>
      <c r="AO845" t="s">
        <v>15583</v>
      </c>
      <c r="AP845" t="s">
        <v>15584</v>
      </c>
      <c r="AQ845" t="s">
        <v>74</v>
      </c>
      <c r="AR845" t="s">
        <v>15585</v>
      </c>
      <c r="AS845" t="s">
        <v>15586</v>
      </c>
      <c r="AT845" t="s">
        <v>13186</v>
      </c>
      <c r="AU845">
        <v>2014</v>
      </c>
      <c r="AV845">
        <v>450</v>
      </c>
      <c r="AW845" t="s">
        <v>74</v>
      </c>
      <c r="AX845" t="s">
        <v>74</v>
      </c>
      <c r="AY845" t="s">
        <v>74</v>
      </c>
      <c r="AZ845" t="s">
        <v>660</v>
      </c>
      <c r="BA845" t="s">
        <v>74</v>
      </c>
      <c r="BB845">
        <v>79</v>
      </c>
      <c r="BC845">
        <v>90</v>
      </c>
      <c r="BD845" t="s">
        <v>74</v>
      </c>
      <c r="BE845" t="s">
        <v>15604</v>
      </c>
      <c r="BF845" t="str">
        <f>HYPERLINK("http://dx.doi.org/10.1016/j.jembe.2013.10.024","http://dx.doi.org/10.1016/j.jembe.2013.10.024")</f>
        <v>http://dx.doi.org/10.1016/j.jembe.2013.10.024</v>
      </c>
      <c r="BG845" t="s">
        <v>74</v>
      </c>
      <c r="BH845" t="s">
        <v>74</v>
      </c>
      <c r="BI845">
        <v>12</v>
      </c>
      <c r="BJ845" t="s">
        <v>3795</v>
      </c>
      <c r="BK845" t="s">
        <v>101</v>
      </c>
      <c r="BL845" t="s">
        <v>2115</v>
      </c>
      <c r="BM845" t="s">
        <v>15588</v>
      </c>
      <c r="BN845" t="s">
        <v>74</v>
      </c>
      <c r="BO845" t="s">
        <v>74</v>
      </c>
      <c r="BP845" t="s">
        <v>74</v>
      </c>
      <c r="BQ845" t="s">
        <v>74</v>
      </c>
      <c r="BR845" t="s">
        <v>104</v>
      </c>
      <c r="BS845" t="s">
        <v>15605</v>
      </c>
      <c r="BT845" t="str">
        <f>HYPERLINK("https%3A%2F%2Fwww.webofscience.com%2Fwos%2Fwoscc%2Ffull-record%2FWOS:000330081700010","View Full Record in Web of Science")</f>
        <v>View Full Record in Web of Science</v>
      </c>
    </row>
    <row r="846" spans="1:72" x14ac:dyDescent="0.15">
      <c r="A846" t="s">
        <v>72</v>
      </c>
      <c r="B846" t="s">
        <v>15606</v>
      </c>
      <c r="C846" t="s">
        <v>74</v>
      </c>
      <c r="D846" t="s">
        <v>74</v>
      </c>
      <c r="E846" t="s">
        <v>74</v>
      </c>
      <c r="F846" t="s">
        <v>15607</v>
      </c>
      <c r="G846" t="s">
        <v>74</v>
      </c>
      <c r="H846" t="s">
        <v>74</v>
      </c>
      <c r="I846" t="s">
        <v>15608</v>
      </c>
      <c r="J846" t="s">
        <v>15570</v>
      </c>
      <c r="K846" t="s">
        <v>74</v>
      </c>
      <c r="L846" t="s">
        <v>74</v>
      </c>
      <c r="M846" t="s">
        <v>78</v>
      </c>
      <c r="N846" t="s">
        <v>79</v>
      </c>
      <c r="O846" t="s">
        <v>74</v>
      </c>
      <c r="P846" t="s">
        <v>74</v>
      </c>
      <c r="Q846" t="s">
        <v>74</v>
      </c>
      <c r="R846" t="s">
        <v>74</v>
      </c>
      <c r="S846" t="s">
        <v>74</v>
      </c>
      <c r="T846" t="s">
        <v>15609</v>
      </c>
      <c r="U846" t="s">
        <v>15610</v>
      </c>
      <c r="V846" t="s">
        <v>15611</v>
      </c>
      <c r="W846" t="s">
        <v>15612</v>
      </c>
      <c r="X846" t="s">
        <v>2827</v>
      </c>
      <c r="Y846" t="s">
        <v>15613</v>
      </c>
      <c r="Z846" t="s">
        <v>15614</v>
      </c>
      <c r="AA846" t="s">
        <v>15599</v>
      </c>
      <c r="AB846" t="s">
        <v>15615</v>
      </c>
      <c r="AC846" t="s">
        <v>15616</v>
      </c>
      <c r="AD846" t="s">
        <v>15616</v>
      </c>
      <c r="AE846" t="s">
        <v>15617</v>
      </c>
      <c r="AF846" t="s">
        <v>74</v>
      </c>
      <c r="AG846">
        <v>71</v>
      </c>
      <c r="AH846">
        <v>28</v>
      </c>
      <c r="AI846">
        <v>28</v>
      </c>
      <c r="AJ846">
        <v>0</v>
      </c>
      <c r="AK846">
        <v>61</v>
      </c>
      <c r="AL846" t="s">
        <v>652</v>
      </c>
      <c r="AM846" t="s">
        <v>653</v>
      </c>
      <c r="AN846" t="s">
        <v>654</v>
      </c>
      <c r="AO846" t="s">
        <v>15583</v>
      </c>
      <c r="AP846" t="s">
        <v>15584</v>
      </c>
      <c r="AQ846" t="s">
        <v>74</v>
      </c>
      <c r="AR846" t="s">
        <v>15585</v>
      </c>
      <c r="AS846" t="s">
        <v>15586</v>
      </c>
      <c r="AT846" t="s">
        <v>13186</v>
      </c>
      <c r="AU846">
        <v>2014</v>
      </c>
      <c r="AV846">
        <v>450</v>
      </c>
      <c r="AW846" t="s">
        <v>74</v>
      </c>
      <c r="AX846" t="s">
        <v>74</v>
      </c>
      <c r="AY846" t="s">
        <v>74</v>
      </c>
      <c r="AZ846" t="s">
        <v>660</v>
      </c>
      <c r="BA846" t="s">
        <v>74</v>
      </c>
      <c r="BB846">
        <v>109</v>
      </c>
      <c r="BC846">
        <v>117</v>
      </c>
      <c r="BD846" t="s">
        <v>74</v>
      </c>
      <c r="BE846" t="s">
        <v>15618</v>
      </c>
      <c r="BF846" t="str">
        <f>HYPERLINK("http://dx.doi.org/10.1016/j.jembe.2013.10.012","http://dx.doi.org/10.1016/j.jembe.2013.10.012")</f>
        <v>http://dx.doi.org/10.1016/j.jembe.2013.10.012</v>
      </c>
      <c r="BG846" t="s">
        <v>74</v>
      </c>
      <c r="BH846" t="s">
        <v>74</v>
      </c>
      <c r="BI846">
        <v>9</v>
      </c>
      <c r="BJ846" t="s">
        <v>3795</v>
      </c>
      <c r="BK846" t="s">
        <v>101</v>
      </c>
      <c r="BL846" t="s">
        <v>2115</v>
      </c>
      <c r="BM846" t="s">
        <v>15588</v>
      </c>
      <c r="BN846" t="s">
        <v>74</v>
      </c>
      <c r="BO846" t="s">
        <v>74</v>
      </c>
      <c r="BP846" t="s">
        <v>74</v>
      </c>
      <c r="BQ846" t="s">
        <v>74</v>
      </c>
      <c r="BR846" t="s">
        <v>104</v>
      </c>
      <c r="BS846" t="s">
        <v>15619</v>
      </c>
      <c r="BT846" t="str">
        <f>HYPERLINK("https%3A%2F%2Fwww.webofscience.com%2Fwos%2Fwoscc%2Ffull-record%2FWOS:000330081700013","View Full Record in Web of Science")</f>
        <v>View Full Record in Web of Science</v>
      </c>
    </row>
    <row r="847" spans="1:72" x14ac:dyDescent="0.15">
      <c r="A847" t="s">
        <v>72</v>
      </c>
      <c r="B847" t="s">
        <v>15620</v>
      </c>
      <c r="C847" t="s">
        <v>74</v>
      </c>
      <c r="D847" t="s">
        <v>74</v>
      </c>
      <c r="E847" t="s">
        <v>74</v>
      </c>
      <c r="F847" t="s">
        <v>15621</v>
      </c>
      <c r="G847" t="s">
        <v>74</v>
      </c>
      <c r="H847" t="s">
        <v>74</v>
      </c>
      <c r="I847" t="s">
        <v>15622</v>
      </c>
      <c r="J847" t="s">
        <v>7718</v>
      </c>
      <c r="K847" t="s">
        <v>74</v>
      </c>
      <c r="L847" t="s">
        <v>74</v>
      </c>
      <c r="M847" t="s">
        <v>78</v>
      </c>
      <c r="N847" t="s">
        <v>79</v>
      </c>
      <c r="O847" t="s">
        <v>74</v>
      </c>
      <c r="P847" t="s">
        <v>74</v>
      </c>
      <c r="Q847" t="s">
        <v>74</v>
      </c>
      <c r="R847" t="s">
        <v>74</v>
      </c>
      <c r="S847" t="s">
        <v>74</v>
      </c>
      <c r="T847" t="s">
        <v>15623</v>
      </c>
      <c r="U847" t="s">
        <v>15624</v>
      </c>
      <c r="V847" t="s">
        <v>15625</v>
      </c>
      <c r="W847" t="s">
        <v>15626</v>
      </c>
      <c r="X847" t="s">
        <v>15627</v>
      </c>
      <c r="Y847" t="s">
        <v>15628</v>
      </c>
      <c r="Z847" t="s">
        <v>15629</v>
      </c>
      <c r="AA847" t="s">
        <v>74</v>
      </c>
      <c r="AB847" t="s">
        <v>15630</v>
      </c>
      <c r="AC847" t="s">
        <v>15631</v>
      </c>
      <c r="AD847" t="s">
        <v>15632</v>
      </c>
      <c r="AE847" t="s">
        <v>15633</v>
      </c>
      <c r="AF847" t="s">
        <v>74</v>
      </c>
      <c r="AG847">
        <v>41</v>
      </c>
      <c r="AH847">
        <v>14</v>
      </c>
      <c r="AI847">
        <v>14</v>
      </c>
      <c r="AJ847">
        <v>0</v>
      </c>
      <c r="AK847">
        <v>10</v>
      </c>
      <c r="AL847" t="s">
        <v>652</v>
      </c>
      <c r="AM847" t="s">
        <v>653</v>
      </c>
      <c r="AN847" t="s">
        <v>654</v>
      </c>
      <c r="AO847" t="s">
        <v>7728</v>
      </c>
      <c r="AP847" t="s">
        <v>7729</v>
      </c>
      <c r="AQ847" t="s">
        <v>74</v>
      </c>
      <c r="AR847" t="s">
        <v>7730</v>
      </c>
      <c r="AS847" t="s">
        <v>7731</v>
      </c>
      <c r="AT847" t="s">
        <v>13186</v>
      </c>
      <c r="AU847">
        <v>2014</v>
      </c>
      <c r="AV847">
        <v>129</v>
      </c>
      <c r="AW847" t="s">
        <v>74</v>
      </c>
      <c r="AX847" t="s">
        <v>74</v>
      </c>
      <c r="AY847" t="s">
        <v>74</v>
      </c>
      <c r="AZ847" t="s">
        <v>74</v>
      </c>
      <c r="BA847" t="s">
        <v>74</v>
      </c>
      <c r="BB847">
        <v>472</v>
      </c>
      <c r="BC847">
        <v>483</v>
      </c>
      <c r="BD847" t="s">
        <v>74</v>
      </c>
      <c r="BE847" t="s">
        <v>15634</v>
      </c>
      <c r="BF847" t="str">
        <f>HYPERLINK("http://dx.doi.org/10.1016/j.jmarsys.2013.09.011","http://dx.doi.org/10.1016/j.jmarsys.2013.09.011")</f>
        <v>http://dx.doi.org/10.1016/j.jmarsys.2013.09.011</v>
      </c>
      <c r="BG847" t="s">
        <v>74</v>
      </c>
      <c r="BH847" t="s">
        <v>74</v>
      </c>
      <c r="BI847">
        <v>12</v>
      </c>
      <c r="BJ847" t="s">
        <v>7733</v>
      </c>
      <c r="BK847" t="s">
        <v>101</v>
      </c>
      <c r="BL847" t="s">
        <v>7734</v>
      </c>
      <c r="BM847" t="s">
        <v>15635</v>
      </c>
      <c r="BN847" t="s">
        <v>74</v>
      </c>
      <c r="BO847" t="s">
        <v>74</v>
      </c>
      <c r="BP847" t="s">
        <v>74</v>
      </c>
      <c r="BQ847" t="s">
        <v>74</v>
      </c>
      <c r="BR847" t="s">
        <v>104</v>
      </c>
      <c r="BS847" t="s">
        <v>15636</v>
      </c>
      <c r="BT847" t="str">
        <f>HYPERLINK("https%3A%2F%2Fwww.webofscience.com%2Fwos%2Fwoscc%2Ffull-record%2FWOS:000329881600041","View Full Record in Web of Science")</f>
        <v>View Full Record in Web of Science</v>
      </c>
    </row>
    <row r="848" spans="1:72" x14ac:dyDescent="0.15">
      <c r="A848" t="s">
        <v>72</v>
      </c>
      <c r="B848" t="s">
        <v>15637</v>
      </c>
      <c r="C848" t="s">
        <v>74</v>
      </c>
      <c r="D848" t="s">
        <v>74</v>
      </c>
      <c r="E848" t="s">
        <v>74</v>
      </c>
      <c r="F848" t="s">
        <v>15638</v>
      </c>
      <c r="G848" t="s">
        <v>74</v>
      </c>
      <c r="H848" t="s">
        <v>74</v>
      </c>
      <c r="I848" t="s">
        <v>15639</v>
      </c>
      <c r="J848" t="s">
        <v>1008</v>
      </c>
      <c r="K848" t="s">
        <v>74</v>
      </c>
      <c r="L848" t="s">
        <v>74</v>
      </c>
      <c r="M848" t="s">
        <v>78</v>
      </c>
      <c r="N848" t="s">
        <v>79</v>
      </c>
      <c r="O848" t="s">
        <v>74</v>
      </c>
      <c r="P848" t="s">
        <v>74</v>
      </c>
      <c r="Q848" t="s">
        <v>74</v>
      </c>
      <c r="R848" t="s">
        <v>74</v>
      </c>
      <c r="S848" t="s">
        <v>74</v>
      </c>
      <c r="T848" t="s">
        <v>74</v>
      </c>
      <c r="U848" t="s">
        <v>15640</v>
      </c>
      <c r="V848" t="s">
        <v>15641</v>
      </c>
      <c r="W848" t="s">
        <v>15642</v>
      </c>
      <c r="X848" t="s">
        <v>15643</v>
      </c>
      <c r="Y848" t="s">
        <v>15644</v>
      </c>
      <c r="Z848" t="s">
        <v>15645</v>
      </c>
      <c r="AA848" t="s">
        <v>74</v>
      </c>
      <c r="AB848" t="s">
        <v>15646</v>
      </c>
      <c r="AC848" t="s">
        <v>74</v>
      </c>
      <c r="AD848" t="s">
        <v>74</v>
      </c>
      <c r="AE848" t="s">
        <v>74</v>
      </c>
      <c r="AF848" t="s">
        <v>74</v>
      </c>
      <c r="AG848">
        <v>60</v>
      </c>
      <c r="AH848">
        <v>9</v>
      </c>
      <c r="AI848">
        <v>9</v>
      </c>
      <c r="AJ848">
        <v>0</v>
      </c>
      <c r="AK848">
        <v>11</v>
      </c>
      <c r="AL848" t="s">
        <v>1020</v>
      </c>
      <c r="AM848" t="s">
        <v>1021</v>
      </c>
      <c r="AN848" t="s">
        <v>1022</v>
      </c>
      <c r="AO848" t="s">
        <v>1023</v>
      </c>
      <c r="AP848" t="s">
        <v>1024</v>
      </c>
      <c r="AQ848" t="s">
        <v>74</v>
      </c>
      <c r="AR848" t="s">
        <v>1025</v>
      </c>
      <c r="AS848" t="s">
        <v>1026</v>
      </c>
      <c r="AT848" t="s">
        <v>13186</v>
      </c>
      <c r="AU848">
        <v>2014</v>
      </c>
      <c r="AV848">
        <v>161</v>
      </c>
      <c r="AW848">
        <v>1</v>
      </c>
      <c r="AX848" t="s">
        <v>74</v>
      </c>
      <c r="AY848" t="s">
        <v>74</v>
      </c>
      <c r="AZ848" t="s">
        <v>74</v>
      </c>
      <c r="BA848" t="s">
        <v>74</v>
      </c>
      <c r="BB848">
        <v>17</v>
      </c>
      <c r="BC848">
        <v>27</v>
      </c>
      <c r="BD848" t="s">
        <v>74</v>
      </c>
      <c r="BE848" t="s">
        <v>15647</v>
      </c>
      <c r="BF848" t="str">
        <f>HYPERLINK("http://dx.doi.org/10.1007/s00227-013-2310-9","http://dx.doi.org/10.1007/s00227-013-2310-9")</f>
        <v>http://dx.doi.org/10.1007/s00227-013-2310-9</v>
      </c>
      <c r="BG848" t="s">
        <v>74</v>
      </c>
      <c r="BH848" t="s">
        <v>74</v>
      </c>
      <c r="BI848">
        <v>11</v>
      </c>
      <c r="BJ848" t="s">
        <v>1028</v>
      </c>
      <c r="BK848" t="s">
        <v>101</v>
      </c>
      <c r="BL848" t="s">
        <v>1028</v>
      </c>
      <c r="BM848" t="s">
        <v>15648</v>
      </c>
      <c r="BN848" t="s">
        <v>74</v>
      </c>
      <c r="BO848" t="s">
        <v>74</v>
      </c>
      <c r="BP848" t="s">
        <v>74</v>
      </c>
      <c r="BQ848" t="s">
        <v>74</v>
      </c>
      <c r="BR848" t="s">
        <v>104</v>
      </c>
      <c r="BS848" t="s">
        <v>15649</v>
      </c>
      <c r="BT848" t="str">
        <f>HYPERLINK("https%3A%2F%2Fwww.webofscience.com%2Fwos%2Fwoscc%2Ffull-record%2FWOS:000329792700003","View Full Record in Web of Science")</f>
        <v>View Full Record in Web of Science</v>
      </c>
    </row>
    <row r="849" spans="1:72" x14ac:dyDescent="0.15">
      <c r="A849" t="s">
        <v>72</v>
      </c>
      <c r="B849" t="s">
        <v>15650</v>
      </c>
      <c r="C849" t="s">
        <v>74</v>
      </c>
      <c r="D849" t="s">
        <v>74</v>
      </c>
      <c r="E849" t="s">
        <v>74</v>
      </c>
      <c r="F849" t="s">
        <v>15651</v>
      </c>
      <c r="G849" t="s">
        <v>74</v>
      </c>
      <c r="H849" t="s">
        <v>74</v>
      </c>
      <c r="I849" t="s">
        <v>15652</v>
      </c>
      <c r="J849" t="s">
        <v>6658</v>
      </c>
      <c r="K849" t="s">
        <v>74</v>
      </c>
      <c r="L849" t="s">
        <v>74</v>
      </c>
      <c r="M849" t="s">
        <v>78</v>
      </c>
      <c r="N849" t="s">
        <v>79</v>
      </c>
      <c r="O849" t="s">
        <v>74</v>
      </c>
      <c r="P849" t="s">
        <v>74</v>
      </c>
      <c r="Q849" t="s">
        <v>74</v>
      </c>
      <c r="R849" t="s">
        <v>74</v>
      </c>
      <c r="S849" t="s">
        <v>74</v>
      </c>
      <c r="T849" t="s">
        <v>15653</v>
      </c>
      <c r="U849" t="s">
        <v>15654</v>
      </c>
      <c r="V849" t="s">
        <v>15655</v>
      </c>
      <c r="W849" t="s">
        <v>15656</v>
      </c>
      <c r="X849" t="s">
        <v>15657</v>
      </c>
      <c r="Y849" t="s">
        <v>15658</v>
      </c>
      <c r="Z849" t="s">
        <v>15659</v>
      </c>
      <c r="AA849" t="s">
        <v>15660</v>
      </c>
      <c r="AB849" t="s">
        <v>15661</v>
      </c>
      <c r="AC849" t="s">
        <v>15662</v>
      </c>
      <c r="AD849" t="s">
        <v>15663</v>
      </c>
      <c r="AE849" t="s">
        <v>15664</v>
      </c>
      <c r="AF849" t="s">
        <v>74</v>
      </c>
      <c r="AG849">
        <v>61</v>
      </c>
      <c r="AH849">
        <v>7</v>
      </c>
      <c r="AI849">
        <v>7</v>
      </c>
      <c r="AJ849">
        <v>0</v>
      </c>
      <c r="AK849">
        <v>27</v>
      </c>
      <c r="AL849" t="s">
        <v>946</v>
      </c>
      <c r="AM849" t="s">
        <v>522</v>
      </c>
      <c r="AN849" t="s">
        <v>947</v>
      </c>
      <c r="AO849" t="s">
        <v>6670</v>
      </c>
      <c r="AP849" t="s">
        <v>6671</v>
      </c>
      <c r="AQ849" t="s">
        <v>74</v>
      </c>
      <c r="AR849" t="s">
        <v>6672</v>
      </c>
      <c r="AS849" t="s">
        <v>6673</v>
      </c>
      <c r="AT849" t="s">
        <v>13186</v>
      </c>
      <c r="AU849">
        <v>2014</v>
      </c>
      <c r="AV849">
        <v>83</v>
      </c>
      <c r="AW849" t="s">
        <v>74</v>
      </c>
      <c r="AX849" t="s">
        <v>74</v>
      </c>
      <c r="AY849" t="s">
        <v>74</v>
      </c>
      <c r="AZ849" t="s">
        <v>74</v>
      </c>
      <c r="BA849" t="s">
        <v>74</v>
      </c>
      <c r="BB849">
        <v>12</v>
      </c>
      <c r="BC849">
        <v>23</v>
      </c>
      <c r="BD849" t="s">
        <v>74</v>
      </c>
      <c r="BE849" t="s">
        <v>15665</v>
      </c>
      <c r="BF849" t="str">
        <f>HYPERLINK("http://dx.doi.org/10.1016/j.dsr.2013.08.008","http://dx.doi.org/10.1016/j.dsr.2013.08.008")</f>
        <v>http://dx.doi.org/10.1016/j.dsr.2013.08.008</v>
      </c>
      <c r="BG849" t="s">
        <v>74</v>
      </c>
      <c r="BH849" t="s">
        <v>74</v>
      </c>
      <c r="BI849">
        <v>12</v>
      </c>
      <c r="BJ849" t="s">
        <v>785</v>
      </c>
      <c r="BK849" t="s">
        <v>101</v>
      </c>
      <c r="BL849" t="s">
        <v>785</v>
      </c>
      <c r="BM849" t="s">
        <v>15666</v>
      </c>
      <c r="BN849" t="s">
        <v>74</v>
      </c>
      <c r="BO849" t="s">
        <v>74</v>
      </c>
      <c r="BP849" t="s">
        <v>74</v>
      </c>
      <c r="BQ849" t="s">
        <v>74</v>
      </c>
      <c r="BR849" t="s">
        <v>104</v>
      </c>
      <c r="BS849" t="s">
        <v>15667</v>
      </c>
      <c r="BT849" t="str">
        <f>HYPERLINK("https%3A%2F%2Fwww.webofscience.com%2Fwos%2Fwoscc%2Ffull-record%2FWOS:000329768900002","View Full Record in Web of Science")</f>
        <v>View Full Record in Web of Science</v>
      </c>
    </row>
    <row r="850" spans="1:72" x14ac:dyDescent="0.15">
      <c r="A850" t="s">
        <v>72</v>
      </c>
      <c r="B850" t="s">
        <v>15668</v>
      </c>
      <c r="C850" t="s">
        <v>74</v>
      </c>
      <c r="D850" t="s">
        <v>74</v>
      </c>
      <c r="E850" t="s">
        <v>74</v>
      </c>
      <c r="F850" t="s">
        <v>15669</v>
      </c>
      <c r="G850" t="s">
        <v>74</v>
      </c>
      <c r="H850" t="s">
        <v>74</v>
      </c>
      <c r="I850" t="s">
        <v>15670</v>
      </c>
      <c r="J850" t="s">
        <v>6658</v>
      </c>
      <c r="K850" t="s">
        <v>74</v>
      </c>
      <c r="L850" t="s">
        <v>74</v>
      </c>
      <c r="M850" t="s">
        <v>78</v>
      </c>
      <c r="N850" t="s">
        <v>79</v>
      </c>
      <c r="O850" t="s">
        <v>74</v>
      </c>
      <c r="P850" t="s">
        <v>74</v>
      </c>
      <c r="Q850" t="s">
        <v>74</v>
      </c>
      <c r="R850" t="s">
        <v>74</v>
      </c>
      <c r="S850" t="s">
        <v>74</v>
      </c>
      <c r="T850" t="s">
        <v>15671</v>
      </c>
      <c r="U850" t="s">
        <v>15672</v>
      </c>
      <c r="V850" t="s">
        <v>15673</v>
      </c>
      <c r="W850" t="s">
        <v>15674</v>
      </c>
      <c r="X850" t="s">
        <v>15675</v>
      </c>
      <c r="Y850" t="s">
        <v>15676</v>
      </c>
      <c r="Z850" t="s">
        <v>15677</v>
      </c>
      <c r="AA850" t="s">
        <v>15678</v>
      </c>
      <c r="AB850" t="s">
        <v>15679</v>
      </c>
      <c r="AC850" t="s">
        <v>15680</v>
      </c>
      <c r="AD850" t="s">
        <v>15681</v>
      </c>
      <c r="AE850" t="s">
        <v>15682</v>
      </c>
      <c r="AF850" t="s">
        <v>74</v>
      </c>
      <c r="AG850">
        <v>81</v>
      </c>
      <c r="AH850">
        <v>23</v>
      </c>
      <c r="AI850">
        <v>31</v>
      </c>
      <c r="AJ850">
        <v>0</v>
      </c>
      <c r="AK850">
        <v>43</v>
      </c>
      <c r="AL850" t="s">
        <v>946</v>
      </c>
      <c r="AM850" t="s">
        <v>522</v>
      </c>
      <c r="AN850" t="s">
        <v>947</v>
      </c>
      <c r="AO850" t="s">
        <v>6670</v>
      </c>
      <c r="AP850" t="s">
        <v>6671</v>
      </c>
      <c r="AQ850" t="s">
        <v>74</v>
      </c>
      <c r="AR850" t="s">
        <v>6672</v>
      </c>
      <c r="AS850" t="s">
        <v>6673</v>
      </c>
      <c r="AT850" t="s">
        <v>13186</v>
      </c>
      <c r="AU850">
        <v>2014</v>
      </c>
      <c r="AV850">
        <v>83</v>
      </c>
      <c r="AW850" t="s">
        <v>74</v>
      </c>
      <c r="AX850" t="s">
        <v>74</v>
      </c>
      <c r="AY850" t="s">
        <v>74</v>
      </c>
      <c r="AZ850" t="s">
        <v>74</v>
      </c>
      <c r="BA850" t="s">
        <v>74</v>
      </c>
      <c r="BB850">
        <v>24</v>
      </c>
      <c r="BC850">
        <v>33</v>
      </c>
      <c r="BD850" t="s">
        <v>74</v>
      </c>
      <c r="BE850" t="s">
        <v>15683</v>
      </c>
      <c r="BF850" t="str">
        <f>HYPERLINK("http://dx.doi.org/10.1016/j.dsr.2013.08.006","http://dx.doi.org/10.1016/j.dsr.2013.08.006")</f>
        <v>http://dx.doi.org/10.1016/j.dsr.2013.08.006</v>
      </c>
      <c r="BG850" t="s">
        <v>74</v>
      </c>
      <c r="BH850" t="s">
        <v>74</v>
      </c>
      <c r="BI850">
        <v>10</v>
      </c>
      <c r="BJ850" t="s">
        <v>785</v>
      </c>
      <c r="BK850" t="s">
        <v>101</v>
      </c>
      <c r="BL850" t="s">
        <v>785</v>
      </c>
      <c r="BM850" t="s">
        <v>15666</v>
      </c>
      <c r="BN850" t="s">
        <v>74</v>
      </c>
      <c r="BO850" t="s">
        <v>74</v>
      </c>
      <c r="BP850" t="s">
        <v>74</v>
      </c>
      <c r="BQ850" t="s">
        <v>74</v>
      </c>
      <c r="BR850" t="s">
        <v>104</v>
      </c>
      <c r="BS850" t="s">
        <v>15684</v>
      </c>
      <c r="BT850" t="str">
        <f>HYPERLINK("https%3A%2F%2Fwww.webofscience.com%2Fwos%2Fwoscc%2Ffull-record%2FWOS:000329768900003","View Full Record in Web of Science")</f>
        <v>View Full Record in Web of Science</v>
      </c>
    </row>
    <row r="851" spans="1:72" x14ac:dyDescent="0.15">
      <c r="A851" t="s">
        <v>72</v>
      </c>
      <c r="B851" t="s">
        <v>15685</v>
      </c>
      <c r="C851" t="s">
        <v>74</v>
      </c>
      <c r="D851" t="s">
        <v>74</v>
      </c>
      <c r="E851" t="s">
        <v>74</v>
      </c>
      <c r="F851" t="s">
        <v>15686</v>
      </c>
      <c r="G851" t="s">
        <v>74</v>
      </c>
      <c r="H851" t="s">
        <v>74</v>
      </c>
      <c r="I851" t="s">
        <v>15687</v>
      </c>
      <c r="J851" t="s">
        <v>3326</v>
      </c>
      <c r="K851" t="s">
        <v>74</v>
      </c>
      <c r="L851" t="s">
        <v>74</v>
      </c>
      <c r="M851" t="s">
        <v>78</v>
      </c>
      <c r="N851" t="s">
        <v>79</v>
      </c>
      <c r="O851" t="s">
        <v>74</v>
      </c>
      <c r="P851" t="s">
        <v>74</v>
      </c>
      <c r="Q851" t="s">
        <v>74</v>
      </c>
      <c r="R851" t="s">
        <v>74</v>
      </c>
      <c r="S851" t="s">
        <v>74</v>
      </c>
      <c r="T851" t="s">
        <v>15688</v>
      </c>
      <c r="U851" t="s">
        <v>15689</v>
      </c>
      <c r="V851" t="s">
        <v>15690</v>
      </c>
      <c r="W851" t="s">
        <v>15691</v>
      </c>
      <c r="X851" t="s">
        <v>15692</v>
      </c>
      <c r="Y851" t="s">
        <v>15693</v>
      </c>
      <c r="Z851" t="s">
        <v>15694</v>
      </c>
      <c r="AA851" t="s">
        <v>15695</v>
      </c>
      <c r="AB851" t="s">
        <v>15696</v>
      </c>
      <c r="AC851" t="s">
        <v>15697</v>
      </c>
      <c r="AD851" t="s">
        <v>15698</v>
      </c>
      <c r="AE851" t="s">
        <v>15699</v>
      </c>
      <c r="AF851" t="s">
        <v>74</v>
      </c>
      <c r="AG851">
        <v>42</v>
      </c>
      <c r="AH851">
        <v>2</v>
      </c>
      <c r="AI851">
        <v>2</v>
      </c>
      <c r="AJ851">
        <v>0</v>
      </c>
      <c r="AK851">
        <v>18</v>
      </c>
      <c r="AL851" t="s">
        <v>145</v>
      </c>
      <c r="AM851" t="s">
        <v>146</v>
      </c>
      <c r="AN851" t="s">
        <v>147</v>
      </c>
      <c r="AO851" t="s">
        <v>3336</v>
      </c>
      <c r="AP851" t="s">
        <v>3337</v>
      </c>
      <c r="AQ851" t="s">
        <v>74</v>
      </c>
      <c r="AR851" t="s">
        <v>3338</v>
      </c>
      <c r="AS851" t="s">
        <v>3339</v>
      </c>
      <c r="AT851" t="s">
        <v>13186</v>
      </c>
      <c r="AU851">
        <v>2014</v>
      </c>
      <c r="AV851">
        <v>299</v>
      </c>
      <c r="AW851">
        <v>1</v>
      </c>
      <c r="AX851" t="s">
        <v>74</v>
      </c>
      <c r="AY851" t="s">
        <v>74</v>
      </c>
      <c r="AZ851" t="s">
        <v>74</v>
      </c>
      <c r="BA851" t="s">
        <v>74</v>
      </c>
      <c r="BB851">
        <v>621</v>
      </c>
      <c r="BC851">
        <v>630</v>
      </c>
      <c r="BD851" t="s">
        <v>74</v>
      </c>
      <c r="BE851" t="s">
        <v>15700</v>
      </c>
      <c r="BF851" t="str">
        <f>HYPERLINK("http://dx.doi.org/10.1007/s10967-013-2842-y","http://dx.doi.org/10.1007/s10967-013-2842-y")</f>
        <v>http://dx.doi.org/10.1007/s10967-013-2842-y</v>
      </c>
      <c r="BG851" t="s">
        <v>74</v>
      </c>
      <c r="BH851" t="s">
        <v>74</v>
      </c>
      <c r="BI851">
        <v>10</v>
      </c>
      <c r="BJ851" t="s">
        <v>3341</v>
      </c>
      <c r="BK851" t="s">
        <v>101</v>
      </c>
      <c r="BL851" t="s">
        <v>3342</v>
      </c>
      <c r="BM851" t="s">
        <v>15701</v>
      </c>
      <c r="BN851" t="s">
        <v>74</v>
      </c>
      <c r="BO851" t="s">
        <v>74</v>
      </c>
      <c r="BP851" t="s">
        <v>74</v>
      </c>
      <c r="BQ851" t="s">
        <v>74</v>
      </c>
      <c r="BR851" t="s">
        <v>104</v>
      </c>
      <c r="BS851" t="s">
        <v>15702</v>
      </c>
      <c r="BT851" t="str">
        <f>HYPERLINK("https%3A%2F%2Fwww.webofscience.com%2Fwos%2Fwoscc%2Ffull-record%2FWOS:000329299200080","View Full Record in Web of Science")</f>
        <v>View Full Record in Web of Science</v>
      </c>
    </row>
    <row r="852" spans="1:72" x14ac:dyDescent="0.15">
      <c r="A852" t="s">
        <v>72</v>
      </c>
      <c r="B852" t="s">
        <v>15703</v>
      </c>
      <c r="C852" t="s">
        <v>74</v>
      </c>
      <c r="D852" t="s">
        <v>74</v>
      </c>
      <c r="E852" t="s">
        <v>74</v>
      </c>
      <c r="F852" t="s">
        <v>15704</v>
      </c>
      <c r="G852" t="s">
        <v>74</v>
      </c>
      <c r="H852" t="s">
        <v>74</v>
      </c>
      <c r="I852" t="s">
        <v>15705</v>
      </c>
      <c r="J852" t="s">
        <v>3326</v>
      </c>
      <c r="K852" t="s">
        <v>74</v>
      </c>
      <c r="L852" t="s">
        <v>74</v>
      </c>
      <c r="M852" t="s">
        <v>78</v>
      </c>
      <c r="N852" t="s">
        <v>79</v>
      </c>
      <c r="O852" t="s">
        <v>74</v>
      </c>
      <c r="P852" t="s">
        <v>74</v>
      </c>
      <c r="Q852" t="s">
        <v>74</v>
      </c>
      <c r="R852" t="s">
        <v>74</v>
      </c>
      <c r="S852" t="s">
        <v>74</v>
      </c>
      <c r="T852" t="s">
        <v>15706</v>
      </c>
      <c r="U852" t="s">
        <v>15707</v>
      </c>
      <c r="V852" t="s">
        <v>15708</v>
      </c>
      <c r="W852" t="s">
        <v>15709</v>
      </c>
      <c r="X852" t="s">
        <v>15710</v>
      </c>
      <c r="Y852" t="s">
        <v>15711</v>
      </c>
      <c r="Z852" t="s">
        <v>15712</v>
      </c>
      <c r="AA852" t="s">
        <v>74</v>
      </c>
      <c r="AB852" t="s">
        <v>15713</v>
      </c>
      <c r="AC852" t="s">
        <v>74</v>
      </c>
      <c r="AD852" t="s">
        <v>74</v>
      </c>
      <c r="AE852" t="s">
        <v>74</v>
      </c>
      <c r="AF852" t="s">
        <v>74</v>
      </c>
      <c r="AG852">
        <v>41</v>
      </c>
      <c r="AH852">
        <v>1</v>
      </c>
      <c r="AI852">
        <v>1</v>
      </c>
      <c r="AJ852">
        <v>0</v>
      </c>
      <c r="AK852">
        <v>7</v>
      </c>
      <c r="AL852" t="s">
        <v>145</v>
      </c>
      <c r="AM852" t="s">
        <v>146</v>
      </c>
      <c r="AN852" t="s">
        <v>147</v>
      </c>
      <c r="AO852" t="s">
        <v>3336</v>
      </c>
      <c r="AP852" t="s">
        <v>3337</v>
      </c>
      <c r="AQ852" t="s">
        <v>74</v>
      </c>
      <c r="AR852" t="s">
        <v>3338</v>
      </c>
      <c r="AS852" t="s">
        <v>3339</v>
      </c>
      <c r="AT852" t="s">
        <v>13186</v>
      </c>
      <c r="AU852">
        <v>2014</v>
      </c>
      <c r="AV852">
        <v>299</v>
      </c>
      <c r="AW852">
        <v>1</v>
      </c>
      <c r="AX852" t="s">
        <v>74</v>
      </c>
      <c r="AY852" t="s">
        <v>74</v>
      </c>
      <c r="AZ852" t="s">
        <v>74</v>
      </c>
      <c r="BA852" t="s">
        <v>74</v>
      </c>
      <c r="BB852">
        <v>819</v>
      </c>
      <c r="BC852">
        <v>825</v>
      </c>
      <c r="BD852" t="s">
        <v>74</v>
      </c>
      <c r="BE852" t="s">
        <v>15714</v>
      </c>
      <c r="BF852" t="str">
        <f>HYPERLINK("http://dx.doi.org/10.1007/s10967-013-2725-2","http://dx.doi.org/10.1007/s10967-013-2725-2")</f>
        <v>http://dx.doi.org/10.1007/s10967-013-2725-2</v>
      </c>
      <c r="BG852" t="s">
        <v>74</v>
      </c>
      <c r="BH852" t="s">
        <v>74</v>
      </c>
      <c r="BI852">
        <v>7</v>
      </c>
      <c r="BJ852" t="s">
        <v>3341</v>
      </c>
      <c r="BK852" t="s">
        <v>101</v>
      </c>
      <c r="BL852" t="s">
        <v>3342</v>
      </c>
      <c r="BM852" t="s">
        <v>15701</v>
      </c>
      <c r="BN852" t="s">
        <v>74</v>
      </c>
      <c r="BO852" t="s">
        <v>74</v>
      </c>
      <c r="BP852" t="s">
        <v>74</v>
      </c>
      <c r="BQ852" t="s">
        <v>74</v>
      </c>
      <c r="BR852" t="s">
        <v>104</v>
      </c>
      <c r="BS852" t="s">
        <v>15715</v>
      </c>
      <c r="BT852" t="str">
        <f>HYPERLINK("https%3A%2F%2Fwww.webofscience.com%2Fwos%2Fwoscc%2Ffull-record%2FWOS:000329299200106","View Full Record in Web of Science")</f>
        <v>View Full Record in Web of Science</v>
      </c>
    </row>
    <row r="853" spans="1:72" x14ac:dyDescent="0.15">
      <c r="A853" t="s">
        <v>72</v>
      </c>
      <c r="B853" t="s">
        <v>15716</v>
      </c>
      <c r="C853" t="s">
        <v>74</v>
      </c>
      <c r="D853" t="s">
        <v>74</v>
      </c>
      <c r="E853" t="s">
        <v>74</v>
      </c>
      <c r="F853" t="s">
        <v>15717</v>
      </c>
      <c r="G853" t="s">
        <v>74</v>
      </c>
      <c r="H853" t="s">
        <v>74</v>
      </c>
      <c r="I853" t="s">
        <v>15718</v>
      </c>
      <c r="J853" t="s">
        <v>15719</v>
      </c>
      <c r="K853" t="s">
        <v>74</v>
      </c>
      <c r="L853" t="s">
        <v>74</v>
      </c>
      <c r="M853" t="s">
        <v>78</v>
      </c>
      <c r="N853" t="s">
        <v>79</v>
      </c>
      <c r="O853" t="s">
        <v>74</v>
      </c>
      <c r="P853" t="s">
        <v>74</v>
      </c>
      <c r="Q853" t="s">
        <v>74</v>
      </c>
      <c r="R853" t="s">
        <v>74</v>
      </c>
      <c r="S853" t="s">
        <v>74</v>
      </c>
      <c r="T853" t="s">
        <v>15720</v>
      </c>
      <c r="U853" t="s">
        <v>15721</v>
      </c>
      <c r="V853" t="s">
        <v>15722</v>
      </c>
      <c r="W853" t="s">
        <v>15723</v>
      </c>
      <c r="X853" t="s">
        <v>15724</v>
      </c>
      <c r="Y853" t="s">
        <v>15725</v>
      </c>
      <c r="Z853" t="s">
        <v>15726</v>
      </c>
      <c r="AA853" t="s">
        <v>74</v>
      </c>
      <c r="AB853" t="s">
        <v>15727</v>
      </c>
      <c r="AC853" t="s">
        <v>15728</v>
      </c>
      <c r="AD853" t="s">
        <v>15728</v>
      </c>
      <c r="AE853" t="s">
        <v>15729</v>
      </c>
      <c r="AF853" t="s">
        <v>74</v>
      </c>
      <c r="AG853">
        <v>72</v>
      </c>
      <c r="AH853">
        <v>40</v>
      </c>
      <c r="AI853">
        <v>44</v>
      </c>
      <c r="AJ853">
        <v>1</v>
      </c>
      <c r="AK853">
        <v>30</v>
      </c>
      <c r="AL853" t="s">
        <v>145</v>
      </c>
      <c r="AM853" t="s">
        <v>146</v>
      </c>
      <c r="AN853" t="s">
        <v>147</v>
      </c>
      <c r="AO853" t="s">
        <v>15730</v>
      </c>
      <c r="AP853" t="s">
        <v>15731</v>
      </c>
      <c r="AQ853" t="s">
        <v>74</v>
      </c>
      <c r="AR853" t="s">
        <v>15732</v>
      </c>
      <c r="AS853" t="s">
        <v>15733</v>
      </c>
      <c r="AT853" t="s">
        <v>13186</v>
      </c>
      <c r="AU853">
        <v>2014</v>
      </c>
      <c r="AV853">
        <v>150</v>
      </c>
      <c r="AW853">
        <v>1</v>
      </c>
      <c r="AX853" t="s">
        <v>74</v>
      </c>
      <c r="AY853" t="s">
        <v>74</v>
      </c>
      <c r="AZ853" t="s">
        <v>74</v>
      </c>
      <c r="BA853" t="s">
        <v>74</v>
      </c>
      <c r="BB853">
        <v>131</v>
      </c>
      <c r="BC853">
        <v>151</v>
      </c>
      <c r="BD853" t="s">
        <v>74</v>
      </c>
      <c r="BE853" t="s">
        <v>15734</v>
      </c>
      <c r="BF853" t="str">
        <f>HYPERLINK("http://dx.doi.org/10.1007/s10546-013-9861-7","http://dx.doi.org/10.1007/s10546-013-9861-7")</f>
        <v>http://dx.doi.org/10.1007/s10546-013-9861-7</v>
      </c>
      <c r="BG853" t="s">
        <v>74</v>
      </c>
      <c r="BH853" t="s">
        <v>74</v>
      </c>
      <c r="BI853">
        <v>21</v>
      </c>
      <c r="BJ853" t="s">
        <v>1391</v>
      </c>
      <c r="BK853" t="s">
        <v>101</v>
      </c>
      <c r="BL853" t="s">
        <v>1391</v>
      </c>
      <c r="BM853" t="s">
        <v>15735</v>
      </c>
      <c r="BN853" t="s">
        <v>74</v>
      </c>
      <c r="BO853" t="s">
        <v>1244</v>
      </c>
      <c r="BP853" t="s">
        <v>74</v>
      </c>
      <c r="BQ853" t="s">
        <v>74</v>
      </c>
      <c r="BR853" t="s">
        <v>104</v>
      </c>
      <c r="BS853" t="s">
        <v>15736</v>
      </c>
      <c r="BT853" t="str">
        <f>HYPERLINK("https%3A%2F%2Fwww.webofscience.com%2Fwos%2Fwoscc%2Ffull-record%2FWOS:000329351300007","View Full Record in Web of Science")</f>
        <v>View Full Record in Web of Science</v>
      </c>
    </row>
    <row r="854" spans="1:72" x14ac:dyDescent="0.15">
      <c r="A854" t="s">
        <v>72</v>
      </c>
      <c r="B854" t="s">
        <v>15737</v>
      </c>
      <c r="C854" t="s">
        <v>74</v>
      </c>
      <c r="D854" t="s">
        <v>74</v>
      </c>
      <c r="E854" t="s">
        <v>74</v>
      </c>
      <c r="F854" t="s">
        <v>15738</v>
      </c>
      <c r="G854" t="s">
        <v>74</v>
      </c>
      <c r="H854" t="s">
        <v>74</v>
      </c>
      <c r="I854" t="s">
        <v>15739</v>
      </c>
      <c r="J854" t="s">
        <v>15740</v>
      </c>
      <c r="K854" t="s">
        <v>74</v>
      </c>
      <c r="L854" t="s">
        <v>74</v>
      </c>
      <c r="M854" t="s">
        <v>78</v>
      </c>
      <c r="N854" t="s">
        <v>79</v>
      </c>
      <c r="O854" t="s">
        <v>74</v>
      </c>
      <c r="P854" t="s">
        <v>74</v>
      </c>
      <c r="Q854" t="s">
        <v>74</v>
      </c>
      <c r="R854" t="s">
        <v>74</v>
      </c>
      <c r="S854" t="s">
        <v>74</v>
      </c>
      <c r="T854" t="s">
        <v>74</v>
      </c>
      <c r="U854" t="s">
        <v>74</v>
      </c>
      <c r="V854" t="s">
        <v>15741</v>
      </c>
      <c r="W854" t="s">
        <v>15742</v>
      </c>
      <c r="X854" t="s">
        <v>8226</v>
      </c>
      <c r="Y854" t="s">
        <v>15743</v>
      </c>
      <c r="Z854" t="s">
        <v>15744</v>
      </c>
      <c r="AA854" t="s">
        <v>74</v>
      </c>
      <c r="AB854" t="s">
        <v>74</v>
      </c>
      <c r="AC854" t="s">
        <v>74</v>
      </c>
      <c r="AD854" t="s">
        <v>74</v>
      </c>
      <c r="AE854" t="s">
        <v>74</v>
      </c>
      <c r="AF854" t="s">
        <v>74</v>
      </c>
      <c r="AG854">
        <v>17</v>
      </c>
      <c r="AH854">
        <v>6</v>
      </c>
      <c r="AI854">
        <v>7</v>
      </c>
      <c r="AJ854">
        <v>0</v>
      </c>
      <c r="AK854">
        <v>14</v>
      </c>
      <c r="AL854" t="s">
        <v>15112</v>
      </c>
      <c r="AM854" t="s">
        <v>377</v>
      </c>
      <c r="AN854" t="s">
        <v>15745</v>
      </c>
      <c r="AO854" t="s">
        <v>15746</v>
      </c>
      <c r="AP854" t="s">
        <v>15747</v>
      </c>
      <c r="AQ854" t="s">
        <v>74</v>
      </c>
      <c r="AR854" t="s">
        <v>15748</v>
      </c>
      <c r="AS854" t="s">
        <v>15749</v>
      </c>
      <c r="AT854" t="s">
        <v>13186</v>
      </c>
      <c r="AU854">
        <v>2014</v>
      </c>
      <c r="AV854">
        <v>71</v>
      </c>
      <c r="AW854">
        <v>1</v>
      </c>
      <c r="AX854" t="s">
        <v>74</v>
      </c>
      <c r="AY854" t="s">
        <v>74</v>
      </c>
      <c r="AZ854" t="s">
        <v>74</v>
      </c>
      <c r="BA854" t="s">
        <v>74</v>
      </c>
      <c r="BB854">
        <v>106</v>
      </c>
      <c r="BC854">
        <v>119</v>
      </c>
      <c r="BD854" t="s">
        <v>74</v>
      </c>
      <c r="BE854" t="s">
        <v>15750</v>
      </c>
      <c r="BF854" t="str">
        <f>HYPERLINK("http://dx.doi.org/10.1139/cjfas-2013-0016","http://dx.doi.org/10.1139/cjfas-2013-0016")</f>
        <v>http://dx.doi.org/10.1139/cjfas-2013-0016</v>
      </c>
      <c r="BG854" t="s">
        <v>74</v>
      </c>
      <c r="BH854" t="s">
        <v>74</v>
      </c>
      <c r="BI854">
        <v>14</v>
      </c>
      <c r="BJ854" t="s">
        <v>4412</v>
      </c>
      <c r="BK854" t="s">
        <v>101</v>
      </c>
      <c r="BL854" t="s">
        <v>4412</v>
      </c>
      <c r="BM854" t="s">
        <v>15751</v>
      </c>
      <c r="BN854" t="s">
        <v>74</v>
      </c>
      <c r="BO854" t="s">
        <v>74</v>
      </c>
      <c r="BP854" t="s">
        <v>74</v>
      </c>
      <c r="BQ854" t="s">
        <v>74</v>
      </c>
      <c r="BR854" t="s">
        <v>104</v>
      </c>
      <c r="BS854" t="s">
        <v>15752</v>
      </c>
      <c r="BT854" t="str">
        <f>HYPERLINK("https%3A%2F%2Fwww.webofscience.com%2Fwos%2Fwoscc%2Ffull-record%2FWOS:000329217900010","View Full Record in Web of Science")</f>
        <v>View Full Record in Web of Science</v>
      </c>
    </row>
    <row r="855" spans="1:72" x14ac:dyDescent="0.15">
      <c r="A855" t="s">
        <v>72</v>
      </c>
      <c r="B855" t="s">
        <v>15753</v>
      </c>
      <c r="C855" t="s">
        <v>74</v>
      </c>
      <c r="D855" t="s">
        <v>74</v>
      </c>
      <c r="E855" t="s">
        <v>74</v>
      </c>
      <c r="F855" t="s">
        <v>15754</v>
      </c>
      <c r="G855" t="s">
        <v>74</v>
      </c>
      <c r="H855" t="s">
        <v>74</v>
      </c>
      <c r="I855" t="s">
        <v>15755</v>
      </c>
      <c r="J855" t="s">
        <v>3427</v>
      </c>
      <c r="K855" t="s">
        <v>74</v>
      </c>
      <c r="L855" t="s">
        <v>74</v>
      </c>
      <c r="M855" t="s">
        <v>78</v>
      </c>
      <c r="N855" t="s">
        <v>79</v>
      </c>
      <c r="O855" t="s">
        <v>74</v>
      </c>
      <c r="P855" t="s">
        <v>74</v>
      </c>
      <c r="Q855" t="s">
        <v>74</v>
      </c>
      <c r="R855" t="s">
        <v>74</v>
      </c>
      <c r="S855" t="s">
        <v>74</v>
      </c>
      <c r="T855" t="s">
        <v>15756</v>
      </c>
      <c r="U855" t="s">
        <v>15757</v>
      </c>
      <c r="V855" t="s">
        <v>15758</v>
      </c>
      <c r="W855" t="s">
        <v>15759</v>
      </c>
      <c r="X855" t="s">
        <v>15760</v>
      </c>
      <c r="Y855" t="s">
        <v>15761</v>
      </c>
      <c r="Z855" t="s">
        <v>15762</v>
      </c>
      <c r="AA855" t="s">
        <v>15763</v>
      </c>
      <c r="AB855" t="s">
        <v>15764</v>
      </c>
      <c r="AC855" t="s">
        <v>15765</v>
      </c>
      <c r="AD855" t="s">
        <v>15766</v>
      </c>
      <c r="AE855" t="s">
        <v>15767</v>
      </c>
      <c r="AF855" t="s">
        <v>74</v>
      </c>
      <c r="AG855">
        <v>62</v>
      </c>
      <c r="AH855">
        <v>94</v>
      </c>
      <c r="AI855">
        <v>98</v>
      </c>
      <c r="AJ855">
        <v>0</v>
      </c>
      <c r="AK855">
        <v>56</v>
      </c>
      <c r="AL855" t="s">
        <v>145</v>
      </c>
      <c r="AM855" t="s">
        <v>92</v>
      </c>
      <c r="AN855" t="s">
        <v>3045</v>
      </c>
      <c r="AO855" t="s">
        <v>3438</v>
      </c>
      <c r="AP855" t="s">
        <v>3439</v>
      </c>
      <c r="AQ855" t="s">
        <v>74</v>
      </c>
      <c r="AR855" t="s">
        <v>3440</v>
      </c>
      <c r="AS855" t="s">
        <v>3441</v>
      </c>
      <c r="AT855" t="s">
        <v>13186</v>
      </c>
      <c r="AU855">
        <v>2014</v>
      </c>
      <c r="AV855">
        <v>42</v>
      </c>
      <c r="AW855" t="s">
        <v>1531</v>
      </c>
      <c r="AX855" t="s">
        <v>74</v>
      </c>
      <c r="AY855" t="s">
        <v>74</v>
      </c>
      <c r="AZ855" t="s">
        <v>74</v>
      </c>
      <c r="BA855" t="s">
        <v>74</v>
      </c>
      <c r="BB855">
        <v>121</v>
      </c>
      <c r="BC855">
        <v>138</v>
      </c>
      <c r="BD855" t="s">
        <v>74</v>
      </c>
      <c r="BE855" t="s">
        <v>15768</v>
      </c>
      <c r="BF855" t="str">
        <f>HYPERLINK("http://dx.doi.org/10.1007/s00382-012-1652-1","http://dx.doi.org/10.1007/s00382-012-1652-1")</f>
        <v>http://dx.doi.org/10.1007/s00382-012-1652-1</v>
      </c>
      <c r="BG855" t="s">
        <v>74</v>
      </c>
      <c r="BH855" t="s">
        <v>74</v>
      </c>
      <c r="BI855">
        <v>18</v>
      </c>
      <c r="BJ855" t="s">
        <v>1391</v>
      </c>
      <c r="BK855" t="s">
        <v>101</v>
      </c>
      <c r="BL855" t="s">
        <v>1391</v>
      </c>
      <c r="BM855" t="s">
        <v>15769</v>
      </c>
      <c r="BN855" t="s">
        <v>74</v>
      </c>
      <c r="BO855" t="s">
        <v>74</v>
      </c>
      <c r="BP855" t="s">
        <v>74</v>
      </c>
      <c r="BQ855" t="s">
        <v>74</v>
      </c>
      <c r="BR855" t="s">
        <v>104</v>
      </c>
      <c r="BS855" t="s">
        <v>15770</v>
      </c>
      <c r="BT855" t="str">
        <f>HYPERLINK("https%3A%2F%2Fwww.webofscience.com%2Fwos%2Fwoscc%2Ffull-record%2FWOS:000329238300008","View Full Record in Web of Science")</f>
        <v>View Full Record in Web of Science</v>
      </c>
    </row>
    <row r="856" spans="1:72" x14ac:dyDescent="0.15">
      <c r="A856" t="s">
        <v>72</v>
      </c>
      <c r="B856" t="s">
        <v>15771</v>
      </c>
      <c r="C856" t="s">
        <v>74</v>
      </c>
      <c r="D856" t="s">
        <v>74</v>
      </c>
      <c r="E856" t="s">
        <v>74</v>
      </c>
      <c r="F856" t="s">
        <v>15772</v>
      </c>
      <c r="G856" t="s">
        <v>74</v>
      </c>
      <c r="H856" t="s">
        <v>74</v>
      </c>
      <c r="I856" t="s">
        <v>15773</v>
      </c>
      <c r="J856" t="s">
        <v>3427</v>
      </c>
      <c r="K856" t="s">
        <v>74</v>
      </c>
      <c r="L856" t="s">
        <v>74</v>
      </c>
      <c r="M856" t="s">
        <v>78</v>
      </c>
      <c r="N856" t="s">
        <v>79</v>
      </c>
      <c r="O856" t="s">
        <v>74</v>
      </c>
      <c r="P856" t="s">
        <v>74</v>
      </c>
      <c r="Q856" t="s">
        <v>74</v>
      </c>
      <c r="R856" t="s">
        <v>74</v>
      </c>
      <c r="S856" t="s">
        <v>74</v>
      </c>
      <c r="T856" t="s">
        <v>15756</v>
      </c>
      <c r="U856" t="s">
        <v>15774</v>
      </c>
      <c r="V856" t="s">
        <v>15775</v>
      </c>
      <c r="W856" t="s">
        <v>15776</v>
      </c>
      <c r="X856" t="s">
        <v>15760</v>
      </c>
      <c r="Y856" t="s">
        <v>15777</v>
      </c>
      <c r="Z856" t="s">
        <v>15778</v>
      </c>
      <c r="AA856" t="s">
        <v>15763</v>
      </c>
      <c r="AB856" t="s">
        <v>15764</v>
      </c>
      <c r="AC856" t="s">
        <v>15765</v>
      </c>
      <c r="AD856" t="s">
        <v>15766</v>
      </c>
      <c r="AE856" t="s">
        <v>15779</v>
      </c>
      <c r="AF856" t="s">
        <v>74</v>
      </c>
      <c r="AG856">
        <v>51</v>
      </c>
      <c r="AH856">
        <v>93</v>
      </c>
      <c r="AI856">
        <v>95</v>
      </c>
      <c r="AJ856">
        <v>4</v>
      </c>
      <c r="AK856">
        <v>45</v>
      </c>
      <c r="AL856" t="s">
        <v>145</v>
      </c>
      <c r="AM856" t="s">
        <v>92</v>
      </c>
      <c r="AN856" t="s">
        <v>3045</v>
      </c>
      <c r="AO856" t="s">
        <v>3438</v>
      </c>
      <c r="AP856" t="s">
        <v>3439</v>
      </c>
      <c r="AQ856" t="s">
        <v>74</v>
      </c>
      <c r="AR856" t="s">
        <v>3440</v>
      </c>
      <c r="AS856" t="s">
        <v>3441</v>
      </c>
      <c r="AT856" t="s">
        <v>13186</v>
      </c>
      <c r="AU856">
        <v>2014</v>
      </c>
      <c r="AV856">
        <v>42</v>
      </c>
      <c r="AW856" t="s">
        <v>1531</v>
      </c>
      <c r="AX856" t="s">
        <v>74</v>
      </c>
      <c r="AY856" t="s">
        <v>74</v>
      </c>
      <c r="AZ856" t="s">
        <v>74</v>
      </c>
      <c r="BA856" t="s">
        <v>74</v>
      </c>
      <c r="BB856">
        <v>139</v>
      </c>
      <c r="BC856">
        <v>157</v>
      </c>
      <c r="BD856" t="s">
        <v>74</v>
      </c>
      <c r="BE856" t="s">
        <v>15780</v>
      </c>
      <c r="BF856" t="str">
        <f>HYPERLINK("http://dx.doi.org/10.1007/s00382-012-1653-0","http://dx.doi.org/10.1007/s00382-012-1653-0")</f>
        <v>http://dx.doi.org/10.1007/s00382-012-1653-0</v>
      </c>
      <c r="BG856" t="s">
        <v>74</v>
      </c>
      <c r="BH856" t="s">
        <v>74</v>
      </c>
      <c r="BI856">
        <v>19</v>
      </c>
      <c r="BJ856" t="s">
        <v>1391</v>
      </c>
      <c r="BK856" t="s">
        <v>101</v>
      </c>
      <c r="BL856" t="s">
        <v>1391</v>
      </c>
      <c r="BM856" t="s">
        <v>15769</v>
      </c>
      <c r="BN856" t="s">
        <v>74</v>
      </c>
      <c r="BO856" t="s">
        <v>74</v>
      </c>
      <c r="BP856" t="s">
        <v>74</v>
      </c>
      <c r="BQ856" t="s">
        <v>74</v>
      </c>
      <c r="BR856" t="s">
        <v>104</v>
      </c>
      <c r="BS856" t="s">
        <v>15781</v>
      </c>
      <c r="BT856" t="str">
        <f>HYPERLINK("https%3A%2F%2Fwww.webofscience.com%2Fwos%2Fwoscc%2Ffull-record%2FWOS:000329238300009","View Full Record in Web of Science")</f>
        <v>View Full Record in Web of Science</v>
      </c>
    </row>
    <row r="857" spans="1:72" x14ac:dyDescent="0.15">
      <c r="A857" t="s">
        <v>72</v>
      </c>
      <c r="B857" t="s">
        <v>15782</v>
      </c>
      <c r="C857" t="s">
        <v>74</v>
      </c>
      <c r="D857" t="s">
        <v>74</v>
      </c>
      <c r="E857" t="s">
        <v>74</v>
      </c>
      <c r="F857" t="s">
        <v>15783</v>
      </c>
      <c r="G857" t="s">
        <v>74</v>
      </c>
      <c r="H857" t="s">
        <v>74</v>
      </c>
      <c r="I857" t="s">
        <v>15784</v>
      </c>
      <c r="J857" t="s">
        <v>3427</v>
      </c>
      <c r="K857" t="s">
        <v>74</v>
      </c>
      <c r="L857" t="s">
        <v>74</v>
      </c>
      <c r="M857" t="s">
        <v>78</v>
      </c>
      <c r="N857" t="s">
        <v>79</v>
      </c>
      <c r="O857" t="s">
        <v>74</v>
      </c>
      <c r="P857" t="s">
        <v>74</v>
      </c>
      <c r="Q857" t="s">
        <v>74</v>
      </c>
      <c r="R857" t="s">
        <v>74</v>
      </c>
      <c r="S857" t="s">
        <v>74</v>
      </c>
      <c r="T857" t="s">
        <v>15785</v>
      </c>
      <c r="U857" t="s">
        <v>15786</v>
      </c>
      <c r="V857" t="s">
        <v>15787</v>
      </c>
      <c r="W857" t="s">
        <v>15788</v>
      </c>
      <c r="X857" t="s">
        <v>15789</v>
      </c>
      <c r="Y857" t="s">
        <v>15790</v>
      </c>
      <c r="Z857" t="s">
        <v>15791</v>
      </c>
      <c r="AA857" t="s">
        <v>15792</v>
      </c>
      <c r="AB857" t="s">
        <v>15793</v>
      </c>
      <c r="AC857" t="s">
        <v>15794</v>
      </c>
      <c r="AD857" t="s">
        <v>15795</v>
      </c>
      <c r="AE857" t="s">
        <v>15796</v>
      </c>
      <c r="AF857" t="s">
        <v>74</v>
      </c>
      <c r="AG857">
        <v>35</v>
      </c>
      <c r="AH857">
        <v>26</v>
      </c>
      <c r="AI857">
        <v>27</v>
      </c>
      <c r="AJ857">
        <v>2</v>
      </c>
      <c r="AK857">
        <v>24</v>
      </c>
      <c r="AL857" t="s">
        <v>145</v>
      </c>
      <c r="AM857" t="s">
        <v>92</v>
      </c>
      <c r="AN857" t="s">
        <v>472</v>
      </c>
      <c r="AO857" t="s">
        <v>3438</v>
      </c>
      <c r="AP857" t="s">
        <v>3439</v>
      </c>
      <c r="AQ857" t="s">
        <v>74</v>
      </c>
      <c r="AR857" t="s">
        <v>3440</v>
      </c>
      <c r="AS857" t="s">
        <v>3441</v>
      </c>
      <c r="AT857" t="s">
        <v>13186</v>
      </c>
      <c r="AU857">
        <v>2014</v>
      </c>
      <c r="AV857">
        <v>42</v>
      </c>
      <c r="AW857" t="s">
        <v>1531</v>
      </c>
      <c r="AX857" t="s">
        <v>74</v>
      </c>
      <c r="AY857" t="s">
        <v>74</v>
      </c>
      <c r="AZ857" t="s">
        <v>74</v>
      </c>
      <c r="BA857" t="s">
        <v>74</v>
      </c>
      <c r="BB857">
        <v>311</v>
      </c>
      <c r="BC857">
        <v>328</v>
      </c>
      <c r="BD857" t="s">
        <v>74</v>
      </c>
      <c r="BE857" t="s">
        <v>15797</v>
      </c>
      <c r="BF857" t="str">
        <f>HYPERLINK("http://dx.doi.org/10.1007/s00382-012-1576-9","http://dx.doi.org/10.1007/s00382-012-1576-9")</f>
        <v>http://dx.doi.org/10.1007/s00382-012-1576-9</v>
      </c>
      <c r="BG857" t="s">
        <v>74</v>
      </c>
      <c r="BH857" t="s">
        <v>74</v>
      </c>
      <c r="BI857">
        <v>18</v>
      </c>
      <c r="BJ857" t="s">
        <v>1391</v>
      </c>
      <c r="BK857" t="s">
        <v>101</v>
      </c>
      <c r="BL857" t="s">
        <v>1391</v>
      </c>
      <c r="BM857" t="s">
        <v>15769</v>
      </c>
      <c r="BN857" t="s">
        <v>74</v>
      </c>
      <c r="BO857" t="s">
        <v>270</v>
      </c>
      <c r="BP857" t="s">
        <v>74</v>
      </c>
      <c r="BQ857" t="s">
        <v>74</v>
      </c>
      <c r="BR857" t="s">
        <v>104</v>
      </c>
      <c r="BS857" t="s">
        <v>15798</v>
      </c>
      <c r="BT857" t="str">
        <f>HYPERLINK("https%3A%2F%2Fwww.webofscience.com%2Fwos%2Fwoscc%2Ffull-record%2FWOS:000329238300019","View Full Record in Web of Science")</f>
        <v>View Full Record in Web of Science</v>
      </c>
    </row>
    <row r="858" spans="1:72" x14ac:dyDescent="0.15">
      <c r="A858" t="s">
        <v>72</v>
      </c>
      <c r="B858" t="s">
        <v>15799</v>
      </c>
      <c r="C858" t="s">
        <v>74</v>
      </c>
      <c r="D858" t="s">
        <v>74</v>
      </c>
      <c r="E858" t="s">
        <v>74</v>
      </c>
      <c r="F858" t="s">
        <v>15800</v>
      </c>
      <c r="G858" t="s">
        <v>74</v>
      </c>
      <c r="H858" t="s">
        <v>74</v>
      </c>
      <c r="I858" t="s">
        <v>15801</v>
      </c>
      <c r="J858" t="s">
        <v>3427</v>
      </c>
      <c r="K858" t="s">
        <v>74</v>
      </c>
      <c r="L858" t="s">
        <v>74</v>
      </c>
      <c r="M858" t="s">
        <v>78</v>
      </c>
      <c r="N858" t="s">
        <v>79</v>
      </c>
      <c r="O858" t="s">
        <v>74</v>
      </c>
      <c r="P858" t="s">
        <v>74</v>
      </c>
      <c r="Q858" t="s">
        <v>74</v>
      </c>
      <c r="R858" t="s">
        <v>74</v>
      </c>
      <c r="S858" t="s">
        <v>74</v>
      </c>
      <c r="T858" t="s">
        <v>15802</v>
      </c>
      <c r="U858" t="s">
        <v>15803</v>
      </c>
      <c r="V858" t="s">
        <v>15804</v>
      </c>
      <c r="W858" t="s">
        <v>15805</v>
      </c>
      <c r="X858" t="s">
        <v>2827</v>
      </c>
      <c r="Y858" t="s">
        <v>15806</v>
      </c>
      <c r="Z858" t="s">
        <v>2829</v>
      </c>
      <c r="AA858" t="s">
        <v>15807</v>
      </c>
      <c r="AB858" t="s">
        <v>15808</v>
      </c>
      <c r="AC858" t="s">
        <v>74</v>
      </c>
      <c r="AD858" t="s">
        <v>74</v>
      </c>
      <c r="AE858" t="s">
        <v>74</v>
      </c>
      <c r="AF858" t="s">
        <v>74</v>
      </c>
      <c r="AG858">
        <v>39</v>
      </c>
      <c r="AH858">
        <v>5</v>
      </c>
      <c r="AI858">
        <v>5</v>
      </c>
      <c r="AJ858">
        <v>0</v>
      </c>
      <c r="AK858">
        <v>11</v>
      </c>
      <c r="AL858" t="s">
        <v>145</v>
      </c>
      <c r="AM858" t="s">
        <v>92</v>
      </c>
      <c r="AN858" t="s">
        <v>3045</v>
      </c>
      <c r="AO858" t="s">
        <v>3438</v>
      </c>
      <c r="AP858" t="s">
        <v>3439</v>
      </c>
      <c r="AQ858" t="s">
        <v>74</v>
      </c>
      <c r="AR858" t="s">
        <v>3440</v>
      </c>
      <c r="AS858" t="s">
        <v>3441</v>
      </c>
      <c r="AT858" t="s">
        <v>13186</v>
      </c>
      <c r="AU858">
        <v>2014</v>
      </c>
      <c r="AV858">
        <v>42</v>
      </c>
      <c r="AW858" t="s">
        <v>1531</v>
      </c>
      <c r="AX858" t="s">
        <v>74</v>
      </c>
      <c r="AY858" t="s">
        <v>74</v>
      </c>
      <c r="AZ858" t="s">
        <v>74</v>
      </c>
      <c r="BA858" t="s">
        <v>74</v>
      </c>
      <c r="BB858">
        <v>401</v>
      </c>
      <c r="BC858">
        <v>416</v>
      </c>
      <c r="BD858" t="s">
        <v>74</v>
      </c>
      <c r="BE858" t="s">
        <v>15809</v>
      </c>
      <c r="BF858" t="str">
        <f>HYPERLINK("http://dx.doi.org/10.1007/s00382-012-1595-6","http://dx.doi.org/10.1007/s00382-012-1595-6")</f>
        <v>http://dx.doi.org/10.1007/s00382-012-1595-6</v>
      </c>
      <c r="BG858" t="s">
        <v>74</v>
      </c>
      <c r="BH858" t="s">
        <v>74</v>
      </c>
      <c r="BI858">
        <v>16</v>
      </c>
      <c r="BJ858" t="s">
        <v>1391</v>
      </c>
      <c r="BK858" t="s">
        <v>101</v>
      </c>
      <c r="BL858" t="s">
        <v>1391</v>
      </c>
      <c r="BM858" t="s">
        <v>15769</v>
      </c>
      <c r="BN858" t="s">
        <v>74</v>
      </c>
      <c r="BO858" t="s">
        <v>74</v>
      </c>
      <c r="BP858" t="s">
        <v>74</v>
      </c>
      <c r="BQ858" t="s">
        <v>74</v>
      </c>
      <c r="BR858" t="s">
        <v>104</v>
      </c>
      <c r="BS858" t="s">
        <v>15810</v>
      </c>
      <c r="BT858" t="str">
        <f>HYPERLINK("https%3A%2F%2Fwww.webofscience.com%2Fwos%2Fwoscc%2Ffull-record%2FWOS:000329238300024","View Full Record in Web of Science")</f>
        <v>View Full Record in Web of Science</v>
      </c>
    </row>
    <row r="859" spans="1:72" x14ac:dyDescent="0.15">
      <c r="A859" t="s">
        <v>72</v>
      </c>
      <c r="B859" t="s">
        <v>15811</v>
      </c>
      <c r="C859" t="s">
        <v>74</v>
      </c>
      <c r="D859" t="s">
        <v>74</v>
      </c>
      <c r="E859" t="s">
        <v>74</v>
      </c>
      <c r="F859" t="s">
        <v>15812</v>
      </c>
      <c r="G859" t="s">
        <v>74</v>
      </c>
      <c r="H859" t="s">
        <v>74</v>
      </c>
      <c r="I859" t="s">
        <v>15813</v>
      </c>
      <c r="J859" t="s">
        <v>2481</v>
      </c>
      <c r="K859" t="s">
        <v>74</v>
      </c>
      <c r="L859" t="s">
        <v>74</v>
      </c>
      <c r="M859" t="s">
        <v>78</v>
      </c>
      <c r="N859" t="s">
        <v>79</v>
      </c>
      <c r="O859" t="s">
        <v>74</v>
      </c>
      <c r="P859" t="s">
        <v>74</v>
      </c>
      <c r="Q859" t="s">
        <v>74</v>
      </c>
      <c r="R859" t="s">
        <v>74</v>
      </c>
      <c r="S859" t="s">
        <v>74</v>
      </c>
      <c r="T859" t="s">
        <v>15814</v>
      </c>
      <c r="U859" t="s">
        <v>15815</v>
      </c>
      <c r="V859" t="s">
        <v>15816</v>
      </c>
      <c r="W859" t="s">
        <v>15817</v>
      </c>
      <c r="X859" t="s">
        <v>2827</v>
      </c>
      <c r="Y859" t="s">
        <v>2828</v>
      </c>
      <c r="Z859" t="s">
        <v>2829</v>
      </c>
      <c r="AA859" t="s">
        <v>15818</v>
      </c>
      <c r="AB859" t="s">
        <v>15819</v>
      </c>
      <c r="AC859" t="s">
        <v>2832</v>
      </c>
      <c r="AD859" t="s">
        <v>2833</v>
      </c>
      <c r="AE859" t="s">
        <v>15820</v>
      </c>
      <c r="AF859" t="s">
        <v>74</v>
      </c>
      <c r="AG859">
        <v>32</v>
      </c>
      <c r="AH859">
        <v>11</v>
      </c>
      <c r="AI859">
        <v>11</v>
      </c>
      <c r="AJ859">
        <v>1</v>
      </c>
      <c r="AK859">
        <v>6</v>
      </c>
      <c r="AL859" t="s">
        <v>876</v>
      </c>
      <c r="AM859" t="s">
        <v>877</v>
      </c>
      <c r="AN859" t="s">
        <v>878</v>
      </c>
      <c r="AO859" t="s">
        <v>2493</v>
      </c>
      <c r="AP859" t="s">
        <v>2494</v>
      </c>
      <c r="AQ859" t="s">
        <v>74</v>
      </c>
      <c r="AR859" t="s">
        <v>2495</v>
      </c>
      <c r="AS859" t="s">
        <v>2496</v>
      </c>
      <c r="AT859" t="s">
        <v>13186</v>
      </c>
      <c r="AU859">
        <v>2014</v>
      </c>
      <c r="AV859">
        <v>31</v>
      </c>
      <c r="AW859">
        <v>1</v>
      </c>
      <c r="AX859" t="s">
        <v>74</v>
      </c>
      <c r="AY859" t="s">
        <v>74</v>
      </c>
      <c r="AZ859" t="s">
        <v>74</v>
      </c>
      <c r="BA859" t="s">
        <v>74</v>
      </c>
      <c r="BB859">
        <v>216</v>
      </c>
      <c r="BC859">
        <v>232</v>
      </c>
      <c r="BD859" t="s">
        <v>74</v>
      </c>
      <c r="BE859" t="s">
        <v>15821</v>
      </c>
      <c r="BF859" t="str">
        <f>HYPERLINK("http://dx.doi.org/10.1175/JTECH-D-13-00052.1","http://dx.doi.org/10.1175/JTECH-D-13-00052.1")</f>
        <v>http://dx.doi.org/10.1175/JTECH-D-13-00052.1</v>
      </c>
      <c r="BG859" t="s">
        <v>74</v>
      </c>
      <c r="BH859" t="s">
        <v>74</v>
      </c>
      <c r="BI859">
        <v>17</v>
      </c>
      <c r="BJ859" t="s">
        <v>2498</v>
      </c>
      <c r="BK859" t="s">
        <v>101</v>
      </c>
      <c r="BL859" t="s">
        <v>2499</v>
      </c>
      <c r="BM859" t="s">
        <v>15822</v>
      </c>
      <c r="BN859" t="s">
        <v>74</v>
      </c>
      <c r="BO859" t="s">
        <v>15823</v>
      </c>
      <c r="BP859" t="s">
        <v>74</v>
      </c>
      <c r="BQ859" t="s">
        <v>74</v>
      </c>
      <c r="BR859" t="s">
        <v>104</v>
      </c>
      <c r="BS859" t="s">
        <v>15824</v>
      </c>
      <c r="BT859" t="str">
        <f>HYPERLINK("https%3A%2F%2Fwww.webofscience.com%2Fwos%2Fwoscc%2Ffull-record%2FWOS:000329544600009","View Full Record in Web of Science")</f>
        <v>View Full Record in Web of Science</v>
      </c>
    </row>
    <row r="860" spans="1:72" x14ac:dyDescent="0.15">
      <c r="A860" t="s">
        <v>72</v>
      </c>
      <c r="B860" t="s">
        <v>15825</v>
      </c>
      <c r="C860" t="s">
        <v>74</v>
      </c>
      <c r="D860" t="s">
        <v>74</v>
      </c>
      <c r="E860" t="s">
        <v>74</v>
      </c>
      <c r="F860" t="s">
        <v>15826</v>
      </c>
      <c r="G860" t="s">
        <v>74</v>
      </c>
      <c r="H860" t="s">
        <v>74</v>
      </c>
      <c r="I860" t="s">
        <v>15827</v>
      </c>
      <c r="J860" t="s">
        <v>3110</v>
      </c>
      <c r="K860" t="s">
        <v>74</v>
      </c>
      <c r="L860" t="s">
        <v>74</v>
      </c>
      <c r="M860" t="s">
        <v>78</v>
      </c>
      <c r="N860" t="s">
        <v>79</v>
      </c>
      <c r="O860" t="s">
        <v>74</v>
      </c>
      <c r="P860" t="s">
        <v>74</v>
      </c>
      <c r="Q860" t="s">
        <v>74</v>
      </c>
      <c r="R860" t="s">
        <v>74</v>
      </c>
      <c r="S860" t="s">
        <v>74</v>
      </c>
      <c r="T860" t="s">
        <v>15828</v>
      </c>
      <c r="U860" t="s">
        <v>15829</v>
      </c>
      <c r="V860" t="s">
        <v>15830</v>
      </c>
      <c r="W860" t="s">
        <v>15831</v>
      </c>
      <c r="X860" t="s">
        <v>15832</v>
      </c>
      <c r="Y860" t="s">
        <v>15833</v>
      </c>
      <c r="Z860" t="s">
        <v>15834</v>
      </c>
      <c r="AA860" t="s">
        <v>15835</v>
      </c>
      <c r="AB860" t="s">
        <v>15836</v>
      </c>
      <c r="AC860" t="s">
        <v>15837</v>
      </c>
      <c r="AD860" t="s">
        <v>15838</v>
      </c>
      <c r="AE860" t="s">
        <v>15839</v>
      </c>
      <c r="AF860" t="s">
        <v>74</v>
      </c>
      <c r="AG860">
        <v>59</v>
      </c>
      <c r="AH860">
        <v>7</v>
      </c>
      <c r="AI860">
        <v>7</v>
      </c>
      <c r="AJ860">
        <v>1</v>
      </c>
      <c r="AK860">
        <v>22</v>
      </c>
      <c r="AL860" t="s">
        <v>876</v>
      </c>
      <c r="AM860" t="s">
        <v>877</v>
      </c>
      <c r="AN860" t="s">
        <v>15840</v>
      </c>
      <c r="AO860" t="s">
        <v>3123</v>
      </c>
      <c r="AP860" t="s">
        <v>3124</v>
      </c>
      <c r="AQ860" t="s">
        <v>74</v>
      </c>
      <c r="AR860" t="s">
        <v>3125</v>
      </c>
      <c r="AS860" t="s">
        <v>3126</v>
      </c>
      <c r="AT860" t="s">
        <v>13186</v>
      </c>
      <c r="AU860">
        <v>2014</v>
      </c>
      <c r="AV860">
        <v>27</v>
      </c>
      <c r="AW860">
        <v>1</v>
      </c>
      <c r="AX860" t="s">
        <v>74</v>
      </c>
      <c r="AY860" t="s">
        <v>74</v>
      </c>
      <c r="AZ860" t="s">
        <v>74</v>
      </c>
      <c r="BA860" t="s">
        <v>74</v>
      </c>
      <c r="BB860">
        <v>168</v>
      </c>
      <c r="BC860">
        <v>185</v>
      </c>
      <c r="BD860" t="s">
        <v>74</v>
      </c>
      <c r="BE860" t="s">
        <v>15841</v>
      </c>
      <c r="BF860" t="str">
        <f>HYPERLINK("http://dx.doi.org/10.1175/JCLI-D-12-00849.1","http://dx.doi.org/10.1175/JCLI-D-12-00849.1")</f>
        <v>http://dx.doi.org/10.1175/JCLI-D-12-00849.1</v>
      </c>
      <c r="BG860" t="s">
        <v>74</v>
      </c>
      <c r="BH860" t="s">
        <v>74</v>
      </c>
      <c r="BI860">
        <v>18</v>
      </c>
      <c r="BJ860" t="s">
        <v>1391</v>
      </c>
      <c r="BK860" t="s">
        <v>101</v>
      </c>
      <c r="BL860" t="s">
        <v>1391</v>
      </c>
      <c r="BM860" t="s">
        <v>15842</v>
      </c>
      <c r="BN860" t="s">
        <v>74</v>
      </c>
      <c r="BO860" t="s">
        <v>200</v>
      </c>
      <c r="BP860" t="s">
        <v>74</v>
      </c>
      <c r="BQ860" t="s">
        <v>74</v>
      </c>
      <c r="BR860" t="s">
        <v>104</v>
      </c>
      <c r="BS860" t="s">
        <v>15843</v>
      </c>
      <c r="BT860" t="str">
        <f>HYPERLINK("https%3A%2F%2Fwww.webofscience.com%2Fwos%2Fwoscc%2Ffull-record%2FWOS:000329276000011","View Full Record in Web of Science")</f>
        <v>View Full Record in Web of Science</v>
      </c>
    </row>
    <row r="861" spans="1:72" x14ac:dyDescent="0.15">
      <c r="A861" t="s">
        <v>72</v>
      </c>
      <c r="B861" t="s">
        <v>15844</v>
      </c>
      <c r="C861" t="s">
        <v>74</v>
      </c>
      <c r="D861" t="s">
        <v>74</v>
      </c>
      <c r="E861" t="s">
        <v>74</v>
      </c>
      <c r="F861" t="s">
        <v>15845</v>
      </c>
      <c r="G861" t="s">
        <v>74</v>
      </c>
      <c r="H861" t="s">
        <v>74</v>
      </c>
      <c r="I861" t="s">
        <v>15846</v>
      </c>
      <c r="J861" t="s">
        <v>15847</v>
      </c>
      <c r="K861" t="s">
        <v>74</v>
      </c>
      <c r="L861" t="s">
        <v>74</v>
      </c>
      <c r="M861" t="s">
        <v>78</v>
      </c>
      <c r="N861" t="s">
        <v>79</v>
      </c>
      <c r="O861" t="s">
        <v>74</v>
      </c>
      <c r="P861" t="s">
        <v>74</v>
      </c>
      <c r="Q861" t="s">
        <v>74</v>
      </c>
      <c r="R861" t="s">
        <v>74</v>
      </c>
      <c r="S861" t="s">
        <v>74</v>
      </c>
      <c r="T861" t="s">
        <v>15848</v>
      </c>
      <c r="U861" t="s">
        <v>15849</v>
      </c>
      <c r="V861" t="s">
        <v>15850</v>
      </c>
      <c r="W861" t="s">
        <v>15851</v>
      </c>
      <c r="X861" t="s">
        <v>15852</v>
      </c>
      <c r="Y861" t="s">
        <v>15853</v>
      </c>
      <c r="Z861" t="s">
        <v>15854</v>
      </c>
      <c r="AA861" t="s">
        <v>15855</v>
      </c>
      <c r="AB861" t="s">
        <v>15856</v>
      </c>
      <c r="AC861" t="s">
        <v>15857</v>
      </c>
      <c r="AD861" t="s">
        <v>15858</v>
      </c>
      <c r="AE861" t="s">
        <v>15859</v>
      </c>
      <c r="AF861" t="s">
        <v>74</v>
      </c>
      <c r="AG861">
        <v>35</v>
      </c>
      <c r="AH861">
        <v>7</v>
      </c>
      <c r="AI861">
        <v>8</v>
      </c>
      <c r="AJ861">
        <v>1</v>
      </c>
      <c r="AK861">
        <v>30</v>
      </c>
      <c r="AL861" t="s">
        <v>1020</v>
      </c>
      <c r="AM861" t="s">
        <v>1021</v>
      </c>
      <c r="AN861" t="s">
        <v>1022</v>
      </c>
      <c r="AO861" t="s">
        <v>15860</v>
      </c>
      <c r="AP861" t="s">
        <v>15861</v>
      </c>
      <c r="AQ861" t="s">
        <v>74</v>
      </c>
      <c r="AR861" t="s">
        <v>15862</v>
      </c>
      <c r="AS861" t="s">
        <v>15863</v>
      </c>
      <c r="AT861" t="s">
        <v>13186</v>
      </c>
      <c r="AU861">
        <v>2014</v>
      </c>
      <c r="AV861">
        <v>64</v>
      </c>
      <c r="AW861">
        <v>1</v>
      </c>
      <c r="AX861" t="s">
        <v>74</v>
      </c>
      <c r="AY861" t="s">
        <v>74</v>
      </c>
      <c r="AZ861" t="s">
        <v>74</v>
      </c>
      <c r="BA861" t="s">
        <v>74</v>
      </c>
      <c r="BB861">
        <v>61</v>
      </c>
      <c r="BC861">
        <v>78</v>
      </c>
      <c r="BD861" t="s">
        <v>74</v>
      </c>
      <c r="BE861" t="s">
        <v>15864</v>
      </c>
      <c r="BF861" t="str">
        <f>HYPERLINK("http://dx.doi.org/10.1007/s10236-013-0671-8","http://dx.doi.org/10.1007/s10236-013-0671-8")</f>
        <v>http://dx.doi.org/10.1007/s10236-013-0671-8</v>
      </c>
      <c r="BG861" t="s">
        <v>74</v>
      </c>
      <c r="BH861" t="s">
        <v>74</v>
      </c>
      <c r="BI861">
        <v>18</v>
      </c>
      <c r="BJ861" t="s">
        <v>785</v>
      </c>
      <c r="BK861" t="s">
        <v>101</v>
      </c>
      <c r="BL861" t="s">
        <v>785</v>
      </c>
      <c r="BM861" t="s">
        <v>15865</v>
      </c>
      <c r="BN861" t="s">
        <v>74</v>
      </c>
      <c r="BO861" t="s">
        <v>270</v>
      </c>
      <c r="BP861" t="s">
        <v>74</v>
      </c>
      <c r="BQ861" t="s">
        <v>74</v>
      </c>
      <c r="BR861" t="s">
        <v>104</v>
      </c>
      <c r="BS861" t="s">
        <v>15866</v>
      </c>
      <c r="BT861" t="str">
        <f>HYPERLINK("https%3A%2F%2Fwww.webofscience.com%2Fwos%2Fwoscc%2Ffull-record%2FWOS:000329248500005","View Full Record in Web of Science")</f>
        <v>View Full Record in Web of Science</v>
      </c>
    </row>
    <row r="862" spans="1:72" x14ac:dyDescent="0.15">
      <c r="A862" t="s">
        <v>72</v>
      </c>
      <c r="B862" t="s">
        <v>15867</v>
      </c>
      <c r="C862" t="s">
        <v>74</v>
      </c>
      <c r="D862" t="s">
        <v>74</v>
      </c>
      <c r="E862" t="s">
        <v>74</v>
      </c>
      <c r="F862" t="s">
        <v>15868</v>
      </c>
      <c r="G862" t="s">
        <v>74</v>
      </c>
      <c r="H862" t="s">
        <v>74</v>
      </c>
      <c r="I862" t="s">
        <v>15869</v>
      </c>
      <c r="J862" t="s">
        <v>77</v>
      </c>
      <c r="K862" t="s">
        <v>74</v>
      </c>
      <c r="L862" t="s">
        <v>74</v>
      </c>
      <c r="M862" t="s">
        <v>78</v>
      </c>
      <c r="N862" t="s">
        <v>79</v>
      </c>
      <c r="O862" t="s">
        <v>74</v>
      </c>
      <c r="P862" t="s">
        <v>74</v>
      </c>
      <c r="Q862" t="s">
        <v>74</v>
      </c>
      <c r="R862" t="s">
        <v>74</v>
      </c>
      <c r="S862" t="s">
        <v>74</v>
      </c>
      <c r="T862" t="s">
        <v>74</v>
      </c>
      <c r="U862" t="s">
        <v>15870</v>
      </c>
      <c r="V862" t="s">
        <v>15871</v>
      </c>
      <c r="W862" t="s">
        <v>15872</v>
      </c>
      <c r="X862" t="s">
        <v>15873</v>
      </c>
      <c r="Y862" t="s">
        <v>15874</v>
      </c>
      <c r="Z862" t="s">
        <v>15875</v>
      </c>
      <c r="AA862" t="s">
        <v>15876</v>
      </c>
      <c r="AB862" t="s">
        <v>15877</v>
      </c>
      <c r="AC862" t="s">
        <v>74</v>
      </c>
      <c r="AD862" t="s">
        <v>74</v>
      </c>
      <c r="AE862" t="s">
        <v>74</v>
      </c>
      <c r="AF862" t="s">
        <v>74</v>
      </c>
      <c r="AG862">
        <v>39</v>
      </c>
      <c r="AH862">
        <v>18</v>
      </c>
      <c r="AI862">
        <v>18</v>
      </c>
      <c r="AJ862">
        <v>0</v>
      </c>
      <c r="AK862">
        <v>30</v>
      </c>
      <c r="AL862" t="s">
        <v>91</v>
      </c>
      <c r="AM862" t="s">
        <v>92</v>
      </c>
      <c r="AN862" t="s">
        <v>93</v>
      </c>
      <c r="AO862" t="s">
        <v>94</v>
      </c>
      <c r="AP862" t="s">
        <v>95</v>
      </c>
      <c r="AQ862" t="s">
        <v>74</v>
      </c>
      <c r="AR862" t="s">
        <v>96</v>
      </c>
      <c r="AS862" t="s">
        <v>97</v>
      </c>
      <c r="AT862" t="s">
        <v>13186</v>
      </c>
      <c r="AU862">
        <v>2014</v>
      </c>
      <c r="AV862">
        <v>50</v>
      </c>
      <c r="AW862">
        <v>1</v>
      </c>
      <c r="AX862" t="s">
        <v>74</v>
      </c>
      <c r="AY862" t="s">
        <v>74</v>
      </c>
      <c r="AZ862" t="s">
        <v>74</v>
      </c>
      <c r="BA862" t="s">
        <v>74</v>
      </c>
      <c r="BB862">
        <v>31</v>
      </c>
      <c r="BC862">
        <v>36</v>
      </c>
      <c r="BD862" t="s">
        <v>74</v>
      </c>
      <c r="BE862" t="s">
        <v>15878</v>
      </c>
      <c r="BF862" t="str">
        <f>HYPERLINK("http://dx.doi.org/10.1017/S0032247412000563","http://dx.doi.org/10.1017/S0032247412000563")</f>
        <v>http://dx.doi.org/10.1017/S0032247412000563</v>
      </c>
      <c r="BG862" t="s">
        <v>74</v>
      </c>
      <c r="BH862" t="s">
        <v>74</v>
      </c>
      <c r="BI862">
        <v>6</v>
      </c>
      <c r="BJ862" t="s">
        <v>100</v>
      </c>
      <c r="BK862" t="s">
        <v>101</v>
      </c>
      <c r="BL862" t="s">
        <v>102</v>
      </c>
      <c r="BM862" t="s">
        <v>15879</v>
      </c>
      <c r="BN862" t="s">
        <v>74</v>
      </c>
      <c r="BO862" t="s">
        <v>74</v>
      </c>
      <c r="BP862" t="s">
        <v>74</v>
      </c>
      <c r="BQ862" t="s">
        <v>74</v>
      </c>
      <c r="BR862" t="s">
        <v>104</v>
      </c>
      <c r="BS862" t="s">
        <v>15880</v>
      </c>
      <c r="BT862" t="str">
        <f>HYPERLINK("https%3A%2F%2Fwww.webofscience.com%2Fwos%2Fwoscc%2Ffull-record%2FWOS:000328472100002","View Full Record in Web of Science")</f>
        <v>View Full Record in Web of Science</v>
      </c>
    </row>
    <row r="863" spans="1:72" x14ac:dyDescent="0.15">
      <c r="A863" t="s">
        <v>72</v>
      </c>
      <c r="B863" t="s">
        <v>15881</v>
      </c>
      <c r="C863" t="s">
        <v>74</v>
      </c>
      <c r="D863" t="s">
        <v>74</v>
      </c>
      <c r="E863" t="s">
        <v>74</v>
      </c>
      <c r="F863" t="s">
        <v>15882</v>
      </c>
      <c r="G863" t="s">
        <v>74</v>
      </c>
      <c r="H863" t="s">
        <v>74</v>
      </c>
      <c r="I863" t="s">
        <v>15883</v>
      </c>
      <c r="J863" t="s">
        <v>77</v>
      </c>
      <c r="K863" t="s">
        <v>74</v>
      </c>
      <c r="L863" t="s">
        <v>74</v>
      </c>
      <c r="M863" t="s">
        <v>78</v>
      </c>
      <c r="N863" t="s">
        <v>79</v>
      </c>
      <c r="O863" t="s">
        <v>74</v>
      </c>
      <c r="P863" t="s">
        <v>74</v>
      </c>
      <c r="Q863" t="s">
        <v>74</v>
      </c>
      <c r="R863" t="s">
        <v>74</v>
      </c>
      <c r="S863" t="s">
        <v>74</v>
      </c>
      <c r="T863" t="s">
        <v>74</v>
      </c>
      <c r="U863" t="s">
        <v>74</v>
      </c>
      <c r="V863" t="s">
        <v>15884</v>
      </c>
      <c r="W863" t="s">
        <v>15885</v>
      </c>
      <c r="X863" t="s">
        <v>15886</v>
      </c>
      <c r="Y863" t="s">
        <v>15887</v>
      </c>
      <c r="Z863" t="s">
        <v>15888</v>
      </c>
      <c r="AA863" t="s">
        <v>74</v>
      </c>
      <c r="AB863" t="s">
        <v>74</v>
      </c>
      <c r="AC863" t="s">
        <v>74</v>
      </c>
      <c r="AD863" t="s">
        <v>74</v>
      </c>
      <c r="AE863" t="s">
        <v>74</v>
      </c>
      <c r="AF863" t="s">
        <v>74</v>
      </c>
      <c r="AG863">
        <v>15</v>
      </c>
      <c r="AH863">
        <v>0</v>
      </c>
      <c r="AI863">
        <v>0</v>
      </c>
      <c r="AJ863">
        <v>0</v>
      </c>
      <c r="AK863">
        <v>2</v>
      </c>
      <c r="AL863" t="s">
        <v>91</v>
      </c>
      <c r="AM863" t="s">
        <v>92</v>
      </c>
      <c r="AN863" t="s">
        <v>93</v>
      </c>
      <c r="AO863" t="s">
        <v>94</v>
      </c>
      <c r="AP863" t="s">
        <v>95</v>
      </c>
      <c r="AQ863" t="s">
        <v>74</v>
      </c>
      <c r="AR863" t="s">
        <v>96</v>
      </c>
      <c r="AS863" t="s">
        <v>97</v>
      </c>
      <c r="AT863" t="s">
        <v>13186</v>
      </c>
      <c r="AU863">
        <v>2014</v>
      </c>
      <c r="AV863">
        <v>50</v>
      </c>
      <c r="AW863">
        <v>1</v>
      </c>
      <c r="AX863" t="s">
        <v>74</v>
      </c>
      <c r="AY863" t="s">
        <v>74</v>
      </c>
      <c r="AZ863" t="s">
        <v>74</v>
      </c>
      <c r="BA863" t="s">
        <v>74</v>
      </c>
      <c r="BB863">
        <v>37</v>
      </c>
      <c r="BC863">
        <v>42</v>
      </c>
      <c r="BD863" t="s">
        <v>74</v>
      </c>
      <c r="BE863" t="s">
        <v>15889</v>
      </c>
      <c r="BF863" t="str">
        <f>HYPERLINK("http://dx.doi.org/10.1017/S0032247412000423","http://dx.doi.org/10.1017/S0032247412000423")</f>
        <v>http://dx.doi.org/10.1017/S0032247412000423</v>
      </c>
      <c r="BG863" t="s">
        <v>74</v>
      </c>
      <c r="BH863" t="s">
        <v>74</v>
      </c>
      <c r="BI863">
        <v>6</v>
      </c>
      <c r="BJ863" t="s">
        <v>100</v>
      </c>
      <c r="BK863" t="s">
        <v>101</v>
      </c>
      <c r="BL863" t="s">
        <v>102</v>
      </c>
      <c r="BM863" t="s">
        <v>15879</v>
      </c>
      <c r="BN863" t="s">
        <v>74</v>
      </c>
      <c r="BO863" t="s">
        <v>74</v>
      </c>
      <c r="BP863" t="s">
        <v>74</v>
      </c>
      <c r="BQ863" t="s">
        <v>74</v>
      </c>
      <c r="BR863" t="s">
        <v>104</v>
      </c>
      <c r="BS863" t="s">
        <v>15890</v>
      </c>
      <c r="BT863" t="str">
        <f>HYPERLINK("https%3A%2F%2Fwww.webofscience.com%2Fwos%2Fwoscc%2Ffull-record%2FWOS:000328472100003","View Full Record in Web of Science")</f>
        <v>View Full Record in Web of Science</v>
      </c>
    </row>
    <row r="864" spans="1:72" x14ac:dyDescent="0.15">
      <c r="A864" t="s">
        <v>72</v>
      </c>
      <c r="B864" t="s">
        <v>15891</v>
      </c>
      <c r="C864" t="s">
        <v>74</v>
      </c>
      <c r="D864" t="s">
        <v>74</v>
      </c>
      <c r="E864" t="s">
        <v>74</v>
      </c>
      <c r="F864" t="s">
        <v>15892</v>
      </c>
      <c r="G864" t="s">
        <v>74</v>
      </c>
      <c r="H864" t="s">
        <v>74</v>
      </c>
      <c r="I864" t="s">
        <v>15893</v>
      </c>
      <c r="J864" t="s">
        <v>77</v>
      </c>
      <c r="K864" t="s">
        <v>74</v>
      </c>
      <c r="L864" t="s">
        <v>74</v>
      </c>
      <c r="M864" t="s">
        <v>78</v>
      </c>
      <c r="N864" t="s">
        <v>79</v>
      </c>
      <c r="O864" t="s">
        <v>74</v>
      </c>
      <c r="P864" t="s">
        <v>74</v>
      </c>
      <c r="Q864" t="s">
        <v>74</v>
      </c>
      <c r="R864" t="s">
        <v>74</v>
      </c>
      <c r="S864" t="s">
        <v>74</v>
      </c>
      <c r="T864" t="s">
        <v>74</v>
      </c>
      <c r="U864" t="s">
        <v>74</v>
      </c>
      <c r="V864" t="s">
        <v>15894</v>
      </c>
      <c r="W864" t="s">
        <v>15895</v>
      </c>
      <c r="X864" t="s">
        <v>2827</v>
      </c>
      <c r="Y864" t="s">
        <v>15896</v>
      </c>
      <c r="Z864" t="s">
        <v>15897</v>
      </c>
      <c r="AA864" t="s">
        <v>74</v>
      </c>
      <c r="AB864" t="s">
        <v>74</v>
      </c>
      <c r="AC864" t="s">
        <v>74</v>
      </c>
      <c r="AD864" t="s">
        <v>74</v>
      </c>
      <c r="AE864" t="s">
        <v>74</v>
      </c>
      <c r="AF864" t="s">
        <v>74</v>
      </c>
      <c r="AG864">
        <v>59</v>
      </c>
      <c r="AH864">
        <v>1</v>
      </c>
      <c r="AI864">
        <v>2</v>
      </c>
      <c r="AJ864">
        <v>0</v>
      </c>
      <c r="AK864">
        <v>23</v>
      </c>
      <c r="AL864" t="s">
        <v>91</v>
      </c>
      <c r="AM864" t="s">
        <v>92</v>
      </c>
      <c r="AN864" t="s">
        <v>93</v>
      </c>
      <c r="AO864" t="s">
        <v>94</v>
      </c>
      <c r="AP864" t="s">
        <v>95</v>
      </c>
      <c r="AQ864" t="s">
        <v>74</v>
      </c>
      <c r="AR864" t="s">
        <v>96</v>
      </c>
      <c r="AS864" t="s">
        <v>97</v>
      </c>
      <c r="AT864" t="s">
        <v>13186</v>
      </c>
      <c r="AU864">
        <v>2014</v>
      </c>
      <c r="AV864">
        <v>50</v>
      </c>
      <c r="AW864">
        <v>1</v>
      </c>
      <c r="AX864" t="s">
        <v>74</v>
      </c>
      <c r="AY864" t="s">
        <v>74</v>
      </c>
      <c r="AZ864" t="s">
        <v>74</v>
      </c>
      <c r="BA864" t="s">
        <v>74</v>
      </c>
      <c r="BB864">
        <v>43</v>
      </c>
      <c r="BC864">
        <v>59</v>
      </c>
      <c r="BD864" t="s">
        <v>74</v>
      </c>
      <c r="BE864" t="s">
        <v>15898</v>
      </c>
      <c r="BF864" t="str">
        <f>HYPERLINK("http://dx.doi.org/10.1017/S0032247412000496","http://dx.doi.org/10.1017/S0032247412000496")</f>
        <v>http://dx.doi.org/10.1017/S0032247412000496</v>
      </c>
      <c r="BG864" t="s">
        <v>74</v>
      </c>
      <c r="BH864" t="s">
        <v>74</v>
      </c>
      <c r="BI864">
        <v>17</v>
      </c>
      <c r="BJ864" t="s">
        <v>100</v>
      </c>
      <c r="BK864" t="s">
        <v>479</v>
      </c>
      <c r="BL864" t="s">
        <v>102</v>
      </c>
      <c r="BM864" t="s">
        <v>15879</v>
      </c>
      <c r="BN864" t="s">
        <v>74</v>
      </c>
      <c r="BO864" t="s">
        <v>74</v>
      </c>
      <c r="BP864" t="s">
        <v>74</v>
      </c>
      <c r="BQ864" t="s">
        <v>74</v>
      </c>
      <c r="BR864" t="s">
        <v>104</v>
      </c>
      <c r="BS864" t="s">
        <v>15899</v>
      </c>
      <c r="BT864" t="str">
        <f>HYPERLINK("https%3A%2F%2Fwww.webofscience.com%2Fwos%2Fwoscc%2Ffull-record%2FWOS:000328472100004","View Full Record in Web of Science")</f>
        <v>View Full Record in Web of Science</v>
      </c>
    </row>
    <row r="865" spans="1:72" x14ac:dyDescent="0.15">
      <c r="A865" t="s">
        <v>72</v>
      </c>
      <c r="B865" t="s">
        <v>15900</v>
      </c>
      <c r="C865" t="s">
        <v>74</v>
      </c>
      <c r="D865" t="s">
        <v>74</v>
      </c>
      <c r="E865" t="s">
        <v>74</v>
      </c>
      <c r="F865" t="s">
        <v>15901</v>
      </c>
      <c r="G865" t="s">
        <v>74</v>
      </c>
      <c r="H865" t="s">
        <v>74</v>
      </c>
      <c r="I865" t="s">
        <v>15902</v>
      </c>
      <c r="J865" t="s">
        <v>77</v>
      </c>
      <c r="K865" t="s">
        <v>74</v>
      </c>
      <c r="L865" t="s">
        <v>74</v>
      </c>
      <c r="M865" t="s">
        <v>78</v>
      </c>
      <c r="N865" t="s">
        <v>79</v>
      </c>
      <c r="O865" t="s">
        <v>74</v>
      </c>
      <c r="P865" t="s">
        <v>74</v>
      </c>
      <c r="Q865" t="s">
        <v>74</v>
      </c>
      <c r="R865" t="s">
        <v>74</v>
      </c>
      <c r="S865" t="s">
        <v>74</v>
      </c>
      <c r="T865" t="s">
        <v>74</v>
      </c>
      <c r="U865" t="s">
        <v>74</v>
      </c>
      <c r="V865" t="s">
        <v>15903</v>
      </c>
      <c r="W865" t="s">
        <v>15904</v>
      </c>
      <c r="X865" t="s">
        <v>2827</v>
      </c>
      <c r="Y865" t="s">
        <v>15905</v>
      </c>
      <c r="Z865" t="s">
        <v>15906</v>
      </c>
      <c r="AA865" t="s">
        <v>11768</v>
      </c>
      <c r="AB865" t="s">
        <v>11769</v>
      </c>
      <c r="AC865" t="s">
        <v>74</v>
      </c>
      <c r="AD865" t="s">
        <v>74</v>
      </c>
      <c r="AE865" t="s">
        <v>74</v>
      </c>
      <c r="AF865" t="s">
        <v>74</v>
      </c>
      <c r="AG865">
        <v>42</v>
      </c>
      <c r="AH865">
        <v>6</v>
      </c>
      <c r="AI865">
        <v>6</v>
      </c>
      <c r="AJ865">
        <v>1</v>
      </c>
      <c r="AK865">
        <v>18</v>
      </c>
      <c r="AL865" t="s">
        <v>91</v>
      </c>
      <c r="AM865" t="s">
        <v>92</v>
      </c>
      <c r="AN865" t="s">
        <v>93</v>
      </c>
      <c r="AO865" t="s">
        <v>94</v>
      </c>
      <c r="AP865" t="s">
        <v>95</v>
      </c>
      <c r="AQ865" t="s">
        <v>74</v>
      </c>
      <c r="AR865" t="s">
        <v>96</v>
      </c>
      <c r="AS865" t="s">
        <v>97</v>
      </c>
      <c r="AT865" t="s">
        <v>13186</v>
      </c>
      <c r="AU865">
        <v>2014</v>
      </c>
      <c r="AV865">
        <v>50</v>
      </c>
      <c r="AW865">
        <v>1</v>
      </c>
      <c r="AX865" t="s">
        <v>74</v>
      </c>
      <c r="AY865" t="s">
        <v>74</v>
      </c>
      <c r="AZ865" t="s">
        <v>74</v>
      </c>
      <c r="BA865" t="s">
        <v>74</v>
      </c>
      <c r="BB865">
        <v>60</v>
      </c>
      <c r="BC865">
        <v>71</v>
      </c>
      <c r="BD865" t="s">
        <v>74</v>
      </c>
      <c r="BE865" t="s">
        <v>15907</v>
      </c>
      <c r="BF865" t="str">
        <f>HYPERLINK("http://dx.doi.org/10.1017/S0032247412000459","http://dx.doi.org/10.1017/S0032247412000459")</f>
        <v>http://dx.doi.org/10.1017/S0032247412000459</v>
      </c>
      <c r="BG865" t="s">
        <v>74</v>
      </c>
      <c r="BH865" t="s">
        <v>74</v>
      </c>
      <c r="BI865">
        <v>12</v>
      </c>
      <c r="BJ865" t="s">
        <v>100</v>
      </c>
      <c r="BK865" t="s">
        <v>479</v>
      </c>
      <c r="BL865" t="s">
        <v>102</v>
      </c>
      <c r="BM865" t="s">
        <v>15879</v>
      </c>
      <c r="BN865" t="s">
        <v>74</v>
      </c>
      <c r="BO865" t="s">
        <v>74</v>
      </c>
      <c r="BP865" t="s">
        <v>74</v>
      </c>
      <c r="BQ865" t="s">
        <v>74</v>
      </c>
      <c r="BR865" t="s">
        <v>104</v>
      </c>
      <c r="BS865" t="s">
        <v>15908</v>
      </c>
      <c r="BT865" t="str">
        <f>HYPERLINK("https%3A%2F%2Fwww.webofscience.com%2Fwos%2Fwoscc%2Ffull-record%2FWOS:000328472100005","View Full Record in Web of Science")</f>
        <v>View Full Record in Web of Science</v>
      </c>
    </row>
    <row r="866" spans="1:72" x14ac:dyDescent="0.15">
      <c r="A866" t="s">
        <v>72</v>
      </c>
      <c r="B866" t="s">
        <v>15909</v>
      </c>
      <c r="C866" t="s">
        <v>74</v>
      </c>
      <c r="D866" t="s">
        <v>74</v>
      </c>
      <c r="E866" t="s">
        <v>74</v>
      </c>
      <c r="F866" t="s">
        <v>15910</v>
      </c>
      <c r="G866" t="s">
        <v>74</v>
      </c>
      <c r="H866" t="s">
        <v>74</v>
      </c>
      <c r="I866" t="s">
        <v>15911</v>
      </c>
      <c r="J866" t="s">
        <v>77</v>
      </c>
      <c r="K866" t="s">
        <v>74</v>
      </c>
      <c r="L866" t="s">
        <v>74</v>
      </c>
      <c r="M866" t="s">
        <v>78</v>
      </c>
      <c r="N866" t="s">
        <v>79</v>
      </c>
      <c r="O866" t="s">
        <v>74</v>
      </c>
      <c r="P866" t="s">
        <v>74</v>
      </c>
      <c r="Q866" t="s">
        <v>74</v>
      </c>
      <c r="R866" t="s">
        <v>74</v>
      </c>
      <c r="S866" t="s">
        <v>74</v>
      </c>
      <c r="T866" t="s">
        <v>74</v>
      </c>
      <c r="U866" t="s">
        <v>15912</v>
      </c>
      <c r="V866" t="s">
        <v>15913</v>
      </c>
      <c r="W866" t="s">
        <v>15914</v>
      </c>
      <c r="X866" t="s">
        <v>15915</v>
      </c>
      <c r="Y866" t="s">
        <v>15916</v>
      </c>
      <c r="Z866" t="s">
        <v>15917</v>
      </c>
      <c r="AA866" t="s">
        <v>15918</v>
      </c>
      <c r="AB866" t="s">
        <v>15919</v>
      </c>
      <c r="AC866" t="s">
        <v>15920</v>
      </c>
      <c r="AD866" t="s">
        <v>15921</v>
      </c>
      <c r="AE866" t="s">
        <v>15922</v>
      </c>
      <c r="AF866" t="s">
        <v>74</v>
      </c>
      <c r="AG866">
        <v>55</v>
      </c>
      <c r="AH866">
        <v>52</v>
      </c>
      <c r="AI866">
        <v>57</v>
      </c>
      <c r="AJ866">
        <v>4</v>
      </c>
      <c r="AK866">
        <v>106</v>
      </c>
      <c r="AL866" t="s">
        <v>91</v>
      </c>
      <c r="AM866" t="s">
        <v>92</v>
      </c>
      <c r="AN866" t="s">
        <v>93</v>
      </c>
      <c r="AO866" t="s">
        <v>94</v>
      </c>
      <c r="AP866" t="s">
        <v>95</v>
      </c>
      <c r="AQ866" t="s">
        <v>74</v>
      </c>
      <c r="AR866" t="s">
        <v>96</v>
      </c>
      <c r="AS866" t="s">
        <v>97</v>
      </c>
      <c r="AT866" t="s">
        <v>13186</v>
      </c>
      <c r="AU866">
        <v>2014</v>
      </c>
      <c r="AV866">
        <v>50</v>
      </c>
      <c r="AW866">
        <v>1</v>
      </c>
      <c r="AX866" t="s">
        <v>74</v>
      </c>
      <c r="AY866" t="s">
        <v>74</v>
      </c>
      <c r="AZ866" t="s">
        <v>74</v>
      </c>
      <c r="BA866" t="s">
        <v>74</v>
      </c>
      <c r="BB866">
        <v>92</v>
      </c>
      <c r="BC866">
        <v>107</v>
      </c>
      <c r="BD866" t="s">
        <v>74</v>
      </c>
      <c r="BE866" t="s">
        <v>15923</v>
      </c>
      <c r="BF866" t="str">
        <f>HYPERLINK("http://dx.doi.org/10.1017/S0032247412000757","http://dx.doi.org/10.1017/S0032247412000757")</f>
        <v>http://dx.doi.org/10.1017/S0032247412000757</v>
      </c>
      <c r="BG866" t="s">
        <v>74</v>
      </c>
      <c r="BH866" t="s">
        <v>74</v>
      </c>
      <c r="BI866">
        <v>16</v>
      </c>
      <c r="BJ866" t="s">
        <v>100</v>
      </c>
      <c r="BK866" t="s">
        <v>101</v>
      </c>
      <c r="BL866" t="s">
        <v>102</v>
      </c>
      <c r="BM866" t="s">
        <v>15879</v>
      </c>
      <c r="BN866" t="s">
        <v>74</v>
      </c>
      <c r="BO866" t="s">
        <v>74</v>
      </c>
      <c r="BP866" t="s">
        <v>74</v>
      </c>
      <c r="BQ866" t="s">
        <v>74</v>
      </c>
      <c r="BR866" t="s">
        <v>104</v>
      </c>
      <c r="BS866" t="s">
        <v>15924</v>
      </c>
      <c r="BT866" t="str">
        <f>HYPERLINK("https%3A%2F%2Fwww.webofscience.com%2Fwos%2Fwoscc%2Ffull-record%2FWOS:000328472100009","View Full Record in Web of Science")</f>
        <v>View Full Record in Web of Science</v>
      </c>
    </row>
    <row r="867" spans="1:72" x14ac:dyDescent="0.15">
      <c r="A867" t="s">
        <v>72</v>
      </c>
      <c r="B867" t="s">
        <v>15925</v>
      </c>
      <c r="C867" t="s">
        <v>74</v>
      </c>
      <c r="D867" t="s">
        <v>74</v>
      </c>
      <c r="E867" t="s">
        <v>74</v>
      </c>
      <c r="F867" t="s">
        <v>15926</v>
      </c>
      <c r="G867" t="s">
        <v>74</v>
      </c>
      <c r="H867" t="s">
        <v>74</v>
      </c>
      <c r="I867" t="s">
        <v>15927</v>
      </c>
      <c r="J867" t="s">
        <v>15928</v>
      </c>
      <c r="K867" t="s">
        <v>74</v>
      </c>
      <c r="L867" t="s">
        <v>74</v>
      </c>
      <c r="M867" t="s">
        <v>78</v>
      </c>
      <c r="N867" t="s">
        <v>79</v>
      </c>
      <c r="O867" t="s">
        <v>74</v>
      </c>
      <c r="P867" t="s">
        <v>74</v>
      </c>
      <c r="Q867" t="s">
        <v>74</v>
      </c>
      <c r="R867" t="s">
        <v>74</v>
      </c>
      <c r="S867" t="s">
        <v>74</v>
      </c>
      <c r="T867" t="s">
        <v>15929</v>
      </c>
      <c r="U867" t="s">
        <v>74</v>
      </c>
      <c r="V867" t="s">
        <v>15930</v>
      </c>
      <c r="W867" t="s">
        <v>15931</v>
      </c>
      <c r="X867" t="s">
        <v>5312</v>
      </c>
      <c r="Y867" t="s">
        <v>15932</v>
      </c>
      <c r="Z867" t="s">
        <v>15933</v>
      </c>
      <c r="AA867" t="s">
        <v>74</v>
      </c>
      <c r="AB867" t="s">
        <v>74</v>
      </c>
      <c r="AC867" t="s">
        <v>74</v>
      </c>
      <c r="AD867" t="s">
        <v>74</v>
      </c>
      <c r="AE867" t="s">
        <v>74</v>
      </c>
      <c r="AF867" t="s">
        <v>74</v>
      </c>
      <c r="AG867">
        <v>16</v>
      </c>
      <c r="AH867">
        <v>10</v>
      </c>
      <c r="AI867">
        <v>10</v>
      </c>
      <c r="AJ867">
        <v>0</v>
      </c>
      <c r="AK867">
        <v>11</v>
      </c>
      <c r="AL867" t="s">
        <v>8717</v>
      </c>
      <c r="AM867" t="s">
        <v>5747</v>
      </c>
      <c r="AN867" t="s">
        <v>8718</v>
      </c>
      <c r="AO867" t="s">
        <v>15934</v>
      </c>
      <c r="AP867" t="s">
        <v>15935</v>
      </c>
      <c r="AQ867" t="s">
        <v>74</v>
      </c>
      <c r="AR867" t="s">
        <v>15936</v>
      </c>
      <c r="AS867" t="s">
        <v>15937</v>
      </c>
      <c r="AT867" t="s">
        <v>14963</v>
      </c>
      <c r="AU867">
        <v>2014</v>
      </c>
      <c r="AV867">
        <v>68</v>
      </c>
      <c r="AW867">
        <v>1</v>
      </c>
      <c r="AX867" t="s">
        <v>74</v>
      </c>
      <c r="AY867" t="s">
        <v>74</v>
      </c>
      <c r="AZ867" t="s">
        <v>74</v>
      </c>
      <c r="BA867" t="s">
        <v>74</v>
      </c>
      <c r="BB867">
        <v>1</v>
      </c>
      <c r="BC867">
        <v>16</v>
      </c>
      <c r="BD867" t="s">
        <v>74</v>
      </c>
      <c r="BE867" t="s">
        <v>15938</v>
      </c>
      <c r="BF867" t="str">
        <f>HYPERLINK("http://dx.doi.org/10.1080/10357718.2013.841121","http://dx.doi.org/10.1080/10357718.2013.841121")</f>
        <v>http://dx.doi.org/10.1080/10357718.2013.841121</v>
      </c>
      <c r="BG867" t="s">
        <v>74</v>
      </c>
      <c r="BH867" t="s">
        <v>74</v>
      </c>
      <c r="BI867">
        <v>16</v>
      </c>
      <c r="BJ867" t="s">
        <v>15939</v>
      </c>
      <c r="BK867" t="s">
        <v>8725</v>
      </c>
      <c r="BL867" t="s">
        <v>15939</v>
      </c>
      <c r="BM867" t="s">
        <v>15940</v>
      </c>
      <c r="BN867" t="s">
        <v>74</v>
      </c>
      <c r="BO867" t="s">
        <v>74</v>
      </c>
      <c r="BP867" t="s">
        <v>74</v>
      </c>
      <c r="BQ867" t="s">
        <v>74</v>
      </c>
      <c r="BR867" t="s">
        <v>104</v>
      </c>
      <c r="BS867" t="s">
        <v>15941</v>
      </c>
      <c r="BT867" t="str">
        <f>HYPERLINK("https%3A%2F%2Fwww.webofscience.com%2Fwos%2Fwoscc%2Ffull-record%2FWOS:000328247100001","View Full Record in Web of Science")</f>
        <v>View Full Record in Web of Science</v>
      </c>
    </row>
    <row r="868" spans="1:72" x14ac:dyDescent="0.15">
      <c r="A868" t="s">
        <v>72</v>
      </c>
      <c r="B868" t="s">
        <v>15942</v>
      </c>
      <c r="C868" t="s">
        <v>74</v>
      </c>
      <c r="D868" t="s">
        <v>74</v>
      </c>
      <c r="E868" t="s">
        <v>74</v>
      </c>
      <c r="F868" t="s">
        <v>15943</v>
      </c>
      <c r="G868" t="s">
        <v>74</v>
      </c>
      <c r="H868" t="s">
        <v>74</v>
      </c>
      <c r="I868" t="s">
        <v>15944</v>
      </c>
      <c r="J868" t="s">
        <v>15945</v>
      </c>
      <c r="K868" t="s">
        <v>74</v>
      </c>
      <c r="L868" t="s">
        <v>74</v>
      </c>
      <c r="M868" t="s">
        <v>78</v>
      </c>
      <c r="N868" t="s">
        <v>79</v>
      </c>
      <c r="O868" t="s">
        <v>74</v>
      </c>
      <c r="P868" t="s">
        <v>74</v>
      </c>
      <c r="Q868" t="s">
        <v>74</v>
      </c>
      <c r="R868" t="s">
        <v>74</v>
      </c>
      <c r="S868" t="s">
        <v>74</v>
      </c>
      <c r="T868" t="s">
        <v>15946</v>
      </c>
      <c r="U868" t="s">
        <v>15947</v>
      </c>
      <c r="V868" t="s">
        <v>15948</v>
      </c>
      <c r="W868" t="s">
        <v>15949</v>
      </c>
      <c r="X868" t="s">
        <v>15950</v>
      </c>
      <c r="Y868" t="s">
        <v>15951</v>
      </c>
      <c r="Z868" t="s">
        <v>15952</v>
      </c>
      <c r="AA868" t="s">
        <v>15953</v>
      </c>
      <c r="AB868" t="s">
        <v>15954</v>
      </c>
      <c r="AC868" t="s">
        <v>15955</v>
      </c>
      <c r="AD868" t="s">
        <v>15956</v>
      </c>
      <c r="AE868" t="s">
        <v>15957</v>
      </c>
      <c r="AF868" t="s">
        <v>74</v>
      </c>
      <c r="AG868">
        <v>41</v>
      </c>
      <c r="AH868">
        <v>41</v>
      </c>
      <c r="AI868">
        <v>43</v>
      </c>
      <c r="AJ868">
        <v>2</v>
      </c>
      <c r="AK868">
        <v>57</v>
      </c>
      <c r="AL868" t="s">
        <v>946</v>
      </c>
      <c r="AM868" t="s">
        <v>522</v>
      </c>
      <c r="AN868" t="s">
        <v>947</v>
      </c>
      <c r="AO868" t="s">
        <v>15958</v>
      </c>
      <c r="AP868" t="s">
        <v>15959</v>
      </c>
      <c r="AQ868" t="s">
        <v>74</v>
      </c>
      <c r="AR868" t="s">
        <v>15945</v>
      </c>
      <c r="AS868" t="s">
        <v>15960</v>
      </c>
      <c r="AT868" t="s">
        <v>13186</v>
      </c>
      <c r="AU868">
        <v>2014</v>
      </c>
      <c r="AV868">
        <v>95</v>
      </c>
      <c r="AW868" t="s">
        <v>74</v>
      </c>
      <c r="AX868" t="s">
        <v>74</v>
      </c>
      <c r="AY868" t="s">
        <v>74</v>
      </c>
      <c r="AZ868" t="s">
        <v>74</v>
      </c>
      <c r="BA868" t="s">
        <v>74</v>
      </c>
      <c r="BB868">
        <v>227</v>
      </c>
      <c r="BC868">
        <v>233</v>
      </c>
      <c r="BD868" t="s">
        <v>74</v>
      </c>
      <c r="BE868" t="s">
        <v>15961</v>
      </c>
      <c r="BF868" t="str">
        <f>HYPERLINK("http://dx.doi.org/10.1016/j.chemosphere.2013.08.081","http://dx.doi.org/10.1016/j.chemosphere.2013.08.081")</f>
        <v>http://dx.doi.org/10.1016/j.chemosphere.2013.08.081</v>
      </c>
      <c r="BG868" t="s">
        <v>74</v>
      </c>
      <c r="BH868" t="s">
        <v>74</v>
      </c>
      <c r="BI868">
        <v>7</v>
      </c>
      <c r="BJ868" t="s">
        <v>478</v>
      </c>
      <c r="BK868" t="s">
        <v>101</v>
      </c>
      <c r="BL868" t="s">
        <v>102</v>
      </c>
      <c r="BM868" t="s">
        <v>15962</v>
      </c>
      <c r="BN868">
        <v>24079999</v>
      </c>
      <c r="BO868" t="s">
        <v>74</v>
      </c>
      <c r="BP868" t="s">
        <v>74</v>
      </c>
      <c r="BQ868" t="s">
        <v>74</v>
      </c>
      <c r="BR868" t="s">
        <v>104</v>
      </c>
      <c r="BS868" t="s">
        <v>15963</v>
      </c>
      <c r="BT868" t="str">
        <f>HYPERLINK("https%3A%2F%2Fwww.webofscience.com%2Fwos%2Fwoscc%2Ffull-record%2FWOS:000328868400032","View Full Record in Web of Science")</f>
        <v>View Full Record in Web of Science</v>
      </c>
    </row>
    <row r="869" spans="1:72" x14ac:dyDescent="0.15">
      <c r="A869" t="s">
        <v>72</v>
      </c>
      <c r="B869" t="s">
        <v>15964</v>
      </c>
      <c r="C869" t="s">
        <v>74</v>
      </c>
      <c r="D869" t="s">
        <v>74</v>
      </c>
      <c r="E869" t="s">
        <v>74</v>
      </c>
      <c r="F869" t="s">
        <v>15965</v>
      </c>
      <c r="G869" t="s">
        <v>74</v>
      </c>
      <c r="H869" t="s">
        <v>74</v>
      </c>
      <c r="I869" t="s">
        <v>15966</v>
      </c>
      <c r="J869" t="s">
        <v>15967</v>
      </c>
      <c r="K869" t="s">
        <v>74</v>
      </c>
      <c r="L869" t="s">
        <v>74</v>
      </c>
      <c r="M869" t="s">
        <v>78</v>
      </c>
      <c r="N869" t="s">
        <v>79</v>
      </c>
      <c r="O869" t="s">
        <v>74</v>
      </c>
      <c r="P869" t="s">
        <v>74</v>
      </c>
      <c r="Q869" t="s">
        <v>74</v>
      </c>
      <c r="R869" t="s">
        <v>74</v>
      </c>
      <c r="S869" t="s">
        <v>74</v>
      </c>
      <c r="T869" t="s">
        <v>15968</v>
      </c>
      <c r="U869" t="s">
        <v>15969</v>
      </c>
      <c r="V869" t="s">
        <v>15970</v>
      </c>
      <c r="W869" t="s">
        <v>15971</v>
      </c>
      <c r="X869" t="s">
        <v>15972</v>
      </c>
      <c r="Y869" t="s">
        <v>15973</v>
      </c>
      <c r="Z869" t="s">
        <v>15974</v>
      </c>
      <c r="AA869" t="s">
        <v>15975</v>
      </c>
      <c r="AB869" t="s">
        <v>15976</v>
      </c>
      <c r="AC869" t="s">
        <v>15977</v>
      </c>
      <c r="AD869" t="s">
        <v>15978</v>
      </c>
      <c r="AE869" t="s">
        <v>15979</v>
      </c>
      <c r="AF869" t="s">
        <v>74</v>
      </c>
      <c r="AG869">
        <v>56</v>
      </c>
      <c r="AH869">
        <v>31</v>
      </c>
      <c r="AI869">
        <v>34</v>
      </c>
      <c r="AJ869">
        <v>0</v>
      </c>
      <c r="AK869">
        <v>34</v>
      </c>
      <c r="AL869" t="s">
        <v>1048</v>
      </c>
      <c r="AM869" t="s">
        <v>522</v>
      </c>
      <c r="AN869" t="s">
        <v>1049</v>
      </c>
      <c r="AO869" t="s">
        <v>15980</v>
      </c>
      <c r="AP869" t="s">
        <v>15981</v>
      </c>
      <c r="AQ869" t="s">
        <v>74</v>
      </c>
      <c r="AR869" t="s">
        <v>15982</v>
      </c>
      <c r="AS869" t="s">
        <v>15983</v>
      </c>
      <c r="AT869" t="s">
        <v>13186</v>
      </c>
      <c r="AU869">
        <v>2014</v>
      </c>
      <c r="AV869">
        <v>87</v>
      </c>
      <c r="AW869">
        <v>1</v>
      </c>
      <c r="AX869" t="s">
        <v>74</v>
      </c>
      <c r="AY869" t="s">
        <v>74</v>
      </c>
      <c r="AZ869" t="s">
        <v>74</v>
      </c>
      <c r="BA869" t="s">
        <v>74</v>
      </c>
      <c r="BB869">
        <v>153</v>
      </c>
      <c r="BC869">
        <v>163</v>
      </c>
      <c r="BD869" t="s">
        <v>74</v>
      </c>
      <c r="BE869" t="s">
        <v>15984</v>
      </c>
      <c r="BF869" t="str">
        <f>HYPERLINK("http://dx.doi.org/10.1111/1574-6941.12213","http://dx.doi.org/10.1111/1574-6941.12213")</f>
        <v>http://dx.doi.org/10.1111/1574-6941.12213</v>
      </c>
      <c r="BG869" t="s">
        <v>74</v>
      </c>
      <c r="BH869" t="s">
        <v>74</v>
      </c>
      <c r="BI869">
        <v>11</v>
      </c>
      <c r="BJ869" t="s">
        <v>3624</v>
      </c>
      <c r="BK869" t="s">
        <v>101</v>
      </c>
      <c r="BL869" t="s">
        <v>3624</v>
      </c>
      <c r="BM869" t="s">
        <v>15985</v>
      </c>
      <c r="BN869">
        <v>24020443</v>
      </c>
      <c r="BO869" t="s">
        <v>74</v>
      </c>
      <c r="BP869" t="s">
        <v>74</v>
      </c>
      <c r="BQ869" t="s">
        <v>74</v>
      </c>
      <c r="BR869" t="s">
        <v>104</v>
      </c>
      <c r="BS869" t="s">
        <v>15986</v>
      </c>
      <c r="BT869" t="str">
        <f>HYPERLINK("https%3A%2F%2Fwww.webofscience.com%2Fwos%2Fwoscc%2Ffull-record%2FWOS:000329170100015","View Full Record in Web of Science")</f>
        <v>View Full Record in Web of Science</v>
      </c>
    </row>
    <row r="870" spans="1:72" x14ac:dyDescent="0.15">
      <c r="A870" t="s">
        <v>72</v>
      </c>
      <c r="B870" t="s">
        <v>15987</v>
      </c>
      <c r="C870" t="s">
        <v>74</v>
      </c>
      <c r="D870" t="s">
        <v>74</v>
      </c>
      <c r="E870" t="s">
        <v>74</v>
      </c>
      <c r="F870" t="s">
        <v>15988</v>
      </c>
      <c r="G870" t="s">
        <v>74</v>
      </c>
      <c r="H870" t="s">
        <v>74</v>
      </c>
      <c r="I870" t="s">
        <v>15989</v>
      </c>
      <c r="J870" t="s">
        <v>4683</v>
      </c>
      <c r="K870" t="s">
        <v>74</v>
      </c>
      <c r="L870" t="s">
        <v>74</v>
      </c>
      <c r="M870" t="s">
        <v>78</v>
      </c>
      <c r="N870" t="s">
        <v>79</v>
      </c>
      <c r="O870" t="s">
        <v>74</v>
      </c>
      <c r="P870" t="s">
        <v>74</v>
      </c>
      <c r="Q870" t="s">
        <v>74</v>
      </c>
      <c r="R870" t="s">
        <v>74</v>
      </c>
      <c r="S870" t="s">
        <v>74</v>
      </c>
      <c r="T870" t="s">
        <v>15990</v>
      </c>
      <c r="U870" t="s">
        <v>15991</v>
      </c>
      <c r="V870" t="s">
        <v>15992</v>
      </c>
      <c r="W870" t="s">
        <v>15993</v>
      </c>
      <c r="X870" t="s">
        <v>5675</v>
      </c>
      <c r="Y870" t="s">
        <v>15994</v>
      </c>
      <c r="Z870" t="s">
        <v>15995</v>
      </c>
      <c r="AA870" t="s">
        <v>74</v>
      </c>
      <c r="AB870" t="s">
        <v>15996</v>
      </c>
      <c r="AC870" t="s">
        <v>15997</v>
      </c>
      <c r="AD870" t="s">
        <v>15998</v>
      </c>
      <c r="AE870" t="s">
        <v>15999</v>
      </c>
      <c r="AF870" t="s">
        <v>74</v>
      </c>
      <c r="AG870">
        <v>38</v>
      </c>
      <c r="AH870">
        <v>44</v>
      </c>
      <c r="AI870">
        <v>46</v>
      </c>
      <c r="AJ870">
        <v>0</v>
      </c>
      <c r="AK870">
        <v>23</v>
      </c>
      <c r="AL870" t="s">
        <v>2597</v>
      </c>
      <c r="AM870" t="s">
        <v>2598</v>
      </c>
      <c r="AN870" t="s">
        <v>2599</v>
      </c>
      <c r="AO870" t="s">
        <v>4696</v>
      </c>
      <c r="AP870" t="s">
        <v>4697</v>
      </c>
      <c r="AQ870" t="s">
        <v>74</v>
      </c>
      <c r="AR870" t="s">
        <v>4698</v>
      </c>
      <c r="AS870" t="s">
        <v>4699</v>
      </c>
      <c r="AT870" t="s">
        <v>13186</v>
      </c>
      <c r="AU870">
        <v>2014</v>
      </c>
      <c r="AV870">
        <v>52</v>
      </c>
      <c r="AW870">
        <v>1</v>
      </c>
      <c r="AX870">
        <v>1</v>
      </c>
      <c r="AY870" t="s">
        <v>74</v>
      </c>
      <c r="AZ870" t="s">
        <v>74</v>
      </c>
      <c r="BA870" t="s">
        <v>74</v>
      </c>
      <c r="BB870">
        <v>25</v>
      </c>
      <c r="BC870">
        <v>37</v>
      </c>
      <c r="BD870" t="s">
        <v>74</v>
      </c>
      <c r="BE870" t="s">
        <v>16000</v>
      </c>
      <c r="BF870" t="str">
        <f>HYPERLINK("http://dx.doi.org/10.1109/TGRS.2012.2234756","http://dx.doi.org/10.1109/TGRS.2012.2234756")</f>
        <v>http://dx.doi.org/10.1109/TGRS.2012.2234756</v>
      </c>
      <c r="BG870" t="s">
        <v>74</v>
      </c>
      <c r="BH870" t="s">
        <v>74</v>
      </c>
      <c r="BI870">
        <v>13</v>
      </c>
      <c r="BJ870" t="s">
        <v>4701</v>
      </c>
      <c r="BK870" t="s">
        <v>101</v>
      </c>
      <c r="BL870" t="s">
        <v>4702</v>
      </c>
      <c r="BM870" t="s">
        <v>16001</v>
      </c>
      <c r="BN870" t="s">
        <v>74</v>
      </c>
      <c r="BO870" t="s">
        <v>74</v>
      </c>
      <c r="BP870" t="s">
        <v>74</v>
      </c>
      <c r="BQ870" t="s">
        <v>74</v>
      </c>
      <c r="BR870" t="s">
        <v>104</v>
      </c>
      <c r="BS870" t="s">
        <v>16002</v>
      </c>
      <c r="BT870" t="str">
        <f>HYPERLINK("https%3A%2F%2Fwww.webofscience.com%2Fwos%2Fwoscc%2Ffull-record%2FWOS:000328938400003","View Full Record in Web of Science")</f>
        <v>View Full Record in Web of Science</v>
      </c>
    </row>
    <row r="871" spans="1:72" x14ac:dyDescent="0.15">
      <c r="A871" t="s">
        <v>72</v>
      </c>
      <c r="B871" t="s">
        <v>16003</v>
      </c>
      <c r="C871" t="s">
        <v>74</v>
      </c>
      <c r="D871" t="s">
        <v>74</v>
      </c>
      <c r="E871" t="s">
        <v>74</v>
      </c>
      <c r="F871" t="s">
        <v>16004</v>
      </c>
      <c r="G871" t="s">
        <v>74</v>
      </c>
      <c r="H871" t="s">
        <v>74</v>
      </c>
      <c r="I871" t="s">
        <v>16005</v>
      </c>
      <c r="J871" t="s">
        <v>16006</v>
      </c>
      <c r="K871" t="s">
        <v>74</v>
      </c>
      <c r="L871" t="s">
        <v>74</v>
      </c>
      <c r="M871" t="s">
        <v>78</v>
      </c>
      <c r="N871" t="s">
        <v>79</v>
      </c>
      <c r="O871" t="s">
        <v>74</v>
      </c>
      <c r="P871" t="s">
        <v>74</v>
      </c>
      <c r="Q871" t="s">
        <v>74</v>
      </c>
      <c r="R871" t="s">
        <v>74</v>
      </c>
      <c r="S871" t="s">
        <v>74</v>
      </c>
      <c r="T871" t="s">
        <v>16007</v>
      </c>
      <c r="U871" t="s">
        <v>16008</v>
      </c>
      <c r="V871" t="s">
        <v>16009</v>
      </c>
      <c r="W871" t="s">
        <v>16010</v>
      </c>
      <c r="X871" t="s">
        <v>16011</v>
      </c>
      <c r="Y871" t="s">
        <v>16012</v>
      </c>
      <c r="Z871" t="s">
        <v>16013</v>
      </c>
      <c r="AA871" t="s">
        <v>16014</v>
      </c>
      <c r="AB871" t="s">
        <v>16015</v>
      </c>
      <c r="AC871" t="s">
        <v>16016</v>
      </c>
      <c r="AD871" t="s">
        <v>16017</v>
      </c>
      <c r="AE871" t="s">
        <v>16018</v>
      </c>
      <c r="AF871" t="s">
        <v>74</v>
      </c>
      <c r="AG871">
        <v>65</v>
      </c>
      <c r="AH871">
        <v>35</v>
      </c>
      <c r="AI871">
        <v>40</v>
      </c>
      <c r="AJ871">
        <v>1</v>
      </c>
      <c r="AK871">
        <v>35</v>
      </c>
      <c r="AL871" t="s">
        <v>403</v>
      </c>
      <c r="AM871" t="s">
        <v>404</v>
      </c>
      <c r="AN871" t="s">
        <v>405</v>
      </c>
      <c r="AO871" t="s">
        <v>16019</v>
      </c>
      <c r="AP871" t="s">
        <v>16020</v>
      </c>
      <c r="AQ871" t="s">
        <v>74</v>
      </c>
      <c r="AR871" t="s">
        <v>16021</v>
      </c>
      <c r="AS871" t="s">
        <v>16022</v>
      </c>
      <c r="AT871" t="s">
        <v>13186</v>
      </c>
      <c r="AU871">
        <v>2014</v>
      </c>
      <c r="AV871">
        <v>29</v>
      </c>
      <c r="AW871">
        <v>1</v>
      </c>
      <c r="AX871" t="s">
        <v>74</v>
      </c>
      <c r="AY871" t="s">
        <v>74</v>
      </c>
      <c r="AZ871" t="s">
        <v>74</v>
      </c>
      <c r="BA871" t="s">
        <v>74</v>
      </c>
      <c r="BB871">
        <v>91</v>
      </c>
      <c r="BC871">
        <v>98</v>
      </c>
      <c r="BD871" t="s">
        <v>74</v>
      </c>
      <c r="BE871" t="s">
        <v>16023</v>
      </c>
      <c r="BF871" t="str">
        <f>HYPERLINK("http://dx.doi.org/10.1002/jqs.2683","http://dx.doi.org/10.1002/jqs.2683")</f>
        <v>http://dx.doi.org/10.1002/jqs.2683</v>
      </c>
      <c r="BG871" t="s">
        <v>74</v>
      </c>
      <c r="BH871" t="s">
        <v>74</v>
      </c>
      <c r="BI871">
        <v>8</v>
      </c>
      <c r="BJ871" t="s">
        <v>1415</v>
      </c>
      <c r="BK871" t="s">
        <v>101</v>
      </c>
      <c r="BL871" t="s">
        <v>1416</v>
      </c>
      <c r="BM871" t="s">
        <v>16024</v>
      </c>
      <c r="BN871" t="s">
        <v>74</v>
      </c>
      <c r="BO871" t="s">
        <v>74</v>
      </c>
      <c r="BP871" t="s">
        <v>74</v>
      </c>
      <c r="BQ871" t="s">
        <v>74</v>
      </c>
      <c r="BR871" t="s">
        <v>104</v>
      </c>
      <c r="BS871" t="s">
        <v>16025</v>
      </c>
      <c r="BT871" t="str">
        <f>HYPERLINK("https%3A%2F%2Fwww.webofscience.com%2Fwos%2Fwoscc%2Ffull-record%2FWOS:000328881900009","View Full Record in Web of Science")</f>
        <v>View Full Record in Web of Science</v>
      </c>
    </row>
    <row r="872" spans="1:72" x14ac:dyDescent="0.15">
      <c r="A872" t="s">
        <v>72</v>
      </c>
      <c r="B872" t="s">
        <v>16026</v>
      </c>
      <c r="C872" t="s">
        <v>74</v>
      </c>
      <c r="D872" t="s">
        <v>74</v>
      </c>
      <c r="E872" t="s">
        <v>74</v>
      </c>
      <c r="F872" t="s">
        <v>16027</v>
      </c>
      <c r="G872" t="s">
        <v>74</v>
      </c>
      <c r="H872" t="s">
        <v>74</v>
      </c>
      <c r="I872" t="s">
        <v>16028</v>
      </c>
      <c r="J872" t="s">
        <v>16029</v>
      </c>
      <c r="K872" t="s">
        <v>74</v>
      </c>
      <c r="L872" t="s">
        <v>74</v>
      </c>
      <c r="M872" t="s">
        <v>78</v>
      </c>
      <c r="N872" t="s">
        <v>79</v>
      </c>
      <c r="O872" t="s">
        <v>74</v>
      </c>
      <c r="P872" t="s">
        <v>74</v>
      </c>
      <c r="Q872" t="s">
        <v>74</v>
      </c>
      <c r="R872" t="s">
        <v>74</v>
      </c>
      <c r="S872" t="s">
        <v>74</v>
      </c>
      <c r="T872" t="s">
        <v>74</v>
      </c>
      <c r="U872" t="s">
        <v>16030</v>
      </c>
      <c r="V872" t="s">
        <v>16031</v>
      </c>
      <c r="W872" t="s">
        <v>16032</v>
      </c>
      <c r="X872" t="s">
        <v>11618</v>
      </c>
      <c r="Y872" t="s">
        <v>16033</v>
      </c>
      <c r="Z872" t="s">
        <v>11620</v>
      </c>
      <c r="AA872" t="s">
        <v>16034</v>
      </c>
      <c r="AB872" t="s">
        <v>16035</v>
      </c>
      <c r="AC872" t="s">
        <v>16036</v>
      </c>
      <c r="AD872" t="s">
        <v>16037</v>
      </c>
      <c r="AE872" t="s">
        <v>16038</v>
      </c>
      <c r="AF872" t="s">
        <v>74</v>
      </c>
      <c r="AG872">
        <v>58</v>
      </c>
      <c r="AH872">
        <v>20</v>
      </c>
      <c r="AI872">
        <v>23</v>
      </c>
      <c r="AJ872">
        <v>1</v>
      </c>
      <c r="AK872">
        <v>47</v>
      </c>
      <c r="AL872" t="s">
        <v>145</v>
      </c>
      <c r="AM872" t="s">
        <v>146</v>
      </c>
      <c r="AN872" t="s">
        <v>147</v>
      </c>
      <c r="AO872" t="s">
        <v>16039</v>
      </c>
      <c r="AP872" t="s">
        <v>16040</v>
      </c>
      <c r="AQ872" t="s">
        <v>74</v>
      </c>
      <c r="AR872" t="s">
        <v>16029</v>
      </c>
      <c r="AS872" t="s">
        <v>16041</v>
      </c>
      <c r="AT872" t="s">
        <v>13186</v>
      </c>
      <c r="AU872">
        <v>2014</v>
      </c>
      <c r="AV872">
        <v>122</v>
      </c>
      <c r="AW872" t="s">
        <v>1531</v>
      </c>
      <c r="AX872" t="s">
        <v>74</v>
      </c>
      <c r="AY872" t="s">
        <v>74</v>
      </c>
      <c r="AZ872" t="s">
        <v>74</v>
      </c>
      <c r="BA872" t="s">
        <v>74</v>
      </c>
      <c r="BB872">
        <v>55</v>
      </c>
      <c r="BC872">
        <v>66</v>
      </c>
      <c r="BD872" t="s">
        <v>74</v>
      </c>
      <c r="BE872" t="s">
        <v>16042</v>
      </c>
      <c r="BF872" t="str">
        <f>HYPERLINK("http://dx.doi.org/10.1007/s10584-013-0984-0","http://dx.doi.org/10.1007/s10584-013-0984-0")</f>
        <v>http://dx.doi.org/10.1007/s10584-013-0984-0</v>
      </c>
      <c r="BG872" t="s">
        <v>74</v>
      </c>
      <c r="BH872" t="s">
        <v>74</v>
      </c>
      <c r="BI872">
        <v>12</v>
      </c>
      <c r="BJ872" t="s">
        <v>3817</v>
      </c>
      <c r="BK872" t="s">
        <v>479</v>
      </c>
      <c r="BL872" t="s">
        <v>1081</v>
      </c>
      <c r="BM872" t="s">
        <v>16043</v>
      </c>
      <c r="BN872" t="s">
        <v>74</v>
      </c>
      <c r="BO872" t="s">
        <v>270</v>
      </c>
      <c r="BP872" t="s">
        <v>74</v>
      </c>
      <c r="BQ872" t="s">
        <v>74</v>
      </c>
      <c r="BR872" t="s">
        <v>104</v>
      </c>
      <c r="BS872" t="s">
        <v>16044</v>
      </c>
      <c r="BT872" t="str">
        <f>HYPERLINK("https%3A%2F%2Fwww.webofscience.com%2Fwos%2Fwoscc%2Ffull-record%2FWOS:000328622900006","View Full Record in Web of Science")</f>
        <v>View Full Record in Web of Science</v>
      </c>
    </row>
    <row r="873" spans="1:72" x14ac:dyDescent="0.15">
      <c r="A873" t="s">
        <v>72</v>
      </c>
      <c r="B873" t="s">
        <v>16045</v>
      </c>
      <c r="C873" t="s">
        <v>74</v>
      </c>
      <c r="D873" t="s">
        <v>74</v>
      </c>
      <c r="E873" t="s">
        <v>74</v>
      </c>
      <c r="F873" t="s">
        <v>16046</v>
      </c>
      <c r="G873" t="s">
        <v>74</v>
      </c>
      <c r="H873" t="s">
        <v>74</v>
      </c>
      <c r="I873" t="s">
        <v>16047</v>
      </c>
      <c r="J873" t="s">
        <v>16029</v>
      </c>
      <c r="K873" t="s">
        <v>74</v>
      </c>
      <c r="L873" t="s">
        <v>74</v>
      </c>
      <c r="M873" t="s">
        <v>78</v>
      </c>
      <c r="N873" t="s">
        <v>79</v>
      </c>
      <c r="O873" t="s">
        <v>74</v>
      </c>
      <c r="P873" t="s">
        <v>74</v>
      </c>
      <c r="Q873" t="s">
        <v>74</v>
      </c>
      <c r="R873" t="s">
        <v>74</v>
      </c>
      <c r="S873" t="s">
        <v>74</v>
      </c>
      <c r="T873" t="s">
        <v>74</v>
      </c>
      <c r="U873" t="s">
        <v>16048</v>
      </c>
      <c r="V873" t="s">
        <v>16049</v>
      </c>
      <c r="W873" t="s">
        <v>16050</v>
      </c>
      <c r="X873" t="s">
        <v>16051</v>
      </c>
      <c r="Y873" t="s">
        <v>16052</v>
      </c>
      <c r="Z873" t="s">
        <v>16053</v>
      </c>
      <c r="AA873" t="s">
        <v>16054</v>
      </c>
      <c r="AB873" t="s">
        <v>16055</v>
      </c>
      <c r="AC873" t="s">
        <v>16056</v>
      </c>
      <c r="AD873" t="s">
        <v>16057</v>
      </c>
      <c r="AE873" t="s">
        <v>16058</v>
      </c>
      <c r="AF873" t="s">
        <v>74</v>
      </c>
      <c r="AG873">
        <v>41</v>
      </c>
      <c r="AH873">
        <v>10</v>
      </c>
      <c r="AI873">
        <v>11</v>
      </c>
      <c r="AJ873">
        <v>0</v>
      </c>
      <c r="AK873">
        <v>23</v>
      </c>
      <c r="AL873" t="s">
        <v>145</v>
      </c>
      <c r="AM873" t="s">
        <v>146</v>
      </c>
      <c r="AN873" t="s">
        <v>147</v>
      </c>
      <c r="AO873" t="s">
        <v>16039</v>
      </c>
      <c r="AP873" t="s">
        <v>16040</v>
      </c>
      <c r="AQ873" t="s">
        <v>74</v>
      </c>
      <c r="AR873" t="s">
        <v>16029</v>
      </c>
      <c r="AS873" t="s">
        <v>16041</v>
      </c>
      <c r="AT873" t="s">
        <v>13186</v>
      </c>
      <c r="AU873">
        <v>2014</v>
      </c>
      <c r="AV873">
        <v>122</v>
      </c>
      <c r="AW873" t="s">
        <v>1531</v>
      </c>
      <c r="AX873" t="s">
        <v>74</v>
      </c>
      <c r="AY873" t="s">
        <v>74</v>
      </c>
      <c r="AZ873" t="s">
        <v>74</v>
      </c>
      <c r="BA873" t="s">
        <v>74</v>
      </c>
      <c r="BB873">
        <v>283</v>
      </c>
      <c r="BC873">
        <v>298</v>
      </c>
      <c r="BD873" t="s">
        <v>74</v>
      </c>
      <c r="BE873" t="s">
        <v>16059</v>
      </c>
      <c r="BF873" t="str">
        <f>HYPERLINK("http://dx.doi.org/10.1007/s10584-013-1012-0","http://dx.doi.org/10.1007/s10584-013-1012-0")</f>
        <v>http://dx.doi.org/10.1007/s10584-013-1012-0</v>
      </c>
      <c r="BG873" t="s">
        <v>74</v>
      </c>
      <c r="BH873" t="s">
        <v>74</v>
      </c>
      <c r="BI873">
        <v>16</v>
      </c>
      <c r="BJ873" t="s">
        <v>3817</v>
      </c>
      <c r="BK873" t="s">
        <v>101</v>
      </c>
      <c r="BL873" t="s">
        <v>1081</v>
      </c>
      <c r="BM873" t="s">
        <v>16043</v>
      </c>
      <c r="BN873" t="s">
        <v>74</v>
      </c>
      <c r="BO873" t="s">
        <v>74</v>
      </c>
      <c r="BP873" t="s">
        <v>74</v>
      </c>
      <c r="BQ873" t="s">
        <v>74</v>
      </c>
      <c r="BR873" t="s">
        <v>104</v>
      </c>
      <c r="BS873" t="s">
        <v>16060</v>
      </c>
      <c r="BT873" t="str">
        <f>HYPERLINK("https%3A%2F%2Fwww.webofscience.com%2Fwos%2Fwoscc%2Ffull-record%2FWOS:000328622900022","View Full Record in Web of Science")</f>
        <v>View Full Record in Web of Science</v>
      </c>
    </row>
    <row r="874" spans="1:72" x14ac:dyDescent="0.15">
      <c r="A874" t="s">
        <v>72</v>
      </c>
      <c r="B874" t="s">
        <v>16061</v>
      </c>
      <c r="C874" t="s">
        <v>74</v>
      </c>
      <c r="D874" t="s">
        <v>74</v>
      </c>
      <c r="E874" t="s">
        <v>74</v>
      </c>
      <c r="F874" t="s">
        <v>16062</v>
      </c>
      <c r="G874" t="s">
        <v>74</v>
      </c>
      <c r="H874" t="s">
        <v>74</v>
      </c>
      <c r="I874" t="s">
        <v>16063</v>
      </c>
      <c r="J874" t="s">
        <v>16029</v>
      </c>
      <c r="K874" t="s">
        <v>74</v>
      </c>
      <c r="L874" t="s">
        <v>74</v>
      </c>
      <c r="M874" t="s">
        <v>78</v>
      </c>
      <c r="N874" t="s">
        <v>79</v>
      </c>
      <c r="O874" t="s">
        <v>74</v>
      </c>
      <c r="P874" t="s">
        <v>74</v>
      </c>
      <c r="Q874" t="s">
        <v>74</v>
      </c>
      <c r="R874" t="s">
        <v>74</v>
      </c>
      <c r="S874" t="s">
        <v>74</v>
      </c>
      <c r="T874" t="s">
        <v>74</v>
      </c>
      <c r="U874" t="s">
        <v>16064</v>
      </c>
      <c r="V874" t="s">
        <v>16065</v>
      </c>
      <c r="W874" t="s">
        <v>16066</v>
      </c>
      <c r="X874" t="s">
        <v>74</v>
      </c>
      <c r="Y874" t="s">
        <v>16067</v>
      </c>
      <c r="Z874" t="s">
        <v>16068</v>
      </c>
      <c r="AA874" t="s">
        <v>74</v>
      </c>
      <c r="AB874" t="s">
        <v>16069</v>
      </c>
      <c r="AC874" t="s">
        <v>16070</v>
      </c>
      <c r="AD874" t="s">
        <v>16070</v>
      </c>
      <c r="AE874" t="s">
        <v>16071</v>
      </c>
      <c r="AF874" t="s">
        <v>74</v>
      </c>
      <c r="AG874">
        <v>59</v>
      </c>
      <c r="AH874">
        <v>2</v>
      </c>
      <c r="AI874">
        <v>3</v>
      </c>
      <c r="AJ874">
        <v>0</v>
      </c>
      <c r="AK874">
        <v>17</v>
      </c>
      <c r="AL874" t="s">
        <v>145</v>
      </c>
      <c r="AM874" t="s">
        <v>146</v>
      </c>
      <c r="AN874" t="s">
        <v>147</v>
      </c>
      <c r="AO874" t="s">
        <v>16039</v>
      </c>
      <c r="AP874" t="s">
        <v>16040</v>
      </c>
      <c r="AQ874" t="s">
        <v>74</v>
      </c>
      <c r="AR874" t="s">
        <v>16029</v>
      </c>
      <c r="AS874" t="s">
        <v>16041</v>
      </c>
      <c r="AT874" t="s">
        <v>13186</v>
      </c>
      <c r="AU874">
        <v>2014</v>
      </c>
      <c r="AV874">
        <v>122</v>
      </c>
      <c r="AW874" t="s">
        <v>1531</v>
      </c>
      <c r="AX874" t="s">
        <v>74</v>
      </c>
      <c r="AY874" t="s">
        <v>74</v>
      </c>
      <c r="AZ874" t="s">
        <v>74</v>
      </c>
      <c r="BA874" t="s">
        <v>74</v>
      </c>
      <c r="BB874">
        <v>299</v>
      </c>
      <c r="BC874">
        <v>311</v>
      </c>
      <c r="BD874" t="s">
        <v>74</v>
      </c>
      <c r="BE874" t="s">
        <v>16072</v>
      </c>
      <c r="BF874" t="str">
        <f>HYPERLINK("http://dx.doi.org/10.1007/s10584-013-0981-3","http://dx.doi.org/10.1007/s10584-013-0981-3")</f>
        <v>http://dx.doi.org/10.1007/s10584-013-0981-3</v>
      </c>
      <c r="BG874" t="s">
        <v>74</v>
      </c>
      <c r="BH874" t="s">
        <v>74</v>
      </c>
      <c r="BI874">
        <v>13</v>
      </c>
      <c r="BJ874" t="s">
        <v>3817</v>
      </c>
      <c r="BK874" t="s">
        <v>101</v>
      </c>
      <c r="BL874" t="s">
        <v>1081</v>
      </c>
      <c r="BM874" t="s">
        <v>16043</v>
      </c>
      <c r="BN874" t="s">
        <v>74</v>
      </c>
      <c r="BO874" t="s">
        <v>74</v>
      </c>
      <c r="BP874" t="s">
        <v>74</v>
      </c>
      <c r="BQ874" t="s">
        <v>74</v>
      </c>
      <c r="BR874" t="s">
        <v>104</v>
      </c>
      <c r="BS874" t="s">
        <v>16073</v>
      </c>
      <c r="BT874" t="str">
        <f>HYPERLINK("https%3A%2F%2Fwww.webofscience.com%2Fwos%2Fwoscc%2Ffull-record%2FWOS:000328622900023","View Full Record in Web of Science")</f>
        <v>View Full Record in Web of Science</v>
      </c>
    </row>
    <row r="875" spans="1:72" x14ac:dyDescent="0.15">
      <c r="A875" t="s">
        <v>72</v>
      </c>
      <c r="B875" t="s">
        <v>16074</v>
      </c>
      <c r="C875" t="s">
        <v>74</v>
      </c>
      <c r="D875" t="s">
        <v>74</v>
      </c>
      <c r="E875" t="s">
        <v>74</v>
      </c>
      <c r="F875" t="s">
        <v>16075</v>
      </c>
      <c r="G875" t="s">
        <v>74</v>
      </c>
      <c r="H875" t="s">
        <v>74</v>
      </c>
      <c r="I875" t="s">
        <v>16076</v>
      </c>
      <c r="J875" t="s">
        <v>16077</v>
      </c>
      <c r="K875" t="s">
        <v>74</v>
      </c>
      <c r="L875" t="s">
        <v>74</v>
      </c>
      <c r="M875" t="s">
        <v>78</v>
      </c>
      <c r="N875" t="s">
        <v>79</v>
      </c>
      <c r="O875" t="s">
        <v>74</v>
      </c>
      <c r="P875" t="s">
        <v>74</v>
      </c>
      <c r="Q875" t="s">
        <v>74</v>
      </c>
      <c r="R875" t="s">
        <v>74</v>
      </c>
      <c r="S875" t="s">
        <v>74</v>
      </c>
      <c r="T875" t="s">
        <v>74</v>
      </c>
      <c r="U875" t="s">
        <v>16078</v>
      </c>
      <c r="V875" t="s">
        <v>16079</v>
      </c>
      <c r="W875" t="s">
        <v>16080</v>
      </c>
      <c r="X875" t="s">
        <v>16081</v>
      </c>
      <c r="Y875" t="s">
        <v>16082</v>
      </c>
      <c r="Z875" t="s">
        <v>16083</v>
      </c>
      <c r="AA875" t="s">
        <v>74</v>
      </c>
      <c r="AB875" t="s">
        <v>16084</v>
      </c>
      <c r="AC875" t="s">
        <v>16085</v>
      </c>
      <c r="AD875" t="s">
        <v>16085</v>
      </c>
      <c r="AE875" t="s">
        <v>16086</v>
      </c>
      <c r="AF875" t="s">
        <v>74</v>
      </c>
      <c r="AG875">
        <v>19</v>
      </c>
      <c r="AH875">
        <v>30</v>
      </c>
      <c r="AI875">
        <v>32</v>
      </c>
      <c r="AJ875">
        <v>0</v>
      </c>
      <c r="AK875">
        <v>19</v>
      </c>
      <c r="AL875" t="s">
        <v>403</v>
      </c>
      <c r="AM875" t="s">
        <v>404</v>
      </c>
      <c r="AN875" t="s">
        <v>405</v>
      </c>
      <c r="AO875" t="s">
        <v>16087</v>
      </c>
      <c r="AP875" t="s">
        <v>16088</v>
      </c>
      <c r="AQ875" t="s">
        <v>74</v>
      </c>
      <c r="AR875" t="s">
        <v>16089</v>
      </c>
      <c r="AS875" t="s">
        <v>16090</v>
      </c>
      <c r="AT875" t="s">
        <v>13186</v>
      </c>
      <c r="AU875">
        <v>2014</v>
      </c>
      <c r="AV875">
        <v>31</v>
      </c>
      <c r="AW875">
        <v>1</v>
      </c>
      <c r="AX875" t="s">
        <v>74</v>
      </c>
      <c r="AY875" t="s">
        <v>74</v>
      </c>
      <c r="AZ875" t="s">
        <v>660</v>
      </c>
      <c r="BA875" t="s">
        <v>74</v>
      </c>
      <c r="BB875">
        <v>192</v>
      </c>
      <c r="BC875">
        <v>205</v>
      </c>
      <c r="BD875" t="s">
        <v>74</v>
      </c>
      <c r="BE875" t="s">
        <v>16091</v>
      </c>
      <c r="BF875" t="str">
        <f>HYPERLINK("http://dx.doi.org/10.1002/rob.21487","http://dx.doi.org/10.1002/rob.21487")</f>
        <v>http://dx.doi.org/10.1002/rob.21487</v>
      </c>
      <c r="BG875" t="s">
        <v>74</v>
      </c>
      <c r="BH875" t="s">
        <v>74</v>
      </c>
      <c r="BI875">
        <v>14</v>
      </c>
      <c r="BJ875" t="s">
        <v>16092</v>
      </c>
      <c r="BK875" t="s">
        <v>101</v>
      </c>
      <c r="BL875" t="s">
        <v>16092</v>
      </c>
      <c r="BM875" t="s">
        <v>16093</v>
      </c>
      <c r="BN875" t="s">
        <v>74</v>
      </c>
      <c r="BO875" t="s">
        <v>74</v>
      </c>
      <c r="BP875" t="s">
        <v>74</v>
      </c>
      <c r="BQ875" t="s">
        <v>74</v>
      </c>
      <c r="BR875" t="s">
        <v>104</v>
      </c>
      <c r="BS875" t="s">
        <v>16094</v>
      </c>
      <c r="BT875" t="str">
        <f>HYPERLINK("https%3A%2F%2Fwww.webofscience.com%2Fwos%2Fwoscc%2Ffull-record%2FWOS:000328616600009","View Full Record in Web of Science")</f>
        <v>View Full Record in Web of Science</v>
      </c>
    </row>
    <row r="876" spans="1:72" x14ac:dyDescent="0.15">
      <c r="A876" t="s">
        <v>72</v>
      </c>
      <c r="B876" t="s">
        <v>16095</v>
      </c>
      <c r="C876" t="s">
        <v>74</v>
      </c>
      <c r="D876" t="s">
        <v>74</v>
      </c>
      <c r="E876" t="s">
        <v>74</v>
      </c>
      <c r="F876" t="s">
        <v>16096</v>
      </c>
      <c r="G876" t="s">
        <v>74</v>
      </c>
      <c r="H876" t="s">
        <v>74</v>
      </c>
      <c r="I876" t="s">
        <v>16097</v>
      </c>
      <c r="J876" t="s">
        <v>16098</v>
      </c>
      <c r="K876" t="s">
        <v>74</v>
      </c>
      <c r="L876" t="s">
        <v>74</v>
      </c>
      <c r="M876" t="s">
        <v>78</v>
      </c>
      <c r="N876" t="s">
        <v>79</v>
      </c>
      <c r="O876" t="s">
        <v>74</v>
      </c>
      <c r="P876" t="s">
        <v>74</v>
      </c>
      <c r="Q876" t="s">
        <v>74</v>
      </c>
      <c r="R876" t="s">
        <v>74</v>
      </c>
      <c r="S876" t="s">
        <v>74</v>
      </c>
      <c r="T876" t="s">
        <v>16099</v>
      </c>
      <c r="U876" t="s">
        <v>16100</v>
      </c>
      <c r="V876" t="s">
        <v>16101</v>
      </c>
      <c r="W876" t="s">
        <v>16102</v>
      </c>
      <c r="X876" t="s">
        <v>16103</v>
      </c>
      <c r="Y876" t="s">
        <v>16104</v>
      </c>
      <c r="Z876" t="s">
        <v>16105</v>
      </c>
      <c r="AA876" t="s">
        <v>16106</v>
      </c>
      <c r="AB876" t="s">
        <v>16107</v>
      </c>
      <c r="AC876" t="s">
        <v>16108</v>
      </c>
      <c r="AD876" t="s">
        <v>16109</v>
      </c>
      <c r="AE876" t="s">
        <v>16110</v>
      </c>
      <c r="AF876" t="s">
        <v>74</v>
      </c>
      <c r="AG876">
        <v>111</v>
      </c>
      <c r="AH876">
        <v>19</v>
      </c>
      <c r="AI876">
        <v>24</v>
      </c>
      <c r="AJ876">
        <v>0</v>
      </c>
      <c r="AK876">
        <v>49</v>
      </c>
      <c r="AL876" t="s">
        <v>403</v>
      </c>
      <c r="AM876" t="s">
        <v>404</v>
      </c>
      <c r="AN876" t="s">
        <v>405</v>
      </c>
      <c r="AO876" t="s">
        <v>16111</v>
      </c>
      <c r="AP876" t="s">
        <v>16112</v>
      </c>
      <c r="AQ876" t="s">
        <v>74</v>
      </c>
      <c r="AR876" t="s">
        <v>16113</v>
      </c>
      <c r="AS876" t="s">
        <v>16114</v>
      </c>
      <c r="AT876" t="s">
        <v>13186</v>
      </c>
      <c r="AU876">
        <v>2014</v>
      </c>
      <c r="AV876">
        <v>30</v>
      </c>
      <c r="AW876">
        <v>1</v>
      </c>
      <c r="AX876" t="s">
        <v>74</v>
      </c>
      <c r="AY876" t="s">
        <v>74</v>
      </c>
      <c r="AZ876" t="s">
        <v>74</v>
      </c>
      <c r="BA876" t="s">
        <v>74</v>
      </c>
      <c r="BB876">
        <v>221</v>
      </c>
      <c r="BC876">
        <v>241</v>
      </c>
      <c r="BD876" t="s">
        <v>74</v>
      </c>
      <c r="BE876" t="s">
        <v>16115</v>
      </c>
      <c r="BF876" t="str">
        <f>HYPERLINK("http://dx.doi.org/10.1111/mms.12045","http://dx.doi.org/10.1111/mms.12045")</f>
        <v>http://dx.doi.org/10.1111/mms.12045</v>
      </c>
      <c r="BG876" t="s">
        <v>74</v>
      </c>
      <c r="BH876" t="s">
        <v>74</v>
      </c>
      <c r="BI876">
        <v>21</v>
      </c>
      <c r="BJ876" t="s">
        <v>10047</v>
      </c>
      <c r="BK876" t="s">
        <v>101</v>
      </c>
      <c r="BL876" t="s">
        <v>10047</v>
      </c>
      <c r="BM876" t="s">
        <v>16116</v>
      </c>
      <c r="BN876" t="s">
        <v>74</v>
      </c>
      <c r="BO876" t="s">
        <v>74</v>
      </c>
      <c r="BP876" t="s">
        <v>74</v>
      </c>
      <c r="BQ876" t="s">
        <v>74</v>
      </c>
      <c r="BR876" t="s">
        <v>104</v>
      </c>
      <c r="BS876" t="s">
        <v>16117</v>
      </c>
      <c r="BT876" t="str">
        <f>HYPERLINK("https%3A%2F%2Fwww.webofscience.com%2Fwos%2Fwoscc%2Ffull-record%2FWOS:000328822200013","View Full Record in Web of Science")</f>
        <v>View Full Record in Web of Science</v>
      </c>
    </row>
    <row r="877" spans="1:72" x14ac:dyDescent="0.15">
      <c r="A877" t="s">
        <v>72</v>
      </c>
      <c r="B877" t="s">
        <v>16118</v>
      </c>
      <c r="C877" t="s">
        <v>74</v>
      </c>
      <c r="D877" t="s">
        <v>74</v>
      </c>
      <c r="E877" t="s">
        <v>74</v>
      </c>
      <c r="F877" t="s">
        <v>16119</v>
      </c>
      <c r="G877" t="s">
        <v>74</v>
      </c>
      <c r="H877" t="s">
        <v>74</v>
      </c>
      <c r="I877" t="s">
        <v>16120</v>
      </c>
      <c r="J877" t="s">
        <v>16121</v>
      </c>
      <c r="K877" t="s">
        <v>74</v>
      </c>
      <c r="L877" t="s">
        <v>74</v>
      </c>
      <c r="M877" t="s">
        <v>78</v>
      </c>
      <c r="N877" t="s">
        <v>79</v>
      </c>
      <c r="O877" t="s">
        <v>74</v>
      </c>
      <c r="P877" t="s">
        <v>74</v>
      </c>
      <c r="Q877" t="s">
        <v>74</v>
      </c>
      <c r="R877" t="s">
        <v>74</v>
      </c>
      <c r="S877" t="s">
        <v>74</v>
      </c>
      <c r="T877" t="s">
        <v>16122</v>
      </c>
      <c r="U877" t="s">
        <v>16123</v>
      </c>
      <c r="V877" t="s">
        <v>16124</v>
      </c>
      <c r="W877" t="s">
        <v>16125</v>
      </c>
      <c r="X877" t="s">
        <v>16126</v>
      </c>
      <c r="Y877" t="s">
        <v>16127</v>
      </c>
      <c r="Z877" t="s">
        <v>16128</v>
      </c>
      <c r="AA877" t="s">
        <v>16129</v>
      </c>
      <c r="AB877" t="s">
        <v>16130</v>
      </c>
      <c r="AC877" t="s">
        <v>16131</v>
      </c>
      <c r="AD877" t="s">
        <v>16132</v>
      </c>
      <c r="AE877" t="s">
        <v>16133</v>
      </c>
      <c r="AF877" t="s">
        <v>74</v>
      </c>
      <c r="AG877">
        <v>53</v>
      </c>
      <c r="AH877">
        <v>153</v>
      </c>
      <c r="AI877">
        <v>175</v>
      </c>
      <c r="AJ877">
        <v>2</v>
      </c>
      <c r="AK877">
        <v>200</v>
      </c>
      <c r="AL877" t="s">
        <v>403</v>
      </c>
      <c r="AM877" t="s">
        <v>404</v>
      </c>
      <c r="AN877" t="s">
        <v>405</v>
      </c>
      <c r="AO877" t="s">
        <v>16134</v>
      </c>
      <c r="AP877" t="s">
        <v>16135</v>
      </c>
      <c r="AQ877" t="s">
        <v>74</v>
      </c>
      <c r="AR877" t="s">
        <v>16136</v>
      </c>
      <c r="AS877" t="s">
        <v>16137</v>
      </c>
      <c r="AT877" t="s">
        <v>13186</v>
      </c>
      <c r="AU877">
        <v>2014</v>
      </c>
      <c r="AV877">
        <v>14</v>
      </c>
      <c r="AW877">
        <v>1</v>
      </c>
      <c r="AX877" t="s">
        <v>74</v>
      </c>
      <c r="AY877" t="s">
        <v>74</v>
      </c>
      <c r="AZ877" t="s">
        <v>74</v>
      </c>
      <c r="BA877" t="s">
        <v>74</v>
      </c>
      <c r="BB877">
        <v>18</v>
      </c>
      <c r="BC877">
        <v>26</v>
      </c>
      <c r="BD877" t="s">
        <v>74</v>
      </c>
      <c r="BE877" t="s">
        <v>16138</v>
      </c>
      <c r="BF877" t="str">
        <f>HYPERLINK("http://dx.doi.org/10.1111/1755-0998.12156","http://dx.doi.org/10.1111/1755-0998.12156")</f>
        <v>http://dx.doi.org/10.1111/1755-0998.12156</v>
      </c>
      <c r="BG877" t="s">
        <v>74</v>
      </c>
      <c r="BH877" t="s">
        <v>74</v>
      </c>
      <c r="BI877">
        <v>9</v>
      </c>
      <c r="BJ877" t="s">
        <v>7711</v>
      </c>
      <c r="BK877" t="s">
        <v>101</v>
      </c>
      <c r="BL877" t="s">
        <v>7712</v>
      </c>
      <c r="BM877" t="s">
        <v>16139</v>
      </c>
      <c r="BN877">
        <v>23957910</v>
      </c>
      <c r="BO877" t="s">
        <v>200</v>
      </c>
      <c r="BP877" t="s">
        <v>74</v>
      </c>
      <c r="BQ877" t="s">
        <v>74</v>
      </c>
      <c r="BR877" t="s">
        <v>104</v>
      </c>
      <c r="BS877" t="s">
        <v>16140</v>
      </c>
      <c r="BT877" t="str">
        <f>HYPERLINK("https%3A%2F%2Fwww.webofscience.com%2Fwos%2Fwoscc%2Ffull-record%2FWOS:000328372500003","View Full Record in Web of Science")</f>
        <v>View Full Record in Web of Science</v>
      </c>
    </row>
    <row r="878" spans="1:72" x14ac:dyDescent="0.15">
      <c r="A878" t="s">
        <v>72</v>
      </c>
      <c r="B878" t="s">
        <v>16141</v>
      </c>
      <c r="C878" t="s">
        <v>74</v>
      </c>
      <c r="D878" t="s">
        <v>74</v>
      </c>
      <c r="E878" t="s">
        <v>74</v>
      </c>
      <c r="F878" t="s">
        <v>16142</v>
      </c>
      <c r="G878" t="s">
        <v>74</v>
      </c>
      <c r="H878" t="s">
        <v>74</v>
      </c>
      <c r="I878" t="s">
        <v>16143</v>
      </c>
      <c r="J878" t="s">
        <v>1035</v>
      </c>
      <c r="K878" t="s">
        <v>74</v>
      </c>
      <c r="L878" t="s">
        <v>74</v>
      </c>
      <c r="M878" t="s">
        <v>78</v>
      </c>
      <c r="N878" t="s">
        <v>79</v>
      </c>
      <c r="O878" t="s">
        <v>74</v>
      </c>
      <c r="P878" t="s">
        <v>74</v>
      </c>
      <c r="Q878" t="s">
        <v>74</v>
      </c>
      <c r="R878" t="s">
        <v>74</v>
      </c>
      <c r="S878" t="s">
        <v>74</v>
      </c>
      <c r="T878" t="s">
        <v>16144</v>
      </c>
      <c r="U878" t="s">
        <v>16145</v>
      </c>
      <c r="V878" t="s">
        <v>16146</v>
      </c>
      <c r="W878" t="s">
        <v>16147</v>
      </c>
      <c r="X878" t="s">
        <v>16148</v>
      </c>
      <c r="Y878" t="s">
        <v>16149</v>
      </c>
      <c r="Z878" t="s">
        <v>16150</v>
      </c>
      <c r="AA878" t="s">
        <v>16151</v>
      </c>
      <c r="AB878" t="s">
        <v>16152</v>
      </c>
      <c r="AC878" t="s">
        <v>16153</v>
      </c>
      <c r="AD878" t="s">
        <v>16154</v>
      </c>
      <c r="AE878" t="s">
        <v>16155</v>
      </c>
      <c r="AF878" t="s">
        <v>74</v>
      </c>
      <c r="AG878">
        <v>84</v>
      </c>
      <c r="AH878">
        <v>23</v>
      </c>
      <c r="AI878">
        <v>24</v>
      </c>
      <c r="AJ878">
        <v>0</v>
      </c>
      <c r="AK878">
        <v>17</v>
      </c>
      <c r="AL878" t="s">
        <v>1048</v>
      </c>
      <c r="AM878" t="s">
        <v>522</v>
      </c>
      <c r="AN878" t="s">
        <v>1049</v>
      </c>
      <c r="AO878" t="s">
        <v>1050</v>
      </c>
      <c r="AP878" t="s">
        <v>1051</v>
      </c>
      <c r="AQ878" t="s">
        <v>74</v>
      </c>
      <c r="AR878" t="s">
        <v>1052</v>
      </c>
      <c r="AS878" t="s">
        <v>1053</v>
      </c>
      <c r="AT878" t="s">
        <v>13186</v>
      </c>
      <c r="AU878">
        <v>2014</v>
      </c>
      <c r="AV878">
        <v>437</v>
      </c>
      <c r="AW878">
        <v>1</v>
      </c>
      <c r="AX878" t="s">
        <v>74</v>
      </c>
      <c r="AY878" t="s">
        <v>74</v>
      </c>
      <c r="AZ878" t="s">
        <v>74</v>
      </c>
      <c r="BA878" t="s">
        <v>74</v>
      </c>
      <c r="BB878">
        <v>227</v>
      </c>
      <c r="BC878">
        <v>240</v>
      </c>
      <c r="BD878" t="s">
        <v>74</v>
      </c>
      <c r="BE878" t="s">
        <v>16156</v>
      </c>
      <c r="BF878" t="str">
        <f>HYPERLINK("http://dx.doi.org/10.1093/mnras/stt1873","http://dx.doi.org/10.1093/mnras/stt1873")</f>
        <v>http://dx.doi.org/10.1093/mnras/stt1873</v>
      </c>
      <c r="BG878" t="s">
        <v>74</v>
      </c>
      <c r="BH878" t="s">
        <v>74</v>
      </c>
      <c r="BI878">
        <v>14</v>
      </c>
      <c r="BJ878" t="s">
        <v>332</v>
      </c>
      <c r="BK878" t="s">
        <v>101</v>
      </c>
      <c r="BL878" t="s">
        <v>332</v>
      </c>
      <c r="BM878" t="s">
        <v>16157</v>
      </c>
      <c r="BN878" t="s">
        <v>74</v>
      </c>
      <c r="BO878" t="s">
        <v>1371</v>
      </c>
      <c r="BP878" t="s">
        <v>74</v>
      </c>
      <c r="BQ878" t="s">
        <v>74</v>
      </c>
      <c r="BR878" t="s">
        <v>104</v>
      </c>
      <c r="BS878" t="s">
        <v>16158</v>
      </c>
      <c r="BT878" t="str">
        <f>HYPERLINK("https%3A%2F%2Fwww.webofscience.com%2Fwos%2Fwoscc%2Ffull-record%2FWOS:000328373000039","View Full Record in Web of Science")</f>
        <v>View Full Record in Web of Science</v>
      </c>
    </row>
    <row r="879" spans="1:72" x14ac:dyDescent="0.15">
      <c r="A879" t="s">
        <v>72</v>
      </c>
      <c r="B879" t="s">
        <v>16159</v>
      </c>
      <c r="C879" t="s">
        <v>74</v>
      </c>
      <c r="D879" t="s">
        <v>74</v>
      </c>
      <c r="E879" t="s">
        <v>74</v>
      </c>
      <c r="F879" t="s">
        <v>16160</v>
      </c>
      <c r="G879" t="s">
        <v>74</v>
      </c>
      <c r="H879" t="s">
        <v>74</v>
      </c>
      <c r="I879" t="s">
        <v>16161</v>
      </c>
      <c r="J879" t="s">
        <v>1297</v>
      </c>
      <c r="K879" t="s">
        <v>74</v>
      </c>
      <c r="L879" t="s">
        <v>74</v>
      </c>
      <c r="M879" t="s">
        <v>78</v>
      </c>
      <c r="N879" t="s">
        <v>79</v>
      </c>
      <c r="O879" t="s">
        <v>74</v>
      </c>
      <c r="P879" t="s">
        <v>74</v>
      </c>
      <c r="Q879" t="s">
        <v>74</v>
      </c>
      <c r="R879" t="s">
        <v>74</v>
      </c>
      <c r="S879" t="s">
        <v>74</v>
      </c>
      <c r="T879" t="s">
        <v>16162</v>
      </c>
      <c r="U879" t="s">
        <v>16163</v>
      </c>
      <c r="V879" t="s">
        <v>16164</v>
      </c>
      <c r="W879" t="s">
        <v>16165</v>
      </c>
      <c r="X879" t="s">
        <v>16166</v>
      </c>
      <c r="Y879" t="s">
        <v>16167</v>
      </c>
      <c r="Z879" t="s">
        <v>16168</v>
      </c>
      <c r="AA879" t="s">
        <v>4074</v>
      </c>
      <c r="AB879" t="s">
        <v>4075</v>
      </c>
      <c r="AC879" t="s">
        <v>16169</v>
      </c>
      <c r="AD879" t="s">
        <v>16170</v>
      </c>
      <c r="AE879" t="s">
        <v>16171</v>
      </c>
      <c r="AF879" t="s">
        <v>74</v>
      </c>
      <c r="AG879">
        <v>98</v>
      </c>
      <c r="AH879">
        <v>11</v>
      </c>
      <c r="AI879">
        <v>14</v>
      </c>
      <c r="AJ879">
        <v>1</v>
      </c>
      <c r="AK879">
        <v>26</v>
      </c>
      <c r="AL879" t="s">
        <v>145</v>
      </c>
      <c r="AM879" t="s">
        <v>92</v>
      </c>
      <c r="AN879" t="s">
        <v>3045</v>
      </c>
      <c r="AO879" t="s">
        <v>1310</v>
      </c>
      <c r="AP879" t="s">
        <v>1311</v>
      </c>
      <c r="AQ879" t="s">
        <v>74</v>
      </c>
      <c r="AR879" t="s">
        <v>1312</v>
      </c>
      <c r="AS879" t="s">
        <v>1313</v>
      </c>
      <c r="AT879" t="s">
        <v>13186</v>
      </c>
      <c r="AU879">
        <v>2014</v>
      </c>
      <c r="AV879">
        <v>37</v>
      </c>
      <c r="AW879">
        <v>1</v>
      </c>
      <c r="AX879" t="s">
        <v>74</v>
      </c>
      <c r="AY879" t="s">
        <v>74</v>
      </c>
      <c r="AZ879" t="s">
        <v>74</v>
      </c>
      <c r="BA879" t="s">
        <v>74</v>
      </c>
      <c r="BB879">
        <v>73</v>
      </c>
      <c r="BC879">
        <v>88</v>
      </c>
      <c r="BD879" t="s">
        <v>74</v>
      </c>
      <c r="BE879" t="s">
        <v>16172</v>
      </c>
      <c r="BF879" t="str">
        <f>HYPERLINK("http://dx.doi.org/10.1007/s00300-013-1411-8","http://dx.doi.org/10.1007/s00300-013-1411-8")</f>
        <v>http://dx.doi.org/10.1007/s00300-013-1411-8</v>
      </c>
      <c r="BG879" t="s">
        <v>74</v>
      </c>
      <c r="BH879" t="s">
        <v>74</v>
      </c>
      <c r="BI879">
        <v>16</v>
      </c>
      <c r="BJ879" t="s">
        <v>1315</v>
      </c>
      <c r="BK879" t="s">
        <v>101</v>
      </c>
      <c r="BL879" t="s">
        <v>412</v>
      </c>
      <c r="BM879" t="s">
        <v>16173</v>
      </c>
      <c r="BN879" t="s">
        <v>74</v>
      </c>
      <c r="BO879" t="s">
        <v>74</v>
      </c>
      <c r="BP879" t="s">
        <v>74</v>
      </c>
      <c r="BQ879" t="s">
        <v>74</v>
      </c>
      <c r="BR879" t="s">
        <v>104</v>
      </c>
      <c r="BS879" t="s">
        <v>16174</v>
      </c>
      <c r="BT879" t="str">
        <f>HYPERLINK("https%3A%2F%2Fwww.webofscience.com%2Fwos%2Fwoscc%2Ffull-record%2FWOS:000328849600007","View Full Record in Web of Science")</f>
        <v>View Full Record in Web of Science</v>
      </c>
    </row>
    <row r="880" spans="1:72" x14ac:dyDescent="0.15">
      <c r="A880" t="s">
        <v>72</v>
      </c>
      <c r="B880" t="s">
        <v>16175</v>
      </c>
      <c r="C880" t="s">
        <v>74</v>
      </c>
      <c r="D880" t="s">
        <v>74</v>
      </c>
      <c r="E880" t="s">
        <v>74</v>
      </c>
      <c r="F880" t="s">
        <v>16176</v>
      </c>
      <c r="G880" t="s">
        <v>74</v>
      </c>
      <c r="H880" t="s">
        <v>74</v>
      </c>
      <c r="I880" t="s">
        <v>16177</v>
      </c>
      <c r="J880" t="s">
        <v>1297</v>
      </c>
      <c r="K880" t="s">
        <v>74</v>
      </c>
      <c r="L880" t="s">
        <v>74</v>
      </c>
      <c r="M880" t="s">
        <v>78</v>
      </c>
      <c r="N880" t="s">
        <v>79</v>
      </c>
      <c r="O880" t="s">
        <v>74</v>
      </c>
      <c r="P880" t="s">
        <v>74</v>
      </c>
      <c r="Q880" t="s">
        <v>74</v>
      </c>
      <c r="R880" t="s">
        <v>74</v>
      </c>
      <c r="S880" t="s">
        <v>74</v>
      </c>
      <c r="T880" t="s">
        <v>16178</v>
      </c>
      <c r="U880" t="s">
        <v>16179</v>
      </c>
      <c r="V880" t="s">
        <v>16180</v>
      </c>
      <c r="W880" t="s">
        <v>16181</v>
      </c>
      <c r="X880" t="s">
        <v>16182</v>
      </c>
      <c r="Y880" t="s">
        <v>16183</v>
      </c>
      <c r="Z880" t="s">
        <v>16184</v>
      </c>
      <c r="AA880" t="s">
        <v>16185</v>
      </c>
      <c r="AB880" t="s">
        <v>16186</v>
      </c>
      <c r="AC880" t="s">
        <v>16187</v>
      </c>
      <c r="AD880" t="s">
        <v>16188</v>
      </c>
      <c r="AE880" t="s">
        <v>16189</v>
      </c>
      <c r="AF880" t="s">
        <v>74</v>
      </c>
      <c r="AG880">
        <v>38</v>
      </c>
      <c r="AH880">
        <v>11</v>
      </c>
      <c r="AI880">
        <v>12</v>
      </c>
      <c r="AJ880">
        <v>1</v>
      </c>
      <c r="AK880">
        <v>38</v>
      </c>
      <c r="AL880" t="s">
        <v>145</v>
      </c>
      <c r="AM880" t="s">
        <v>92</v>
      </c>
      <c r="AN880" t="s">
        <v>472</v>
      </c>
      <c r="AO880" t="s">
        <v>1310</v>
      </c>
      <c r="AP880" t="s">
        <v>1311</v>
      </c>
      <c r="AQ880" t="s">
        <v>74</v>
      </c>
      <c r="AR880" t="s">
        <v>1312</v>
      </c>
      <c r="AS880" t="s">
        <v>1313</v>
      </c>
      <c r="AT880" t="s">
        <v>13186</v>
      </c>
      <c r="AU880">
        <v>2014</v>
      </c>
      <c r="AV880">
        <v>37</v>
      </c>
      <c r="AW880">
        <v>1</v>
      </c>
      <c r="AX880" t="s">
        <v>74</v>
      </c>
      <c r="AY880" t="s">
        <v>74</v>
      </c>
      <c r="AZ880" t="s">
        <v>74</v>
      </c>
      <c r="BA880" t="s">
        <v>74</v>
      </c>
      <c r="BB880">
        <v>135</v>
      </c>
      <c r="BC880">
        <v>139</v>
      </c>
      <c r="BD880" t="s">
        <v>74</v>
      </c>
      <c r="BE880" t="s">
        <v>16190</v>
      </c>
      <c r="BF880" t="str">
        <f>HYPERLINK("http://dx.doi.org/10.1007/s00300-013-1401-x","http://dx.doi.org/10.1007/s00300-013-1401-x")</f>
        <v>http://dx.doi.org/10.1007/s00300-013-1401-x</v>
      </c>
      <c r="BG880" t="s">
        <v>74</v>
      </c>
      <c r="BH880" t="s">
        <v>74</v>
      </c>
      <c r="BI880">
        <v>5</v>
      </c>
      <c r="BJ880" t="s">
        <v>1315</v>
      </c>
      <c r="BK880" t="s">
        <v>101</v>
      </c>
      <c r="BL880" t="s">
        <v>412</v>
      </c>
      <c r="BM880" t="s">
        <v>16173</v>
      </c>
      <c r="BN880" t="s">
        <v>74</v>
      </c>
      <c r="BO880" t="s">
        <v>74</v>
      </c>
      <c r="BP880" t="s">
        <v>74</v>
      </c>
      <c r="BQ880" t="s">
        <v>74</v>
      </c>
      <c r="BR880" t="s">
        <v>104</v>
      </c>
      <c r="BS880" t="s">
        <v>16191</v>
      </c>
      <c r="BT880" t="str">
        <f>HYPERLINK("https%3A%2F%2Fwww.webofscience.com%2Fwos%2Fwoscc%2Ffull-record%2FWOS:000328849600012","View Full Record in Web of Science")</f>
        <v>View Full Record in Web of Science</v>
      </c>
    </row>
    <row r="881" spans="1:72" x14ac:dyDescent="0.15">
      <c r="A881" t="s">
        <v>72</v>
      </c>
      <c r="B881" t="s">
        <v>16192</v>
      </c>
      <c r="C881" t="s">
        <v>74</v>
      </c>
      <c r="D881" t="s">
        <v>74</v>
      </c>
      <c r="E881" t="s">
        <v>74</v>
      </c>
      <c r="F881" t="s">
        <v>16193</v>
      </c>
      <c r="G881" t="s">
        <v>74</v>
      </c>
      <c r="H881" t="s">
        <v>74</v>
      </c>
      <c r="I881" t="s">
        <v>16194</v>
      </c>
      <c r="J881" t="s">
        <v>2053</v>
      </c>
      <c r="K881" t="s">
        <v>74</v>
      </c>
      <c r="L881" t="s">
        <v>74</v>
      </c>
      <c r="M881" t="s">
        <v>78</v>
      </c>
      <c r="N881" t="s">
        <v>79</v>
      </c>
      <c r="O881" t="s">
        <v>74</v>
      </c>
      <c r="P881" t="s">
        <v>74</v>
      </c>
      <c r="Q881" t="s">
        <v>74</v>
      </c>
      <c r="R881" t="s">
        <v>74</v>
      </c>
      <c r="S881" t="s">
        <v>74</v>
      </c>
      <c r="T881" t="s">
        <v>16195</v>
      </c>
      <c r="U881" t="s">
        <v>16196</v>
      </c>
      <c r="V881" t="s">
        <v>16197</v>
      </c>
      <c r="W881" t="s">
        <v>16198</v>
      </c>
      <c r="X881" t="s">
        <v>16199</v>
      </c>
      <c r="Y881" t="s">
        <v>16200</v>
      </c>
      <c r="Z881" t="s">
        <v>16201</v>
      </c>
      <c r="AA881" t="s">
        <v>16202</v>
      </c>
      <c r="AB881" t="s">
        <v>16203</v>
      </c>
      <c r="AC881" t="s">
        <v>16204</v>
      </c>
      <c r="AD881" t="s">
        <v>16205</v>
      </c>
      <c r="AE881" t="s">
        <v>16206</v>
      </c>
      <c r="AF881" t="s">
        <v>74</v>
      </c>
      <c r="AG881">
        <v>69</v>
      </c>
      <c r="AH881">
        <v>39</v>
      </c>
      <c r="AI881">
        <v>43</v>
      </c>
      <c r="AJ881">
        <v>0</v>
      </c>
      <c r="AK881">
        <v>44</v>
      </c>
      <c r="AL881" t="s">
        <v>902</v>
      </c>
      <c r="AM881" t="s">
        <v>653</v>
      </c>
      <c r="AN881" t="s">
        <v>903</v>
      </c>
      <c r="AO881" t="s">
        <v>2065</v>
      </c>
      <c r="AP881" t="s">
        <v>2066</v>
      </c>
      <c r="AQ881" t="s">
        <v>74</v>
      </c>
      <c r="AR881" t="s">
        <v>2053</v>
      </c>
      <c r="AS881" t="s">
        <v>2067</v>
      </c>
      <c r="AT881" t="s">
        <v>14963</v>
      </c>
      <c r="AU881">
        <v>2014</v>
      </c>
      <c r="AV881">
        <v>204</v>
      </c>
      <c r="AW881" t="s">
        <v>74</v>
      </c>
      <c r="AX881" t="s">
        <v>74</v>
      </c>
      <c r="AY881" t="s">
        <v>74</v>
      </c>
      <c r="AZ881" t="s">
        <v>74</v>
      </c>
      <c r="BA881" t="s">
        <v>74</v>
      </c>
      <c r="BB881">
        <v>599</v>
      </c>
      <c r="BC881">
        <v>616</v>
      </c>
      <c r="BD881" t="s">
        <v>74</v>
      </c>
      <c r="BE881" t="s">
        <v>16207</v>
      </c>
      <c r="BF881" t="str">
        <f>HYPERLINK("http://dx.doi.org/10.1016/j.geomorph.2013.08.036","http://dx.doi.org/10.1016/j.geomorph.2013.08.036")</f>
        <v>http://dx.doi.org/10.1016/j.geomorph.2013.08.036</v>
      </c>
      <c r="BG881" t="s">
        <v>74</v>
      </c>
      <c r="BH881" t="s">
        <v>74</v>
      </c>
      <c r="BI881">
        <v>18</v>
      </c>
      <c r="BJ881" t="s">
        <v>1415</v>
      </c>
      <c r="BK881" t="s">
        <v>101</v>
      </c>
      <c r="BL881" t="s">
        <v>1416</v>
      </c>
      <c r="BM881" t="s">
        <v>16208</v>
      </c>
      <c r="BN881" t="s">
        <v>74</v>
      </c>
      <c r="BO881" t="s">
        <v>74</v>
      </c>
      <c r="BP881" t="s">
        <v>74</v>
      </c>
      <c r="BQ881" t="s">
        <v>74</v>
      </c>
      <c r="BR881" t="s">
        <v>104</v>
      </c>
      <c r="BS881" t="s">
        <v>16209</v>
      </c>
      <c r="BT881" t="str">
        <f>HYPERLINK("https%3A%2F%2Fwww.webofscience.com%2Fwos%2Fwoscc%2Ffull-record%2FWOS:000328234200048","View Full Record in Web of Science")</f>
        <v>View Full Record in Web of Science</v>
      </c>
    </row>
    <row r="882" spans="1:72" x14ac:dyDescent="0.15">
      <c r="A882" t="s">
        <v>8774</v>
      </c>
      <c r="B882" t="s">
        <v>16210</v>
      </c>
      <c r="C882" t="s">
        <v>74</v>
      </c>
      <c r="D882" t="s">
        <v>16211</v>
      </c>
      <c r="E882" t="s">
        <v>74</v>
      </c>
      <c r="F882" t="s">
        <v>16212</v>
      </c>
      <c r="G882" t="s">
        <v>74</v>
      </c>
      <c r="H882" t="s">
        <v>74</v>
      </c>
      <c r="I882" t="s">
        <v>16213</v>
      </c>
      <c r="J882" t="s">
        <v>16214</v>
      </c>
      <c r="K882" t="s">
        <v>74</v>
      </c>
      <c r="L882" t="s">
        <v>74</v>
      </c>
      <c r="M882" t="s">
        <v>78</v>
      </c>
      <c r="N882" t="s">
        <v>8781</v>
      </c>
      <c r="O882" t="s">
        <v>16215</v>
      </c>
      <c r="P882" t="s">
        <v>16216</v>
      </c>
      <c r="Q882" t="s">
        <v>8958</v>
      </c>
      <c r="R882" t="s">
        <v>74</v>
      </c>
      <c r="S882" t="s">
        <v>74</v>
      </c>
      <c r="T882" t="s">
        <v>16217</v>
      </c>
      <c r="U882" t="s">
        <v>74</v>
      </c>
      <c r="V882" t="s">
        <v>16218</v>
      </c>
      <c r="W882" t="s">
        <v>16219</v>
      </c>
      <c r="X882" t="s">
        <v>16220</v>
      </c>
      <c r="Y882" t="s">
        <v>16221</v>
      </c>
      <c r="Z882" t="s">
        <v>16222</v>
      </c>
      <c r="AA882" t="s">
        <v>74</v>
      </c>
      <c r="AB882" t="s">
        <v>16223</v>
      </c>
      <c r="AC882" t="s">
        <v>74</v>
      </c>
      <c r="AD882" t="s">
        <v>74</v>
      </c>
      <c r="AE882" t="s">
        <v>74</v>
      </c>
      <c r="AF882" t="s">
        <v>74</v>
      </c>
      <c r="AG882">
        <v>21</v>
      </c>
      <c r="AH882">
        <v>6</v>
      </c>
      <c r="AI882">
        <v>6</v>
      </c>
      <c r="AJ882">
        <v>0</v>
      </c>
      <c r="AK882">
        <v>1</v>
      </c>
      <c r="AL882" t="s">
        <v>8931</v>
      </c>
      <c r="AM882" t="s">
        <v>92</v>
      </c>
      <c r="AN882" t="s">
        <v>8945</v>
      </c>
      <c r="AO882" t="s">
        <v>74</v>
      </c>
      <c r="AP882" t="s">
        <v>74</v>
      </c>
      <c r="AQ882" t="s">
        <v>16224</v>
      </c>
      <c r="AR882" t="s">
        <v>74</v>
      </c>
      <c r="AS882" t="s">
        <v>74</v>
      </c>
      <c r="AT882" t="s">
        <v>74</v>
      </c>
      <c r="AU882">
        <v>2014</v>
      </c>
      <c r="AV882" t="s">
        <v>74</v>
      </c>
      <c r="AW882" t="s">
        <v>74</v>
      </c>
      <c r="AX882" t="s">
        <v>74</v>
      </c>
      <c r="AY882" t="s">
        <v>74</v>
      </c>
      <c r="AZ882" t="s">
        <v>74</v>
      </c>
      <c r="BA882" t="s">
        <v>74</v>
      </c>
      <c r="BB882">
        <v>863</v>
      </c>
      <c r="BC882">
        <v>867</v>
      </c>
      <c r="BD882" t="s">
        <v>74</v>
      </c>
      <c r="BE882" t="s">
        <v>74</v>
      </c>
      <c r="BF882" t="s">
        <v>74</v>
      </c>
      <c r="BG882" t="s">
        <v>74</v>
      </c>
      <c r="BH882" t="s">
        <v>74</v>
      </c>
      <c r="BI882">
        <v>5</v>
      </c>
      <c r="BJ882" t="s">
        <v>16225</v>
      </c>
      <c r="BK882" t="s">
        <v>8799</v>
      </c>
      <c r="BL882" t="s">
        <v>8851</v>
      </c>
      <c r="BM882" t="s">
        <v>16226</v>
      </c>
      <c r="BN882" t="s">
        <v>74</v>
      </c>
      <c r="BO882" t="s">
        <v>74</v>
      </c>
      <c r="BP882" t="s">
        <v>74</v>
      </c>
      <c r="BQ882" t="s">
        <v>74</v>
      </c>
      <c r="BR882" t="s">
        <v>104</v>
      </c>
      <c r="BS882" t="s">
        <v>16227</v>
      </c>
      <c r="BT882" t="str">
        <f>HYPERLINK("https%3A%2F%2Fwww.webofscience.com%2Fwos%2Fwoscc%2Ffull-record%2FWOS:000380450500119","View Full Record in Web of Science")</f>
        <v>View Full Record in Web of Science</v>
      </c>
    </row>
    <row r="883" spans="1:72" x14ac:dyDescent="0.15">
      <c r="A883" t="s">
        <v>8774</v>
      </c>
      <c r="B883" t="s">
        <v>16228</v>
      </c>
      <c r="C883" t="s">
        <v>74</v>
      </c>
      <c r="D883" t="s">
        <v>16229</v>
      </c>
      <c r="E883" t="s">
        <v>74</v>
      </c>
      <c r="F883" t="s">
        <v>16230</v>
      </c>
      <c r="G883" t="s">
        <v>74</v>
      </c>
      <c r="H883" t="s">
        <v>74</v>
      </c>
      <c r="I883" t="s">
        <v>16231</v>
      </c>
      <c r="J883" t="s">
        <v>16232</v>
      </c>
      <c r="K883" t="s">
        <v>16233</v>
      </c>
      <c r="L883" t="s">
        <v>74</v>
      </c>
      <c r="M883" t="s">
        <v>78</v>
      </c>
      <c r="N883" t="s">
        <v>8781</v>
      </c>
      <c r="O883" t="s">
        <v>16234</v>
      </c>
      <c r="P883" t="s">
        <v>16235</v>
      </c>
      <c r="Q883" t="s">
        <v>11681</v>
      </c>
      <c r="R883" t="s">
        <v>74</v>
      </c>
      <c r="S883" t="s">
        <v>74</v>
      </c>
      <c r="T883" t="s">
        <v>16236</v>
      </c>
      <c r="U883" t="s">
        <v>16237</v>
      </c>
      <c r="V883" t="s">
        <v>16238</v>
      </c>
      <c r="W883" t="s">
        <v>16239</v>
      </c>
      <c r="X883" t="s">
        <v>16240</v>
      </c>
      <c r="Y883" t="s">
        <v>16241</v>
      </c>
      <c r="Z883" t="s">
        <v>16242</v>
      </c>
      <c r="AA883" t="s">
        <v>16243</v>
      </c>
      <c r="AB883" t="s">
        <v>16244</v>
      </c>
      <c r="AC883" t="s">
        <v>74</v>
      </c>
      <c r="AD883" t="s">
        <v>74</v>
      </c>
      <c r="AE883" t="s">
        <v>74</v>
      </c>
      <c r="AF883" t="s">
        <v>74</v>
      </c>
      <c r="AG883">
        <v>39</v>
      </c>
      <c r="AH883">
        <v>17</v>
      </c>
      <c r="AI883">
        <v>19</v>
      </c>
      <c r="AJ883">
        <v>1</v>
      </c>
      <c r="AK883">
        <v>1</v>
      </c>
      <c r="AL883" t="s">
        <v>8931</v>
      </c>
      <c r="AM883" t="s">
        <v>92</v>
      </c>
      <c r="AN883" t="s">
        <v>8945</v>
      </c>
      <c r="AO883" t="s">
        <v>16245</v>
      </c>
      <c r="AP883" t="s">
        <v>74</v>
      </c>
      <c r="AQ883" t="s">
        <v>16246</v>
      </c>
      <c r="AR883" t="s">
        <v>16247</v>
      </c>
      <c r="AS883" t="s">
        <v>74</v>
      </c>
      <c r="AT883" t="s">
        <v>74</v>
      </c>
      <c r="AU883">
        <v>2014</v>
      </c>
      <c r="AV883" t="s">
        <v>74</v>
      </c>
      <c r="AW883" t="s">
        <v>74</v>
      </c>
      <c r="AX883" t="s">
        <v>74</v>
      </c>
      <c r="AY883" t="s">
        <v>74</v>
      </c>
      <c r="AZ883" t="s">
        <v>74</v>
      </c>
      <c r="BA883" t="s">
        <v>74</v>
      </c>
      <c r="BB883">
        <v>143</v>
      </c>
      <c r="BC883">
        <v>152</v>
      </c>
      <c r="BD883" t="s">
        <v>74</v>
      </c>
      <c r="BE883" t="s">
        <v>74</v>
      </c>
      <c r="BF883" t="s">
        <v>74</v>
      </c>
      <c r="BG883" t="s">
        <v>74</v>
      </c>
      <c r="BH883" t="s">
        <v>74</v>
      </c>
      <c r="BI883">
        <v>10</v>
      </c>
      <c r="BJ883" t="s">
        <v>15544</v>
      </c>
      <c r="BK883" t="s">
        <v>8799</v>
      </c>
      <c r="BL883" t="s">
        <v>10576</v>
      </c>
      <c r="BM883" t="s">
        <v>16248</v>
      </c>
      <c r="BN883" t="s">
        <v>74</v>
      </c>
      <c r="BO883" t="s">
        <v>74</v>
      </c>
      <c r="BP883" t="s">
        <v>74</v>
      </c>
      <c r="BQ883" t="s">
        <v>74</v>
      </c>
      <c r="BR883" t="s">
        <v>104</v>
      </c>
      <c r="BS883" t="s">
        <v>16249</v>
      </c>
      <c r="BT883" t="str">
        <f>HYPERLINK("https%3A%2F%2Fwww.webofscience.com%2Fwos%2Fwoscc%2Ffull-record%2FWOS:000380474000015","View Full Record in Web of Science")</f>
        <v>View Full Record in Web of Science</v>
      </c>
    </row>
    <row r="884" spans="1:72" x14ac:dyDescent="0.15">
      <c r="A884" t="s">
        <v>8774</v>
      </c>
      <c r="B884" t="s">
        <v>16250</v>
      </c>
      <c r="C884" t="s">
        <v>74</v>
      </c>
      <c r="D884" t="s">
        <v>74</v>
      </c>
      <c r="E884" t="s">
        <v>8931</v>
      </c>
      <c r="F884" t="s">
        <v>16251</v>
      </c>
      <c r="G884" t="s">
        <v>74</v>
      </c>
      <c r="H884" t="s">
        <v>74</v>
      </c>
      <c r="I884" t="s">
        <v>16252</v>
      </c>
      <c r="J884" t="s">
        <v>16253</v>
      </c>
      <c r="K884" t="s">
        <v>74</v>
      </c>
      <c r="L884" t="s">
        <v>74</v>
      </c>
      <c r="M884" t="s">
        <v>78</v>
      </c>
      <c r="N884" t="s">
        <v>8781</v>
      </c>
      <c r="O884" t="s">
        <v>16254</v>
      </c>
      <c r="P884" t="s">
        <v>16255</v>
      </c>
      <c r="Q884" t="s">
        <v>16256</v>
      </c>
      <c r="R884" t="s">
        <v>74</v>
      </c>
      <c r="S884" t="s">
        <v>74</v>
      </c>
      <c r="T884" t="s">
        <v>16257</v>
      </c>
      <c r="U884" t="s">
        <v>74</v>
      </c>
      <c r="V884" t="s">
        <v>16258</v>
      </c>
      <c r="W884" t="s">
        <v>16259</v>
      </c>
      <c r="X884" t="s">
        <v>9427</v>
      </c>
      <c r="Y884" t="s">
        <v>16260</v>
      </c>
      <c r="Z884" t="s">
        <v>16261</v>
      </c>
      <c r="AA884" t="s">
        <v>74</v>
      </c>
      <c r="AB884" t="s">
        <v>74</v>
      </c>
      <c r="AC884" t="s">
        <v>74</v>
      </c>
      <c r="AD884" t="s">
        <v>74</v>
      </c>
      <c r="AE884" t="s">
        <v>74</v>
      </c>
      <c r="AF884" t="s">
        <v>74</v>
      </c>
      <c r="AG884">
        <v>19</v>
      </c>
      <c r="AH884">
        <v>0</v>
      </c>
      <c r="AI884">
        <v>0</v>
      </c>
      <c r="AJ884">
        <v>0</v>
      </c>
      <c r="AK884">
        <v>1</v>
      </c>
      <c r="AL884" t="s">
        <v>8931</v>
      </c>
      <c r="AM884" t="s">
        <v>92</v>
      </c>
      <c r="AN884" t="s">
        <v>8945</v>
      </c>
      <c r="AO884" t="s">
        <v>74</v>
      </c>
      <c r="AP884" t="s">
        <v>74</v>
      </c>
      <c r="AQ884" t="s">
        <v>16262</v>
      </c>
      <c r="AR884" t="s">
        <v>74</v>
      </c>
      <c r="AS884" t="s">
        <v>74</v>
      </c>
      <c r="AT884" t="s">
        <v>74</v>
      </c>
      <c r="AU884">
        <v>2014</v>
      </c>
      <c r="AV884" t="s">
        <v>74</v>
      </c>
      <c r="AW884" t="s">
        <v>74</v>
      </c>
      <c r="AX884" t="s">
        <v>74</v>
      </c>
      <c r="AY884" t="s">
        <v>74</v>
      </c>
      <c r="AZ884" t="s">
        <v>74</v>
      </c>
      <c r="BA884" t="s">
        <v>74</v>
      </c>
      <c r="BB884">
        <v>1883</v>
      </c>
      <c r="BC884">
        <v>1888</v>
      </c>
      <c r="BD884" t="s">
        <v>74</v>
      </c>
      <c r="BE884" t="s">
        <v>74</v>
      </c>
      <c r="BF884" t="s">
        <v>74</v>
      </c>
      <c r="BG884" t="s">
        <v>74</v>
      </c>
      <c r="BH884" t="s">
        <v>74</v>
      </c>
      <c r="BI884">
        <v>6</v>
      </c>
      <c r="BJ884" t="s">
        <v>16263</v>
      </c>
      <c r="BK884" t="s">
        <v>8799</v>
      </c>
      <c r="BL884" t="s">
        <v>16264</v>
      </c>
      <c r="BM884" t="s">
        <v>16265</v>
      </c>
      <c r="BN884" t="s">
        <v>74</v>
      </c>
      <c r="BO884" t="s">
        <v>74</v>
      </c>
      <c r="BP884" t="s">
        <v>74</v>
      </c>
      <c r="BQ884" t="s">
        <v>74</v>
      </c>
      <c r="BR884" t="s">
        <v>104</v>
      </c>
      <c r="BS884" t="s">
        <v>16266</v>
      </c>
      <c r="BT884" t="str">
        <f>HYPERLINK("https%3A%2F%2Fwww.webofscience.com%2Fwos%2Fwoscc%2Ffull-record%2FWOS:000366848100328","View Full Record in Web of Science")</f>
        <v>View Full Record in Web of Science</v>
      </c>
    </row>
    <row r="885" spans="1:72" x14ac:dyDescent="0.15">
      <c r="A885" t="s">
        <v>8774</v>
      </c>
      <c r="B885" t="s">
        <v>16267</v>
      </c>
      <c r="C885" t="s">
        <v>74</v>
      </c>
      <c r="D885" t="s">
        <v>74</v>
      </c>
      <c r="E885" t="s">
        <v>8931</v>
      </c>
      <c r="F885" t="s">
        <v>16268</v>
      </c>
      <c r="G885" t="s">
        <v>74</v>
      </c>
      <c r="H885" t="s">
        <v>74</v>
      </c>
      <c r="I885" t="s">
        <v>16269</v>
      </c>
      <c r="J885" t="s">
        <v>16270</v>
      </c>
      <c r="K885" t="s">
        <v>74</v>
      </c>
      <c r="L885" t="s">
        <v>74</v>
      </c>
      <c r="M885" t="s">
        <v>78</v>
      </c>
      <c r="N885" t="s">
        <v>8781</v>
      </c>
      <c r="O885" t="s">
        <v>16271</v>
      </c>
      <c r="P885" t="s">
        <v>16272</v>
      </c>
      <c r="Q885" t="s">
        <v>16273</v>
      </c>
      <c r="R885" t="s">
        <v>74</v>
      </c>
      <c r="S885" t="s">
        <v>74</v>
      </c>
      <c r="T885" t="s">
        <v>74</v>
      </c>
      <c r="U885" t="s">
        <v>16274</v>
      </c>
      <c r="V885" t="s">
        <v>16275</v>
      </c>
      <c r="W885" t="s">
        <v>16276</v>
      </c>
      <c r="X885" t="s">
        <v>16277</v>
      </c>
      <c r="Y885" t="s">
        <v>16278</v>
      </c>
      <c r="Z885" t="s">
        <v>16279</v>
      </c>
      <c r="AA885" t="s">
        <v>16280</v>
      </c>
      <c r="AB885" t="s">
        <v>16281</v>
      </c>
      <c r="AC885" t="s">
        <v>16282</v>
      </c>
      <c r="AD885" t="s">
        <v>16283</v>
      </c>
      <c r="AE885" t="s">
        <v>16284</v>
      </c>
      <c r="AF885" t="s">
        <v>74</v>
      </c>
      <c r="AG885">
        <v>27</v>
      </c>
      <c r="AH885">
        <v>0</v>
      </c>
      <c r="AI885">
        <v>0</v>
      </c>
      <c r="AJ885">
        <v>0</v>
      </c>
      <c r="AK885">
        <v>1</v>
      </c>
      <c r="AL885" t="s">
        <v>8931</v>
      </c>
      <c r="AM885" t="s">
        <v>92</v>
      </c>
      <c r="AN885" t="s">
        <v>8945</v>
      </c>
      <c r="AO885" t="s">
        <v>74</v>
      </c>
      <c r="AP885" t="s">
        <v>74</v>
      </c>
      <c r="AQ885" t="s">
        <v>16285</v>
      </c>
      <c r="AR885" t="s">
        <v>74</v>
      </c>
      <c r="AS885" t="s">
        <v>74</v>
      </c>
      <c r="AT885" t="s">
        <v>74</v>
      </c>
      <c r="AU885">
        <v>2014</v>
      </c>
      <c r="AV885" t="s">
        <v>74</v>
      </c>
      <c r="AW885" t="s">
        <v>74</v>
      </c>
      <c r="AX885" t="s">
        <v>74</v>
      </c>
      <c r="AY885" t="s">
        <v>74</v>
      </c>
      <c r="AZ885" t="s">
        <v>74</v>
      </c>
      <c r="BA885" t="s">
        <v>74</v>
      </c>
      <c r="BB885" t="s">
        <v>74</v>
      </c>
      <c r="BC885" t="s">
        <v>74</v>
      </c>
      <c r="BD885" t="s">
        <v>74</v>
      </c>
      <c r="BE885" t="s">
        <v>74</v>
      </c>
      <c r="BF885" t="s">
        <v>74</v>
      </c>
      <c r="BG885" t="s">
        <v>74</v>
      </c>
      <c r="BH885" t="s">
        <v>74</v>
      </c>
      <c r="BI885">
        <v>8</v>
      </c>
      <c r="BJ885" t="s">
        <v>16286</v>
      </c>
      <c r="BK885" t="s">
        <v>8799</v>
      </c>
      <c r="BL885" t="s">
        <v>16286</v>
      </c>
      <c r="BM885" t="s">
        <v>16287</v>
      </c>
      <c r="BN885" t="s">
        <v>74</v>
      </c>
      <c r="BO885" t="s">
        <v>74</v>
      </c>
      <c r="BP885" t="s">
        <v>74</v>
      </c>
      <c r="BQ885" t="s">
        <v>74</v>
      </c>
      <c r="BR885" t="s">
        <v>104</v>
      </c>
      <c r="BS885" t="s">
        <v>16288</v>
      </c>
      <c r="BT885" t="str">
        <f>HYPERLINK("https%3A%2F%2Fwww.webofscience.com%2Fwos%2Fwoscc%2Ffull-record%2FWOS:000392917500462","View Full Record in Web of Science")</f>
        <v>View Full Record in Web of Science</v>
      </c>
    </row>
    <row r="886" spans="1:72" x14ac:dyDescent="0.15">
      <c r="A886" t="s">
        <v>8774</v>
      </c>
      <c r="B886" t="s">
        <v>16289</v>
      </c>
      <c r="C886" t="s">
        <v>74</v>
      </c>
      <c r="D886" t="s">
        <v>74</v>
      </c>
      <c r="E886" t="s">
        <v>8931</v>
      </c>
      <c r="F886" t="s">
        <v>16290</v>
      </c>
      <c r="G886" t="s">
        <v>74</v>
      </c>
      <c r="H886" t="s">
        <v>74</v>
      </c>
      <c r="I886" t="s">
        <v>16291</v>
      </c>
      <c r="J886" t="s">
        <v>16292</v>
      </c>
      <c r="K886" t="s">
        <v>74</v>
      </c>
      <c r="L886" t="s">
        <v>74</v>
      </c>
      <c r="M886" t="s">
        <v>78</v>
      </c>
      <c r="N886" t="s">
        <v>8781</v>
      </c>
      <c r="O886" t="s">
        <v>16293</v>
      </c>
      <c r="P886" t="s">
        <v>16294</v>
      </c>
      <c r="Q886" t="s">
        <v>16295</v>
      </c>
      <c r="R886" t="s">
        <v>74</v>
      </c>
      <c r="S886" t="s">
        <v>74</v>
      </c>
      <c r="T886" t="s">
        <v>74</v>
      </c>
      <c r="U886" t="s">
        <v>74</v>
      </c>
      <c r="V886" t="s">
        <v>16296</v>
      </c>
      <c r="W886" t="s">
        <v>16297</v>
      </c>
      <c r="X886" t="s">
        <v>16298</v>
      </c>
      <c r="Y886" t="s">
        <v>16299</v>
      </c>
      <c r="Z886" t="s">
        <v>74</v>
      </c>
      <c r="AA886" t="s">
        <v>74</v>
      </c>
      <c r="AB886" t="s">
        <v>74</v>
      </c>
      <c r="AC886" t="s">
        <v>16300</v>
      </c>
      <c r="AD886" t="s">
        <v>16301</v>
      </c>
      <c r="AE886" t="s">
        <v>16302</v>
      </c>
      <c r="AF886" t="s">
        <v>74</v>
      </c>
      <c r="AG886">
        <v>21</v>
      </c>
      <c r="AH886">
        <v>1</v>
      </c>
      <c r="AI886">
        <v>1</v>
      </c>
      <c r="AJ886">
        <v>0</v>
      </c>
      <c r="AK886">
        <v>1</v>
      </c>
      <c r="AL886" t="s">
        <v>8931</v>
      </c>
      <c r="AM886" t="s">
        <v>92</v>
      </c>
      <c r="AN886" t="s">
        <v>8945</v>
      </c>
      <c r="AO886" t="s">
        <v>74</v>
      </c>
      <c r="AP886" t="s">
        <v>74</v>
      </c>
      <c r="AQ886" t="s">
        <v>16303</v>
      </c>
      <c r="AR886" t="s">
        <v>74</v>
      </c>
      <c r="AS886" t="s">
        <v>74</v>
      </c>
      <c r="AT886" t="s">
        <v>74</v>
      </c>
      <c r="AU886">
        <v>2014</v>
      </c>
      <c r="AV886" t="s">
        <v>74</v>
      </c>
      <c r="AW886" t="s">
        <v>74</v>
      </c>
      <c r="AX886" t="s">
        <v>74</v>
      </c>
      <c r="AY886" t="s">
        <v>74</v>
      </c>
      <c r="AZ886" t="s">
        <v>74</v>
      </c>
      <c r="BA886" t="s">
        <v>74</v>
      </c>
      <c r="BB886" t="s">
        <v>74</v>
      </c>
      <c r="BC886" t="s">
        <v>74</v>
      </c>
      <c r="BD886" t="s">
        <v>74</v>
      </c>
      <c r="BE886" t="s">
        <v>74</v>
      </c>
      <c r="BF886" t="s">
        <v>74</v>
      </c>
      <c r="BG886" t="s">
        <v>74</v>
      </c>
      <c r="BH886" t="s">
        <v>74</v>
      </c>
      <c r="BI886">
        <v>7</v>
      </c>
      <c r="BJ886" t="s">
        <v>16304</v>
      </c>
      <c r="BK886" t="s">
        <v>8799</v>
      </c>
      <c r="BL886" t="s">
        <v>16305</v>
      </c>
      <c r="BM886" t="s">
        <v>16306</v>
      </c>
      <c r="BN886" t="s">
        <v>74</v>
      </c>
      <c r="BO886" t="s">
        <v>74</v>
      </c>
      <c r="BP886" t="s">
        <v>74</v>
      </c>
      <c r="BQ886" t="s">
        <v>74</v>
      </c>
      <c r="BR886" t="s">
        <v>104</v>
      </c>
      <c r="BS886" t="s">
        <v>16307</v>
      </c>
      <c r="BT886" t="str">
        <f>HYPERLINK("https%3A%2F%2Fwww.webofscience.com%2Fwos%2Fwoscc%2Ffull-record%2FWOS:000412436300020","View Full Record in Web of Science")</f>
        <v>View Full Record in Web of Science</v>
      </c>
    </row>
    <row r="887" spans="1:72" x14ac:dyDescent="0.15">
      <c r="A887" t="s">
        <v>8774</v>
      </c>
      <c r="B887" t="s">
        <v>16308</v>
      </c>
      <c r="C887" t="s">
        <v>74</v>
      </c>
      <c r="D887" t="s">
        <v>74</v>
      </c>
      <c r="E887" t="s">
        <v>8931</v>
      </c>
      <c r="F887" t="s">
        <v>16309</v>
      </c>
      <c r="G887" t="s">
        <v>74</v>
      </c>
      <c r="H887" t="s">
        <v>74</v>
      </c>
      <c r="I887" t="s">
        <v>16310</v>
      </c>
      <c r="J887" t="s">
        <v>16311</v>
      </c>
      <c r="K887" t="s">
        <v>16312</v>
      </c>
      <c r="L887" t="s">
        <v>74</v>
      </c>
      <c r="M887" t="s">
        <v>78</v>
      </c>
      <c r="N887" t="s">
        <v>8781</v>
      </c>
      <c r="O887" t="s">
        <v>16313</v>
      </c>
      <c r="P887" t="s">
        <v>16314</v>
      </c>
      <c r="Q887" t="s">
        <v>16315</v>
      </c>
      <c r="R887" t="s">
        <v>74</v>
      </c>
      <c r="S887" t="s">
        <v>74</v>
      </c>
      <c r="T887" t="s">
        <v>16316</v>
      </c>
      <c r="U887" t="s">
        <v>74</v>
      </c>
      <c r="V887" t="s">
        <v>16317</v>
      </c>
      <c r="W887" t="s">
        <v>16318</v>
      </c>
      <c r="X887" t="s">
        <v>16319</v>
      </c>
      <c r="Y887" t="s">
        <v>16320</v>
      </c>
      <c r="Z887" t="s">
        <v>74</v>
      </c>
      <c r="AA887" t="s">
        <v>16321</v>
      </c>
      <c r="AB887" t="s">
        <v>16322</v>
      </c>
      <c r="AC887" t="s">
        <v>74</v>
      </c>
      <c r="AD887" t="s">
        <v>74</v>
      </c>
      <c r="AE887" t="s">
        <v>74</v>
      </c>
      <c r="AF887" t="s">
        <v>74</v>
      </c>
      <c r="AG887">
        <v>13</v>
      </c>
      <c r="AH887">
        <v>0</v>
      </c>
      <c r="AI887">
        <v>0</v>
      </c>
      <c r="AJ887">
        <v>0</v>
      </c>
      <c r="AK887">
        <v>1</v>
      </c>
      <c r="AL887" t="s">
        <v>8931</v>
      </c>
      <c r="AM887" t="s">
        <v>92</v>
      </c>
      <c r="AN887" t="s">
        <v>8945</v>
      </c>
      <c r="AO887" t="s">
        <v>16323</v>
      </c>
      <c r="AP887" t="s">
        <v>74</v>
      </c>
      <c r="AQ887" t="s">
        <v>16324</v>
      </c>
      <c r="AR887" t="s">
        <v>16312</v>
      </c>
      <c r="AS887" t="s">
        <v>74</v>
      </c>
      <c r="AT887" t="s">
        <v>74</v>
      </c>
      <c r="AU887">
        <v>2014</v>
      </c>
      <c r="AV887" t="s">
        <v>74</v>
      </c>
      <c r="AW887" t="s">
        <v>74</v>
      </c>
      <c r="AX887" t="s">
        <v>74</v>
      </c>
      <c r="AY887" t="s">
        <v>74</v>
      </c>
      <c r="AZ887" t="s">
        <v>74</v>
      </c>
      <c r="BA887" t="s">
        <v>74</v>
      </c>
      <c r="BB887" t="s">
        <v>74</v>
      </c>
      <c r="BC887" t="s">
        <v>74</v>
      </c>
      <c r="BD887" t="s">
        <v>74</v>
      </c>
      <c r="BE887" t="s">
        <v>74</v>
      </c>
      <c r="BF887" t="s">
        <v>74</v>
      </c>
      <c r="BG887" t="s">
        <v>74</v>
      </c>
      <c r="BH887" t="s">
        <v>74</v>
      </c>
      <c r="BI887">
        <v>6</v>
      </c>
      <c r="BJ887" t="s">
        <v>16325</v>
      </c>
      <c r="BK887" t="s">
        <v>8799</v>
      </c>
      <c r="BL887" t="s">
        <v>14884</v>
      </c>
      <c r="BM887" t="s">
        <v>16326</v>
      </c>
      <c r="BN887" t="s">
        <v>74</v>
      </c>
      <c r="BO887" t="s">
        <v>74</v>
      </c>
      <c r="BP887" t="s">
        <v>74</v>
      </c>
      <c r="BQ887" t="s">
        <v>74</v>
      </c>
      <c r="BR887" t="s">
        <v>104</v>
      </c>
      <c r="BS887" t="s">
        <v>16327</v>
      </c>
      <c r="BT887" t="str">
        <f>HYPERLINK("https%3A%2F%2Fwww.webofscience.com%2Fwos%2Fwoscc%2Ffull-record%2FWOS:000369848800218","View Full Record in Web of Science")</f>
        <v>View Full Record in Web of Science</v>
      </c>
    </row>
    <row r="888" spans="1:72" x14ac:dyDescent="0.15">
      <c r="A888" t="s">
        <v>8774</v>
      </c>
      <c r="B888" t="s">
        <v>16328</v>
      </c>
      <c r="C888" t="s">
        <v>74</v>
      </c>
      <c r="D888" t="s">
        <v>74</v>
      </c>
      <c r="E888" t="s">
        <v>8931</v>
      </c>
      <c r="F888" t="s">
        <v>16329</v>
      </c>
      <c r="G888" t="s">
        <v>74</v>
      </c>
      <c r="H888" t="s">
        <v>74</v>
      </c>
      <c r="I888" t="s">
        <v>16330</v>
      </c>
      <c r="J888" t="s">
        <v>16331</v>
      </c>
      <c r="K888" t="s">
        <v>74</v>
      </c>
      <c r="L888" t="s">
        <v>74</v>
      </c>
      <c r="M888" t="s">
        <v>78</v>
      </c>
      <c r="N888" t="s">
        <v>8781</v>
      </c>
      <c r="O888" t="s">
        <v>16332</v>
      </c>
      <c r="P888" t="s">
        <v>16333</v>
      </c>
      <c r="Q888" t="s">
        <v>9928</v>
      </c>
      <c r="R888" t="s">
        <v>74</v>
      </c>
      <c r="S888" t="s">
        <v>74</v>
      </c>
      <c r="T888" t="s">
        <v>74</v>
      </c>
      <c r="U888" t="s">
        <v>74</v>
      </c>
      <c r="V888" t="s">
        <v>74</v>
      </c>
      <c r="W888" t="s">
        <v>16334</v>
      </c>
      <c r="X888" t="s">
        <v>16335</v>
      </c>
      <c r="Y888" t="s">
        <v>823</v>
      </c>
      <c r="Z888" t="s">
        <v>16336</v>
      </c>
      <c r="AA888" t="s">
        <v>74</v>
      </c>
      <c r="AB888" t="s">
        <v>74</v>
      </c>
      <c r="AC888" t="s">
        <v>74</v>
      </c>
      <c r="AD888" t="s">
        <v>74</v>
      </c>
      <c r="AE888" t="s">
        <v>74</v>
      </c>
      <c r="AF888" t="s">
        <v>74</v>
      </c>
      <c r="AG888">
        <v>5</v>
      </c>
      <c r="AH888">
        <v>0</v>
      </c>
      <c r="AI888">
        <v>0</v>
      </c>
      <c r="AJ888">
        <v>0</v>
      </c>
      <c r="AK888">
        <v>1</v>
      </c>
      <c r="AL888" t="s">
        <v>8931</v>
      </c>
      <c r="AM888" t="s">
        <v>92</v>
      </c>
      <c r="AN888" t="s">
        <v>8945</v>
      </c>
      <c r="AO888" t="s">
        <v>74</v>
      </c>
      <c r="AP888" t="s">
        <v>74</v>
      </c>
      <c r="AQ888" t="s">
        <v>16337</v>
      </c>
      <c r="AR888" t="s">
        <v>74</v>
      </c>
      <c r="AS888" t="s">
        <v>74</v>
      </c>
      <c r="AT888" t="s">
        <v>74</v>
      </c>
      <c r="AU888">
        <v>2014</v>
      </c>
      <c r="AV888" t="s">
        <v>74</v>
      </c>
      <c r="AW888" t="s">
        <v>74</v>
      </c>
      <c r="AX888" t="s">
        <v>74</v>
      </c>
      <c r="AY888" t="s">
        <v>74</v>
      </c>
      <c r="AZ888" t="s">
        <v>74</v>
      </c>
      <c r="BA888" t="s">
        <v>74</v>
      </c>
      <c r="BB888" t="s">
        <v>74</v>
      </c>
      <c r="BC888" t="s">
        <v>74</v>
      </c>
      <c r="BD888" t="s">
        <v>74</v>
      </c>
      <c r="BE888" t="s">
        <v>74</v>
      </c>
      <c r="BF888" t="s">
        <v>74</v>
      </c>
      <c r="BG888" t="s">
        <v>74</v>
      </c>
      <c r="BH888" t="s">
        <v>74</v>
      </c>
      <c r="BI888">
        <v>4</v>
      </c>
      <c r="BJ888" t="s">
        <v>10624</v>
      </c>
      <c r="BK888" t="s">
        <v>8799</v>
      </c>
      <c r="BL888" t="s">
        <v>10625</v>
      </c>
      <c r="BM888" t="s">
        <v>16338</v>
      </c>
      <c r="BN888" t="s">
        <v>74</v>
      </c>
      <c r="BO888" t="s">
        <v>74</v>
      </c>
      <c r="BP888" t="s">
        <v>74</v>
      </c>
      <c r="BQ888" t="s">
        <v>74</v>
      </c>
      <c r="BR888" t="s">
        <v>104</v>
      </c>
      <c r="BS888" t="s">
        <v>16339</v>
      </c>
      <c r="BT888" t="str">
        <f>HYPERLINK("https%3A%2F%2Fwww.webofscience.com%2Fwos%2Fwoscc%2Ffull-record%2FWOS:000366628703071","View Full Record in Web of Science")</f>
        <v>View Full Record in Web of Science</v>
      </c>
    </row>
    <row r="889" spans="1:72" x14ac:dyDescent="0.15">
      <c r="A889" t="s">
        <v>8774</v>
      </c>
      <c r="B889" t="s">
        <v>16340</v>
      </c>
      <c r="C889" t="s">
        <v>74</v>
      </c>
      <c r="D889" t="s">
        <v>74</v>
      </c>
      <c r="E889" t="s">
        <v>8931</v>
      </c>
      <c r="F889" t="s">
        <v>16341</v>
      </c>
      <c r="G889" t="s">
        <v>74</v>
      </c>
      <c r="H889" t="s">
        <v>74</v>
      </c>
      <c r="I889" t="s">
        <v>16342</v>
      </c>
      <c r="J889" t="s">
        <v>16331</v>
      </c>
      <c r="K889" t="s">
        <v>74</v>
      </c>
      <c r="L889" t="s">
        <v>74</v>
      </c>
      <c r="M889" t="s">
        <v>78</v>
      </c>
      <c r="N889" t="s">
        <v>8781</v>
      </c>
      <c r="O889" t="s">
        <v>16332</v>
      </c>
      <c r="P889" t="s">
        <v>16333</v>
      </c>
      <c r="Q889" t="s">
        <v>9928</v>
      </c>
      <c r="R889" t="s">
        <v>74</v>
      </c>
      <c r="S889" t="s">
        <v>74</v>
      </c>
      <c r="T889" t="s">
        <v>74</v>
      </c>
      <c r="U889" t="s">
        <v>74</v>
      </c>
      <c r="V889" t="s">
        <v>74</v>
      </c>
      <c r="W889" t="s">
        <v>16343</v>
      </c>
      <c r="X889" t="s">
        <v>16344</v>
      </c>
      <c r="Y889" t="s">
        <v>16345</v>
      </c>
      <c r="Z889" t="s">
        <v>74</v>
      </c>
      <c r="AA889" t="s">
        <v>16346</v>
      </c>
      <c r="AB889" t="s">
        <v>74</v>
      </c>
      <c r="AC889" t="s">
        <v>74</v>
      </c>
      <c r="AD889" t="s">
        <v>74</v>
      </c>
      <c r="AE889" t="s">
        <v>74</v>
      </c>
      <c r="AF889" t="s">
        <v>74</v>
      </c>
      <c r="AG889">
        <v>0</v>
      </c>
      <c r="AH889">
        <v>0</v>
      </c>
      <c r="AI889">
        <v>0</v>
      </c>
      <c r="AJ889">
        <v>0</v>
      </c>
      <c r="AK889">
        <v>0</v>
      </c>
      <c r="AL889" t="s">
        <v>8931</v>
      </c>
      <c r="AM889" t="s">
        <v>92</v>
      </c>
      <c r="AN889" t="s">
        <v>8945</v>
      </c>
      <c r="AO889" t="s">
        <v>74</v>
      </c>
      <c r="AP889" t="s">
        <v>74</v>
      </c>
      <c r="AQ889" t="s">
        <v>16337</v>
      </c>
      <c r="AR889" t="s">
        <v>74</v>
      </c>
      <c r="AS889" t="s">
        <v>74</v>
      </c>
      <c r="AT889" t="s">
        <v>74</v>
      </c>
      <c r="AU889">
        <v>2014</v>
      </c>
      <c r="AV889" t="s">
        <v>74</v>
      </c>
      <c r="AW889" t="s">
        <v>74</v>
      </c>
      <c r="AX889" t="s">
        <v>74</v>
      </c>
      <c r="AY889" t="s">
        <v>74</v>
      </c>
      <c r="AZ889" t="s">
        <v>74</v>
      </c>
      <c r="BA889" t="s">
        <v>74</v>
      </c>
      <c r="BB889" t="s">
        <v>74</v>
      </c>
      <c r="BC889" t="s">
        <v>74</v>
      </c>
      <c r="BD889" t="s">
        <v>74</v>
      </c>
      <c r="BE889" t="s">
        <v>74</v>
      </c>
      <c r="BF889" t="s">
        <v>74</v>
      </c>
      <c r="BG889" t="s">
        <v>74</v>
      </c>
      <c r="BH889" t="s">
        <v>74</v>
      </c>
      <c r="BI889">
        <v>1</v>
      </c>
      <c r="BJ889" t="s">
        <v>10624</v>
      </c>
      <c r="BK889" t="s">
        <v>8799</v>
      </c>
      <c r="BL889" t="s">
        <v>10625</v>
      </c>
      <c r="BM889" t="s">
        <v>16338</v>
      </c>
      <c r="BN889" t="s">
        <v>74</v>
      </c>
      <c r="BO889" t="s">
        <v>74</v>
      </c>
      <c r="BP889" t="s">
        <v>74</v>
      </c>
      <c r="BQ889" t="s">
        <v>74</v>
      </c>
      <c r="BR889" t="s">
        <v>104</v>
      </c>
      <c r="BS889" t="s">
        <v>16347</v>
      </c>
      <c r="BT889" t="str">
        <f>HYPERLINK("https%3A%2F%2Fwww.webofscience.com%2Fwos%2Fwoscc%2Ffull-record%2FWOS:000366628703109","View Full Record in Web of Science")</f>
        <v>View Full Record in Web of Science</v>
      </c>
    </row>
    <row r="890" spans="1:72" x14ac:dyDescent="0.15">
      <c r="A890" t="s">
        <v>8774</v>
      </c>
      <c r="B890" t="s">
        <v>16348</v>
      </c>
      <c r="C890" t="s">
        <v>74</v>
      </c>
      <c r="D890" t="s">
        <v>74</v>
      </c>
      <c r="E890" t="s">
        <v>8931</v>
      </c>
      <c r="F890" t="s">
        <v>16349</v>
      </c>
      <c r="G890" t="s">
        <v>74</v>
      </c>
      <c r="H890" t="s">
        <v>74</v>
      </c>
      <c r="I890" t="s">
        <v>16350</v>
      </c>
      <c r="J890" t="s">
        <v>16331</v>
      </c>
      <c r="K890" t="s">
        <v>74</v>
      </c>
      <c r="L890" t="s">
        <v>74</v>
      </c>
      <c r="M890" t="s">
        <v>78</v>
      </c>
      <c r="N890" t="s">
        <v>8781</v>
      </c>
      <c r="O890" t="s">
        <v>16332</v>
      </c>
      <c r="P890" t="s">
        <v>16333</v>
      </c>
      <c r="Q890" t="s">
        <v>9928</v>
      </c>
      <c r="R890" t="s">
        <v>74</v>
      </c>
      <c r="S890" t="s">
        <v>74</v>
      </c>
      <c r="T890" t="s">
        <v>74</v>
      </c>
      <c r="U890" t="s">
        <v>74</v>
      </c>
      <c r="V890" t="s">
        <v>74</v>
      </c>
      <c r="W890" t="s">
        <v>16351</v>
      </c>
      <c r="X890" t="s">
        <v>16352</v>
      </c>
      <c r="Y890" t="s">
        <v>16345</v>
      </c>
      <c r="Z890" t="s">
        <v>74</v>
      </c>
      <c r="AA890" t="s">
        <v>16353</v>
      </c>
      <c r="AB890" t="s">
        <v>16354</v>
      </c>
      <c r="AC890" t="s">
        <v>74</v>
      </c>
      <c r="AD890" t="s">
        <v>74</v>
      </c>
      <c r="AE890" t="s">
        <v>74</v>
      </c>
      <c r="AF890" t="s">
        <v>74</v>
      </c>
      <c r="AG890">
        <v>0</v>
      </c>
      <c r="AH890">
        <v>0</v>
      </c>
      <c r="AI890">
        <v>0</v>
      </c>
      <c r="AJ890">
        <v>0</v>
      </c>
      <c r="AK890">
        <v>2</v>
      </c>
      <c r="AL890" t="s">
        <v>8931</v>
      </c>
      <c r="AM890" t="s">
        <v>92</v>
      </c>
      <c r="AN890" t="s">
        <v>8945</v>
      </c>
      <c r="AO890" t="s">
        <v>74</v>
      </c>
      <c r="AP890" t="s">
        <v>74</v>
      </c>
      <c r="AQ890" t="s">
        <v>16337</v>
      </c>
      <c r="AR890" t="s">
        <v>74</v>
      </c>
      <c r="AS890" t="s">
        <v>74</v>
      </c>
      <c r="AT890" t="s">
        <v>74</v>
      </c>
      <c r="AU890">
        <v>2014</v>
      </c>
      <c r="AV890" t="s">
        <v>74</v>
      </c>
      <c r="AW890" t="s">
        <v>74</v>
      </c>
      <c r="AX890" t="s">
        <v>74</v>
      </c>
      <c r="AY890" t="s">
        <v>74</v>
      </c>
      <c r="AZ890" t="s">
        <v>74</v>
      </c>
      <c r="BA890" t="s">
        <v>74</v>
      </c>
      <c r="BB890" t="s">
        <v>74</v>
      </c>
      <c r="BC890" t="s">
        <v>74</v>
      </c>
      <c r="BD890" t="s">
        <v>74</v>
      </c>
      <c r="BE890" t="s">
        <v>74</v>
      </c>
      <c r="BF890" t="s">
        <v>74</v>
      </c>
      <c r="BG890" t="s">
        <v>74</v>
      </c>
      <c r="BH890" t="s">
        <v>74</v>
      </c>
      <c r="BI890">
        <v>2</v>
      </c>
      <c r="BJ890" t="s">
        <v>10624</v>
      </c>
      <c r="BK890" t="s">
        <v>8799</v>
      </c>
      <c r="BL890" t="s">
        <v>10625</v>
      </c>
      <c r="BM890" t="s">
        <v>16338</v>
      </c>
      <c r="BN890" t="s">
        <v>74</v>
      </c>
      <c r="BO890" t="s">
        <v>74</v>
      </c>
      <c r="BP890" t="s">
        <v>74</v>
      </c>
      <c r="BQ890" t="s">
        <v>74</v>
      </c>
      <c r="BR890" t="s">
        <v>104</v>
      </c>
      <c r="BS890" t="s">
        <v>16355</v>
      </c>
      <c r="BT890" t="str">
        <f>HYPERLINK("https%3A%2F%2Fwww.webofscience.com%2Fwos%2Fwoscc%2Ffull-record%2FWOS:000366628703149","View Full Record in Web of Science")</f>
        <v>View Full Record in Web of Science</v>
      </c>
    </row>
    <row r="891" spans="1:72" x14ac:dyDescent="0.15">
      <c r="A891" t="s">
        <v>8774</v>
      </c>
      <c r="B891" t="s">
        <v>16356</v>
      </c>
      <c r="C891" t="s">
        <v>74</v>
      </c>
      <c r="D891" t="s">
        <v>74</v>
      </c>
      <c r="E891" t="s">
        <v>8931</v>
      </c>
      <c r="F891" t="s">
        <v>16357</v>
      </c>
      <c r="G891" t="s">
        <v>74</v>
      </c>
      <c r="H891" t="s">
        <v>74</v>
      </c>
      <c r="I891" t="s">
        <v>16358</v>
      </c>
      <c r="J891" t="s">
        <v>16331</v>
      </c>
      <c r="K891" t="s">
        <v>74</v>
      </c>
      <c r="L891" t="s">
        <v>74</v>
      </c>
      <c r="M891" t="s">
        <v>78</v>
      </c>
      <c r="N891" t="s">
        <v>8781</v>
      </c>
      <c r="O891" t="s">
        <v>16332</v>
      </c>
      <c r="P891" t="s">
        <v>16333</v>
      </c>
      <c r="Q891" t="s">
        <v>9928</v>
      </c>
      <c r="R891" t="s">
        <v>74</v>
      </c>
      <c r="S891" t="s">
        <v>74</v>
      </c>
      <c r="T891" t="s">
        <v>74</v>
      </c>
      <c r="U891" t="s">
        <v>74</v>
      </c>
      <c r="V891" t="s">
        <v>16359</v>
      </c>
      <c r="W891" t="s">
        <v>16360</v>
      </c>
      <c r="X891" t="s">
        <v>16361</v>
      </c>
      <c r="Y891" t="s">
        <v>16362</v>
      </c>
      <c r="Z891" t="s">
        <v>16363</v>
      </c>
      <c r="AA891" t="s">
        <v>16353</v>
      </c>
      <c r="AB891" t="s">
        <v>16354</v>
      </c>
      <c r="AC891" t="s">
        <v>74</v>
      </c>
      <c r="AD891" t="s">
        <v>74</v>
      </c>
      <c r="AE891" t="s">
        <v>74</v>
      </c>
      <c r="AF891" t="s">
        <v>74</v>
      </c>
      <c r="AG891">
        <v>1</v>
      </c>
      <c r="AH891">
        <v>0</v>
      </c>
      <c r="AI891">
        <v>0</v>
      </c>
      <c r="AJ891">
        <v>0</v>
      </c>
      <c r="AK891">
        <v>0</v>
      </c>
      <c r="AL891" t="s">
        <v>8931</v>
      </c>
      <c r="AM891" t="s">
        <v>92</v>
      </c>
      <c r="AN891" t="s">
        <v>8945</v>
      </c>
      <c r="AO891" t="s">
        <v>74</v>
      </c>
      <c r="AP891" t="s">
        <v>74</v>
      </c>
      <c r="AQ891" t="s">
        <v>16337</v>
      </c>
      <c r="AR891" t="s">
        <v>74</v>
      </c>
      <c r="AS891" t="s">
        <v>74</v>
      </c>
      <c r="AT891" t="s">
        <v>74</v>
      </c>
      <c r="AU891">
        <v>2014</v>
      </c>
      <c r="AV891" t="s">
        <v>74</v>
      </c>
      <c r="AW891" t="s">
        <v>74</v>
      </c>
      <c r="AX891" t="s">
        <v>74</v>
      </c>
      <c r="AY891" t="s">
        <v>74</v>
      </c>
      <c r="AZ891" t="s">
        <v>74</v>
      </c>
      <c r="BA891" t="s">
        <v>74</v>
      </c>
      <c r="BB891" t="s">
        <v>74</v>
      </c>
      <c r="BC891" t="s">
        <v>74</v>
      </c>
      <c r="BD891" t="s">
        <v>74</v>
      </c>
      <c r="BE891" t="s">
        <v>74</v>
      </c>
      <c r="BF891" t="s">
        <v>74</v>
      </c>
      <c r="BG891" t="s">
        <v>74</v>
      </c>
      <c r="BH891" t="s">
        <v>74</v>
      </c>
      <c r="BI891">
        <v>1</v>
      </c>
      <c r="BJ891" t="s">
        <v>10624</v>
      </c>
      <c r="BK891" t="s">
        <v>8799</v>
      </c>
      <c r="BL891" t="s">
        <v>10625</v>
      </c>
      <c r="BM891" t="s">
        <v>16338</v>
      </c>
      <c r="BN891" t="s">
        <v>74</v>
      </c>
      <c r="BO891" t="s">
        <v>74</v>
      </c>
      <c r="BP891" t="s">
        <v>74</v>
      </c>
      <c r="BQ891" t="s">
        <v>74</v>
      </c>
      <c r="BR891" t="s">
        <v>104</v>
      </c>
      <c r="BS891" t="s">
        <v>16364</v>
      </c>
      <c r="BT891" t="str">
        <f>HYPERLINK("https%3A%2F%2Fwww.webofscience.com%2Fwos%2Fwoscc%2Ffull-record%2FWOS:000366628703108","View Full Record in Web of Science")</f>
        <v>View Full Record in Web of Science</v>
      </c>
    </row>
    <row r="892" spans="1:72" x14ac:dyDescent="0.15">
      <c r="A892" t="s">
        <v>8774</v>
      </c>
      <c r="B892" t="s">
        <v>16365</v>
      </c>
      <c r="C892" t="s">
        <v>74</v>
      </c>
      <c r="D892" t="s">
        <v>74</v>
      </c>
      <c r="E892" t="s">
        <v>8931</v>
      </c>
      <c r="F892" t="s">
        <v>16366</v>
      </c>
      <c r="G892" t="s">
        <v>74</v>
      </c>
      <c r="H892" t="s">
        <v>74</v>
      </c>
      <c r="I892" t="s">
        <v>16367</v>
      </c>
      <c r="J892" t="s">
        <v>16331</v>
      </c>
      <c r="K892" t="s">
        <v>74</v>
      </c>
      <c r="L892" t="s">
        <v>74</v>
      </c>
      <c r="M892" t="s">
        <v>78</v>
      </c>
      <c r="N892" t="s">
        <v>8781</v>
      </c>
      <c r="O892" t="s">
        <v>16332</v>
      </c>
      <c r="P892" t="s">
        <v>16333</v>
      </c>
      <c r="Q892" t="s">
        <v>9928</v>
      </c>
      <c r="R892" t="s">
        <v>74</v>
      </c>
      <c r="S892" t="s">
        <v>74</v>
      </c>
      <c r="T892" t="s">
        <v>74</v>
      </c>
      <c r="U892" t="s">
        <v>74</v>
      </c>
      <c r="V892" t="s">
        <v>74</v>
      </c>
      <c r="W892" t="s">
        <v>16368</v>
      </c>
      <c r="X892" t="s">
        <v>16369</v>
      </c>
      <c r="Y892" t="s">
        <v>16370</v>
      </c>
      <c r="Z892" t="s">
        <v>74</v>
      </c>
      <c r="AA892" t="s">
        <v>16371</v>
      </c>
      <c r="AB892" t="s">
        <v>16372</v>
      </c>
      <c r="AC892" t="s">
        <v>74</v>
      </c>
      <c r="AD892" t="s">
        <v>74</v>
      </c>
      <c r="AE892" t="s">
        <v>74</v>
      </c>
      <c r="AF892" t="s">
        <v>74</v>
      </c>
      <c r="AG892">
        <v>0</v>
      </c>
      <c r="AH892">
        <v>0</v>
      </c>
      <c r="AI892">
        <v>0</v>
      </c>
      <c r="AJ892">
        <v>0</v>
      </c>
      <c r="AK892">
        <v>1</v>
      </c>
      <c r="AL892" t="s">
        <v>8931</v>
      </c>
      <c r="AM892" t="s">
        <v>92</v>
      </c>
      <c r="AN892" t="s">
        <v>8945</v>
      </c>
      <c r="AO892" t="s">
        <v>74</v>
      </c>
      <c r="AP892" t="s">
        <v>74</v>
      </c>
      <c r="AQ892" t="s">
        <v>16337</v>
      </c>
      <c r="AR892" t="s">
        <v>74</v>
      </c>
      <c r="AS892" t="s">
        <v>74</v>
      </c>
      <c r="AT892" t="s">
        <v>74</v>
      </c>
      <c r="AU892">
        <v>2014</v>
      </c>
      <c r="AV892" t="s">
        <v>74</v>
      </c>
      <c r="AW892" t="s">
        <v>74</v>
      </c>
      <c r="AX892" t="s">
        <v>74</v>
      </c>
      <c r="AY892" t="s">
        <v>74</v>
      </c>
      <c r="AZ892" t="s">
        <v>74</v>
      </c>
      <c r="BA892" t="s">
        <v>74</v>
      </c>
      <c r="BB892" t="s">
        <v>74</v>
      </c>
      <c r="BC892" t="s">
        <v>74</v>
      </c>
      <c r="BD892" t="s">
        <v>74</v>
      </c>
      <c r="BE892" t="s">
        <v>74</v>
      </c>
      <c r="BF892" t="s">
        <v>74</v>
      </c>
      <c r="BG892" t="s">
        <v>74</v>
      </c>
      <c r="BH892" t="s">
        <v>74</v>
      </c>
      <c r="BI892">
        <v>1</v>
      </c>
      <c r="BJ892" t="s">
        <v>10624</v>
      </c>
      <c r="BK892" t="s">
        <v>8799</v>
      </c>
      <c r="BL892" t="s">
        <v>10625</v>
      </c>
      <c r="BM892" t="s">
        <v>16338</v>
      </c>
      <c r="BN892" t="s">
        <v>74</v>
      </c>
      <c r="BO892" t="s">
        <v>74</v>
      </c>
      <c r="BP892" t="s">
        <v>74</v>
      </c>
      <c r="BQ892" t="s">
        <v>74</v>
      </c>
      <c r="BR892" t="s">
        <v>104</v>
      </c>
      <c r="BS892" t="s">
        <v>16373</v>
      </c>
      <c r="BT892" t="str">
        <f>HYPERLINK("https%3A%2F%2Fwww.webofscience.com%2Fwos%2Fwoscc%2Ffull-record%2FWOS:000366628703155","View Full Record in Web of Science")</f>
        <v>View Full Record in Web of Science</v>
      </c>
    </row>
    <row r="893" spans="1:72" x14ac:dyDescent="0.15">
      <c r="A893" t="s">
        <v>8774</v>
      </c>
      <c r="B893" t="s">
        <v>16374</v>
      </c>
      <c r="C893" t="s">
        <v>74</v>
      </c>
      <c r="D893" t="s">
        <v>74</v>
      </c>
      <c r="E893" t="s">
        <v>8931</v>
      </c>
      <c r="F893" t="s">
        <v>16375</v>
      </c>
      <c r="G893" t="s">
        <v>74</v>
      </c>
      <c r="H893" t="s">
        <v>74</v>
      </c>
      <c r="I893" t="s">
        <v>16376</v>
      </c>
      <c r="J893" t="s">
        <v>16331</v>
      </c>
      <c r="K893" t="s">
        <v>74</v>
      </c>
      <c r="L893" t="s">
        <v>74</v>
      </c>
      <c r="M893" t="s">
        <v>78</v>
      </c>
      <c r="N893" t="s">
        <v>8781</v>
      </c>
      <c r="O893" t="s">
        <v>16332</v>
      </c>
      <c r="P893" t="s">
        <v>16333</v>
      </c>
      <c r="Q893" t="s">
        <v>9928</v>
      </c>
      <c r="R893" t="s">
        <v>74</v>
      </c>
      <c r="S893" t="s">
        <v>74</v>
      </c>
      <c r="T893" t="s">
        <v>74</v>
      </c>
      <c r="U893" t="s">
        <v>74</v>
      </c>
      <c r="V893" t="s">
        <v>16377</v>
      </c>
      <c r="W893" t="s">
        <v>16378</v>
      </c>
      <c r="X893" t="s">
        <v>16361</v>
      </c>
      <c r="Y893" t="s">
        <v>16379</v>
      </c>
      <c r="Z893" t="s">
        <v>16380</v>
      </c>
      <c r="AA893" t="s">
        <v>16381</v>
      </c>
      <c r="AB893" t="s">
        <v>16382</v>
      </c>
      <c r="AC893" t="s">
        <v>74</v>
      </c>
      <c r="AD893" t="s">
        <v>74</v>
      </c>
      <c r="AE893" t="s">
        <v>74</v>
      </c>
      <c r="AF893" t="s">
        <v>74</v>
      </c>
      <c r="AG893">
        <v>14</v>
      </c>
      <c r="AH893">
        <v>1</v>
      </c>
      <c r="AI893">
        <v>1</v>
      </c>
      <c r="AJ893">
        <v>0</v>
      </c>
      <c r="AK893">
        <v>0</v>
      </c>
      <c r="AL893" t="s">
        <v>8931</v>
      </c>
      <c r="AM893" t="s">
        <v>92</v>
      </c>
      <c r="AN893" t="s">
        <v>8945</v>
      </c>
      <c r="AO893" t="s">
        <v>74</v>
      </c>
      <c r="AP893" t="s">
        <v>74</v>
      </c>
      <c r="AQ893" t="s">
        <v>16337</v>
      </c>
      <c r="AR893" t="s">
        <v>74</v>
      </c>
      <c r="AS893" t="s">
        <v>74</v>
      </c>
      <c r="AT893" t="s">
        <v>74</v>
      </c>
      <c r="AU893">
        <v>2014</v>
      </c>
      <c r="AV893" t="s">
        <v>74</v>
      </c>
      <c r="AW893" t="s">
        <v>74</v>
      </c>
      <c r="AX893" t="s">
        <v>74</v>
      </c>
      <c r="AY893" t="s">
        <v>74</v>
      </c>
      <c r="AZ893" t="s">
        <v>74</v>
      </c>
      <c r="BA893" t="s">
        <v>74</v>
      </c>
      <c r="BB893" t="s">
        <v>74</v>
      </c>
      <c r="BC893" t="s">
        <v>74</v>
      </c>
      <c r="BD893" t="s">
        <v>74</v>
      </c>
      <c r="BE893" t="s">
        <v>74</v>
      </c>
      <c r="BF893" t="s">
        <v>74</v>
      </c>
      <c r="BG893" t="s">
        <v>74</v>
      </c>
      <c r="BH893" t="s">
        <v>74</v>
      </c>
      <c r="BI893">
        <v>4</v>
      </c>
      <c r="BJ893" t="s">
        <v>10624</v>
      </c>
      <c r="BK893" t="s">
        <v>8799</v>
      </c>
      <c r="BL893" t="s">
        <v>10625</v>
      </c>
      <c r="BM893" t="s">
        <v>16338</v>
      </c>
      <c r="BN893" t="s">
        <v>74</v>
      </c>
      <c r="BO893" t="s">
        <v>74</v>
      </c>
      <c r="BP893" t="s">
        <v>74</v>
      </c>
      <c r="BQ893" t="s">
        <v>74</v>
      </c>
      <c r="BR893" t="s">
        <v>104</v>
      </c>
      <c r="BS893" t="s">
        <v>16383</v>
      </c>
      <c r="BT893" t="str">
        <f>HYPERLINK("https%3A%2F%2Fwww.webofscience.com%2Fwos%2Fwoscc%2Ffull-record%2FWOS:000366628703152","View Full Record in Web of Science")</f>
        <v>View Full Record in Web of Science</v>
      </c>
    </row>
    <row r="894" spans="1:72" x14ac:dyDescent="0.15">
      <c r="A894" t="s">
        <v>8774</v>
      </c>
      <c r="B894" t="s">
        <v>16384</v>
      </c>
      <c r="C894" t="s">
        <v>74</v>
      </c>
      <c r="D894" t="s">
        <v>74</v>
      </c>
      <c r="E894" t="s">
        <v>8931</v>
      </c>
      <c r="F894" t="s">
        <v>16385</v>
      </c>
      <c r="G894" t="s">
        <v>74</v>
      </c>
      <c r="H894" t="s">
        <v>74</v>
      </c>
      <c r="I894" t="s">
        <v>16386</v>
      </c>
      <c r="J894" t="s">
        <v>16331</v>
      </c>
      <c r="K894" t="s">
        <v>74</v>
      </c>
      <c r="L894" t="s">
        <v>74</v>
      </c>
      <c r="M894" t="s">
        <v>78</v>
      </c>
      <c r="N894" t="s">
        <v>8781</v>
      </c>
      <c r="O894" t="s">
        <v>16332</v>
      </c>
      <c r="P894" t="s">
        <v>16333</v>
      </c>
      <c r="Q894" t="s">
        <v>9928</v>
      </c>
      <c r="R894" t="s">
        <v>74</v>
      </c>
      <c r="S894" t="s">
        <v>74</v>
      </c>
      <c r="T894" t="s">
        <v>74</v>
      </c>
      <c r="U894" t="s">
        <v>74</v>
      </c>
      <c r="V894" t="s">
        <v>16387</v>
      </c>
      <c r="W894" t="s">
        <v>16388</v>
      </c>
      <c r="X894" t="s">
        <v>16389</v>
      </c>
      <c r="Y894" t="s">
        <v>16390</v>
      </c>
      <c r="Z894" t="s">
        <v>16391</v>
      </c>
      <c r="AA894" t="s">
        <v>16392</v>
      </c>
      <c r="AB894" t="s">
        <v>16393</v>
      </c>
      <c r="AC894" t="s">
        <v>74</v>
      </c>
      <c r="AD894" t="s">
        <v>74</v>
      </c>
      <c r="AE894" t="s">
        <v>74</v>
      </c>
      <c r="AF894" t="s">
        <v>74</v>
      </c>
      <c r="AG894">
        <v>9</v>
      </c>
      <c r="AH894">
        <v>0</v>
      </c>
      <c r="AI894">
        <v>0</v>
      </c>
      <c r="AJ894">
        <v>0</v>
      </c>
      <c r="AK894">
        <v>1</v>
      </c>
      <c r="AL894" t="s">
        <v>8931</v>
      </c>
      <c r="AM894" t="s">
        <v>92</v>
      </c>
      <c r="AN894" t="s">
        <v>8945</v>
      </c>
      <c r="AO894" t="s">
        <v>74</v>
      </c>
      <c r="AP894" t="s">
        <v>74</v>
      </c>
      <c r="AQ894" t="s">
        <v>16337</v>
      </c>
      <c r="AR894" t="s">
        <v>74</v>
      </c>
      <c r="AS894" t="s">
        <v>74</v>
      </c>
      <c r="AT894" t="s">
        <v>74</v>
      </c>
      <c r="AU894">
        <v>2014</v>
      </c>
      <c r="AV894" t="s">
        <v>74</v>
      </c>
      <c r="AW894" t="s">
        <v>74</v>
      </c>
      <c r="AX894" t="s">
        <v>74</v>
      </c>
      <c r="AY894" t="s">
        <v>74</v>
      </c>
      <c r="AZ894" t="s">
        <v>74</v>
      </c>
      <c r="BA894" t="s">
        <v>74</v>
      </c>
      <c r="BB894" t="s">
        <v>74</v>
      </c>
      <c r="BC894" t="s">
        <v>74</v>
      </c>
      <c r="BD894" t="s">
        <v>74</v>
      </c>
      <c r="BE894" t="s">
        <v>74</v>
      </c>
      <c r="BF894" t="s">
        <v>74</v>
      </c>
      <c r="BG894" t="s">
        <v>74</v>
      </c>
      <c r="BH894" t="s">
        <v>74</v>
      </c>
      <c r="BI894">
        <v>4</v>
      </c>
      <c r="BJ894" t="s">
        <v>10624</v>
      </c>
      <c r="BK894" t="s">
        <v>8799</v>
      </c>
      <c r="BL894" t="s">
        <v>10625</v>
      </c>
      <c r="BM894" t="s">
        <v>16338</v>
      </c>
      <c r="BN894" t="s">
        <v>74</v>
      </c>
      <c r="BO894" t="s">
        <v>74</v>
      </c>
      <c r="BP894" t="s">
        <v>74</v>
      </c>
      <c r="BQ894" t="s">
        <v>74</v>
      </c>
      <c r="BR894" t="s">
        <v>104</v>
      </c>
      <c r="BS894" t="s">
        <v>16394</v>
      </c>
      <c r="BT894" t="str">
        <f>HYPERLINK("https%3A%2F%2Fwww.webofscience.com%2Fwos%2Fwoscc%2Ffull-record%2FWOS:000366628703079","View Full Record in Web of Science")</f>
        <v>View Full Record in Web of Science</v>
      </c>
    </row>
    <row r="895" spans="1:72" x14ac:dyDescent="0.15">
      <c r="A895" t="s">
        <v>8774</v>
      </c>
      <c r="B895" t="s">
        <v>16395</v>
      </c>
      <c r="C895" t="s">
        <v>74</v>
      </c>
      <c r="D895" t="s">
        <v>74</v>
      </c>
      <c r="E895" t="s">
        <v>8931</v>
      </c>
      <c r="F895" t="s">
        <v>16396</v>
      </c>
      <c r="G895" t="s">
        <v>74</v>
      </c>
      <c r="H895" t="s">
        <v>74</v>
      </c>
      <c r="I895" t="s">
        <v>16397</v>
      </c>
      <c r="J895" t="s">
        <v>16331</v>
      </c>
      <c r="K895" t="s">
        <v>74</v>
      </c>
      <c r="L895" t="s">
        <v>74</v>
      </c>
      <c r="M895" t="s">
        <v>78</v>
      </c>
      <c r="N895" t="s">
        <v>8781</v>
      </c>
      <c r="O895" t="s">
        <v>16332</v>
      </c>
      <c r="P895" t="s">
        <v>16333</v>
      </c>
      <c r="Q895" t="s">
        <v>9928</v>
      </c>
      <c r="R895" t="s">
        <v>74</v>
      </c>
      <c r="S895" t="s">
        <v>74</v>
      </c>
      <c r="T895" t="s">
        <v>74</v>
      </c>
      <c r="U895" t="s">
        <v>74</v>
      </c>
      <c r="V895" t="s">
        <v>74</v>
      </c>
      <c r="W895" t="s">
        <v>16398</v>
      </c>
      <c r="X895" t="s">
        <v>16399</v>
      </c>
      <c r="Y895" t="s">
        <v>16400</v>
      </c>
      <c r="Z895" t="s">
        <v>74</v>
      </c>
      <c r="AA895" t="s">
        <v>16401</v>
      </c>
      <c r="AB895" t="s">
        <v>16402</v>
      </c>
      <c r="AC895" t="s">
        <v>74</v>
      </c>
      <c r="AD895" t="s">
        <v>74</v>
      </c>
      <c r="AE895" t="s">
        <v>74</v>
      </c>
      <c r="AF895" t="s">
        <v>74</v>
      </c>
      <c r="AG895">
        <v>0</v>
      </c>
      <c r="AH895">
        <v>0</v>
      </c>
      <c r="AI895">
        <v>0</v>
      </c>
      <c r="AJ895">
        <v>0</v>
      </c>
      <c r="AK895">
        <v>0</v>
      </c>
      <c r="AL895" t="s">
        <v>8931</v>
      </c>
      <c r="AM895" t="s">
        <v>92</v>
      </c>
      <c r="AN895" t="s">
        <v>8945</v>
      </c>
      <c r="AO895" t="s">
        <v>74</v>
      </c>
      <c r="AP895" t="s">
        <v>74</v>
      </c>
      <c r="AQ895" t="s">
        <v>16337</v>
      </c>
      <c r="AR895" t="s">
        <v>74</v>
      </c>
      <c r="AS895" t="s">
        <v>74</v>
      </c>
      <c r="AT895" t="s">
        <v>74</v>
      </c>
      <c r="AU895">
        <v>2014</v>
      </c>
      <c r="AV895" t="s">
        <v>74</v>
      </c>
      <c r="AW895" t="s">
        <v>74</v>
      </c>
      <c r="AX895" t="s">
        <v>74</v>
      </c>
      <c r="AY895" t="s">
        <v>74</v>
      </c>
      <c r="AZ895" t="s">
        <v>74</v>
      </c>
      <c r="BA895" t="s">
        <v>74</v>
      </c>
      <c r="BB895" t="s">
        <v>74</v>
      </c>
      <c r="BC895" t="s">
        <v>74</v>
      </c>
      <c r="BD895" t="s">
        <v>74</v>
      </c>
      <c r="BE895" t="s">
        <v>74</v>
      </c>
      <c r="BF895" t="s">
        <v>74</v>
      </c>
      <c r="BG895" t="s">
        <v>74</v>
      </c>
      <c r="BH895" t="s">
        <v>74</v>
      </c>
      <c r="BI895">
        <v>1</v>
      </c>
      <c r="BJ895" t="s">
        <v>10624</v>
      </c>
      <c r="BK895" t="s">
        <v>8799</v>
      </c>
      <c r="BL895" t="s">
        <v>10625</v>
      </c>
      <c r="BM895" t="s">
        <v>16338</v>
      </c>
      <c r="BN895" t="s">
        <v>74</v>
      </c>
      <c r="BO895" t="s">
        <v>74</v>
      </c>
      <c r="BP895" t="s">
        <v>74</v>
      </c>
      <c r="BQ895" t="s">
        <v>74</v>
      </c>
      <c r="BR895" t="s">
        <v>104</v>
      </c>
      <c r="BS895" t="s">
        <v>16403</v>
      </c>
      <c r="BT895" t="str">
        <f>HYPERLINK("https%3A%2F%2Fwww.webofscience.com%2Fwos%2Fwoscc%2Ffull-record%2FWOS:000366628703132","View Full Record in Web of Science")</f>
        <v>View Full Record in Web of Science</v>
      </c>
    </row>
    <row r="896" spans="1:72" x14ac:dyDescent="0.15">
      <c r="A896" t="s">
        <v>8774</v>
      </c>
      <c r="B896" t="s">
        <v>16404</v>
      </c>
      <c r="C896" t="s">
        <v>74</v>
      </c>
      <c r="D896" t="s">
        <v>74</v>
      </c>
      <c r="E896" t="s">
        <v>8931</v>
      </c>
      <c r="F896" t="s">
        <v>16405</v>
      </c>
      <c r="G896" t="s">
        <v>74</v>
      </c>
      <c r="H896" t="s">
        <v>74</v>
      </c>
      <c r="I896" t="s">
        <v>16406</v>
      </c>
      <c r="J896" t="s">
        <v>16331</v>
      </c>
      <c r="K896" t="s">
        <v>74</v>
      </c>
      <c r="L896" t="s">
        <v>74</v>
      </c>
      <c r="M896" t="s">
        <v>78</v>
      </c>
      <c r="N896" t="s">
        <v>8781</v>
      </c>
      <c r="O896" t="s">
        <v>16332</v>
      </c>
      <c r="P896" t="s">
        <v>16333</v>
      </c>
      <c r="Q896" t="s">
        <v>9928</v>
      </c>
      <c r="R896" t="s">
        <v>74</v>
      </c>
      <c r="S896" t="s">
        <v>74</v>
      </c>
      <c r="T896" t="s">
        <v>74</v>
      </c>
      <c r="U896" t="s">
        <v>74</v>
      </c>
      <c r="V896" t="s">
        <v>74</v>
      </c>
      <c r="W896" t="s">
        <v>16407</v>
      </c>
      <c r="X896" t="s">
        <v>16408</v>
      </c>
      <c r="Y896" t="s">
        <v>16409</v>
      </c>
      <c r="Z896" t="s">
        <v>16410</v>
      </c>
      <c r="AA896" t="s">
        <v>16411</v>
      </c>
      <c r="AB896" t="s">
        <v>74</v>
      </c>
      <c r="AC896" t="s">
        <v>74</v>
      </c>
      <c r="AD896" t="s">
        <v>74</v>
      </c>
      <c r="AE896" t="s">
        <v>74</v>
      </c>
      <c r="AF896" t="s">
        <v>74</v>
      </c>
      <c r="AG896">
        <v>0</v>
      </c>
      <c r="AH896">
        <v>0</v>
      </c>
      <c r="AI896">
        <v>0</v>
      </c>
      <c r="AJ896">
        <v>0</v>
      </c>
      <c r="AK896">
        <v>0</v>
      </c>
      <c r="AL896" t="s">
        <v>8931</v>
      </c>
      <c r="AM896" t="s">
        <v>92</v>
      </c>
      <c r="AN896" t="s">
        <v>8945</v>
      </c>
      <c r="AO896" t="s">
        <v>74</v>
      </c>
      <c r="AP896" t="s">
        <v>74</v>
      </c>
      <c r="AQ896" t="s">
        <v>16337</v>
      </c>
      <c r="AR896" t="s">
        <v>74</v>
      </c>
      <c r="AS896" t="s">
        <v>74</v>
      </c>
      <c r="AT896" t="s">
        <v>74</v>
      </c>
      <c r="AU896">
        <v>2014</v>
      </c>
      <c r="AV896" t="s">
        <v>74</v>
      </c>
      <c r="AW896" t="s">
        <v>74</v>
      </c>
      <c r="AX896" t="s">
        <v>74</v>
      </c>
      <c r="AY896" t="s">
        <v>74</v>
      </c>
      <c r="AZ896" t="s">
        <v>74</v>
      </c>
      <c r="BA896" t="s">
        <v>74</v>
      </c>
      <c r="BB896" t="s">
        <v>74</v>
      </c>
      <c r="BC896" t="s">
        <v>74</v>
      </c>
      <c r="BD896" t="s">
        <v>74</v>
      </c>
      <c r="BE896" t="s">
        <v>74</v>
      </c>
      <c r="BF896" t="s">
        <v>74</v>
      </c>
      <c r="BG896" t="s">
        <v>74</v>
      </c>
      <c r="BH896" t="s">
        <v>74</v>
      </c>
      <c r="BI896">
        <v>1</v>
      </c>
      <c r="BJ896" t="s">
        <v>10624</v>
      </c>
      <c r="BK896" t="s">
        <v>8799</v>
      </c>
      <c r="BL896" t="s">
        <v>10625</v>
      </c>
      <c r="BM896" t="s">
        <v>16338</v>
      </c>
      <c r="BN896" t="s">
        <v>74</v>
      </c>
      <c r="BO896" t="s">
        <v>74</v>
      </c>
      <c r="BP896" t="s">
        <v>74</v>
      </c>
      <c r="BQ896" t="s">
        <v>74</v>
      </c>
      <c r="BR896" t="s">
        <v>104</v>
      </c>
      <c r="BS896" t="s">
        <v>16412</v>
      </c>
      <c r="BT896" t="str">
        <f>HYPERLINK("https%3A%2F%2Fwww.webofscience.com%2Fwos%2Fwoscc%2Ffull-record%2FWOS:000366628703080","View Full Record in Web of Science")</f>
        <v>View Full Record in Web of Science</v>
      </c>
    </row>
    <row r="897" spans="1:72" x14ac:dyDescent="0.15">
      <c r="A897" t="s">
        <v>8774</v>
      </c>
      <c r="B897" t="s">
        <v>16413</v>
      </c>
      <c r="C897" t="s">
        <v>74</v>
      </c>
      <c r="D897" t="s">
        <v>74</v>
      </c>
      <c r="E897" t="s">
        <v>8931</v>
      </c>
      <c r="F897" t="s">
        <v>16414</v>
      </c>
      <c r="G897" t="s">
        <v>74</v>
      </c>
      <c r="H897" t="s">
        <v>74</v>
      </c>
      <c r="I897" t="s">
        <v>16415</v>
      </c>
      <c r="J897" t="s">
        <v>16331</v>
      </c>
      <c r="K897" t="s">
        <v>74</v>
      </c>
      <c r="L897" t="s">
        <v>74</v>
      </c>
      <c r="M897" t="s">
        <v>78</v>
      </c>
      <c r="N897" t="s">
        <v>8781</v>
      </c>
      <c r="O897" t="s">
        <v>16332</v>
      </c>
      <c r="P897" t="s">
        <v>16333</v>
      </c>
      <c r="Q897" t="s">
        <v>9928</v>
      </c>
      <c r="R897" t="s">
        <v>74</v>
      </c>
      <c r="S897" t="s">
        <v>74</v>
      </c>
      <c r="T897" t="s">
        <v>74</v>
      </c>
      <c r="U897" t="s">
        <v>74</v>
      </c>
      <c r="V897" t="s">
        <v>16416</v>
      </c>
      <c r="W897" t="s">
        <v>16417</v>
      </c>
      <c r="X897" t="s">
        <v>16418</v>
      </c>
      <c r="Y897" t="s">
        <v>16419</v>
      </c>
      <c r="Z897" t="s">
        <v>16420</v>
      </c>
      <c r="AA897" t="s">
        <v>16353</v>
      </c>
      <c r="AB897" t="s">
        <v>16421</v>
      </c>
      <c r="AC897" t="s">
        <v>74</v>
      </c>
      <c r="AD897" t="s">
        <v>74</v>
      </c>
      <c r="AE897" t="s">
        <v>74</v>
      </c>
      <c r="AF897" t="s">
        <v>74</v>
      </c>
      <c r="AG897">
        <v>2</v>
      </c>
      <c r="AH897">
        <v>0</v>
      </c>
      <c r="AI897">
        <v>0</v>
      </c>
      <c r="AJ897">
        <v>0</v>
      </c>
      <c r="AK897">
        <v>1</v>
      </c>
      <c r="AL897" t="s">
        <v>8931</v>
      </c>
      <c r="AM897" t="s">
        <v>92</v>
      </c>
      <c r="AN897" t="s">
        <v>8945</v>
      </c>
      <c r="AO897" t="s">
        <v>74</v>
      </c>
      <c r="AP897" t="s">
        <v>74</v>
      </c>
      <c r="AQ897" t="s">
        <v>16337</v>
      </c>
      <c r="AR897" t="s">
        <v>74</v>
      </c>
      <c r="AS897" t="s">
        <v>74</v>
      </c>
      <c r="AT897" t="s">
        <v>74</v>
      </c>
      <c r="AU897">
        <v>2014</v>
      </c>
      <c r="AV897" t="s">
        <v>74</v>
      </c>
      <c r="AW897" t="s">
        <v>74</v>
      </c>
      <c r="AX897" t="s">
        <v>74</v>
      </c>
      <c r="AY897" t="s">
        <v>74</v>
      </c>
      <c r="AZ897" t="s">
        <v>74</v>
      </c>
      <c r="BA897" t="s">
        <v>74</v>
      </c>
      <c r="BB897" t="s">
        <v>74</v>
      </c>
      <c r="BC897" t="s">
        <v>74</v>
      </c>
      <c r="BD897" t="s">
        <v>74</v>
      </c>
      <c r="BE897" t="s">
        <v>74</v>
      </c>
      <c r="BF897" t="s">
        <v>74</v>
      </c>
      <c r="BG897" t="s">
        <v>74</v>
      </c>
      <c r="BH897" t="s">
        <v>74</v>
      </c>
      <c r="BI897">
        <v>2</v>
      </c>
      <c r="BJ897" t="s">
        <v>10624</v>
      </c>
      <c r="BK897" t="s">
        <v>8799</v>
      </c>
      <c r="BL897" t="s">
        <v>10625</v>
      </c>
      <c r="BM897" t="s">
        <v>16338</v>
      </c>
      <c r="BN897" t="s">
        <v>74</v>
      </c>
      <c r="BO897" t="s">
        <v>74</v>
      </c>
      <c r="BP897" t="s">
        <v>74</v>
      </c>
      <c r="BQ897" t="s">
        <v>74</v>
      </c>
      <c r="BR897" t="s">
        <v>104</v>
      </c>
      <c r="BS897" t="s">
        <v>16422</v>
      </c>
      <c r="BT897" t="str">
        <f>HYPERLINK("https%3A%2F%2Fwww.webofscience.com%2Fwos%2Fwoscc%2Ffull-record%2FWOS:000366628703150","View Full Record in Web of Science")</f>
        <v>View Full Record in Web of Science</v>
      </c>
    </row>
    <row r="898" spans="1:72" x14ac:dyDescent="0.15">
      <c r="A898" t="s">
        <v>8774</v>
      </c>
      <c r="B898" t="s">
        <v>16423</v>
      </c>
      <c r="C898" t="s">
        <v>74</v>
      </c>
      <c r="D898" t="s">
        <v>74</v>
      </c>
      <c r="E898" t="s">
        <v>8931</v>
      </c>
      <c r="F898" t="s">
        <v>16424</v>
      </c>
      <c r="G898" t="s">
        <v>74</v>
      </c>
      <c r="H898" t="s">
        <v>74</v>
      </c>
      <c r="I898" t="s">
        <v>16425</v>
      </c>
      <c r="J898" t="s">
        <v>16331</v>
      </c>
      <c r="K898" t="s">
        <v>74</v>
      </c>
      <c r="L898" t="s">
        <v>74</v>
      </c>
      <c r="M898" t="s">
        <v>78</v>
      </c>
      <c r="N898" t="s">
        <v>8781</v>
      </c>
      <c r="O898" t="s">
        <v>16332</v>
      </c>
      <c r="P898" t="s">
        <v>16333</v>
      </c>
      <c r="Q898" t="s">
        <v>9928</v>
      </c>
      <c r="R898" t="s">
        <v>74</v>
      </c>
      <c r="S898" t="s">
        <v>74</v>
      </c>
      <c r="T898" t="s">
        <v>74</v>
      </c>
      <c r="U898" t="s">
        <v>74</v>
      </c>
      <c r="V898" t="s">
        <v>16426</v>
      </c>
      <c r="W898" t="s">
        <v>16427</v>
      </c>
      <c r="X898" t="s">
        <v>16428</v>
      </c>
      <c r="Y898" t="s">
        <v>16419</v>
      </c>
      <c r="Z898" t="s">
        <v>16429</v>
      </c>
      <c r="AA898" t="s">
        <v>16353</v>
      </c>
      <c r="AB898" t="s">
        <v>16430</v>
      </c>
      <c r="AC898" t="s">
        <v>74</v>
      </c>
      <c r="AD898" t="s">
        <v>74</v>
      </c>
      <c r="AE898" t="s">
        <v>74</v>
      </c>
      <c r="AF898" t="s">
        <v>74</v>
      </c>
      <c r="AG898">
        <v>3</v>
      </c>
      <c r="AH898">
        <v>0</v>
      </c>
      <c r="AI898">
        <v>0</v>
      </c>
      <c r="AJ898">
        <v>0</v>
      </c>
      <c r="AK898">
        <v>3</v>
      </c>
      <c r="AL898" t="s">
        <v>8931</v>
      </c>
      <c r="AM898" t="s">
        <v>92</v>
      </c>
      <c r="AN898" t="s">
        <v>8945</v>
      </c>
      <c r="AO898" t="s">
        <v>74</v>
      </c>
      <c r="AP898" t="s">
        <v>74</v>
      </c>
      <c r="AQ898" t="s">
        <v>16337</v>
      </c>
      <c r="AR898" t="s">
        <v>74</v>
      </c>
      <c r="AS898" t="s">
        <v>74</v>
      </c>
      <c r="AT898" t="s">
        <v>74</v>
      </c>
      <c r="AU898">
        <v>2014</v>
      </c>
      <c r="AV898" t="s">
        <v>74</v>
      </c>
      <c r="AW898" t="s">
        <v>74</v>
      </c>
      <c r="AX898" t="s">
        <v>74</v>
      </c>
      <c r="AY898" t="s">
        <v>74</v>
      </c>
      <c r="AZ898" t="s">
        <v>74</v>
      </c>
      <c r="BA898" t="s">
        <v>74</v>
      </c>
      <c r="BB898" t="s">
        <v>74</v>
      </c>
      <c r="BC898" t="s">
        <v>74</v>
      </c>
      <c r="BD898" t="s">
        <v>74</v>
      </c>
      <c r="BE898" t="s">
        <v>74</v>
      </c>
      <c r="BF898" t="s">
        <v>74</v>
      </c>
      <c r="BG898" t="s">
        <v>74</v>
      </c>
      <c r="BH898" t="s">
        <v>74</v>
      </c>
      <c r="BI898">
        <v>2</v>
      </c>
      <c r="BJ898" t="s">
        <v>10624</v>
      </c>
      <c r="BK898" t="s">
        <v>8799</v>
      </c>
      <c r="BL898" t="s">
        <v>10625</v>
      </c>
      <c r="BM898" t="s">
        <v>16338</v>
      </c>
      <c r="BN898" t="s">
        <v>74</v>
      </c>
      <c r="BO898" t="s">
        <v>74</v>
      </c>
      <c r="BP898" t="s">
        <v>74</v>
      </c>
      <c r="BQ898" t="s">
        <v>74</v>
      </c>
      <c r="BR898" t="s">
        <v>104</v>
      </c>
      <c r="BS898" t="s">
        <v>16431</v>
      </c>
      <c r="BT898" t="str">
        <f>HYPERLINK("https%3A%2F%2Fwww.webofscience.com%2Fwos%2Fwoscc%2Ffull-record%2FWOS:000366628703105","View Full Record in Web of Science")</f>
        <v>View Full Record in Web of Science</v>
      </c>
    </row>
    <row r="899" spans="1:72" x14ac:dyDescent="0.15">
      <c r="A899" t="s">
        <v>8774</v>
      </c>
      <c r="B899" t="s">
        <v>16432</v>
      </c>
      <c r="C899" t="s">
        <v>74</v>
      </c>
      <c r="D899" t="s">
        <v>74</v>
      </c>
      <c r="E899" t="s">
        <v>8931</v>
      </c>
      <c r="F899" t="s">
        <v>16433</v>
      </c>
      <c r="G899" t="s">
        <v>74</v>
      </c>
      <c r="H899" t="s">
        <v>16434</v>
      </c>
      <c r="I899" t="s">
        <v>16435</v>
      </c>
      <c r="J899" t="s">
        <v>16331</v>
      </c>
      <c r="K899" t="s">
        <v>74</v>
      </c>
      <c r="L899" t="s">
        <v>74</v>
      </c>
      <c r="M899" t="s">
        <v>78</v>
      </c>
      <c r="N899" t="s">
        <v>8781</v>
      </c>
      <c r="O899" t="s">
        <v>16332</v>
      </c>
      <c r="P899" t="s">
        <v>16333</v>
      </c>
      <c r="Q899" t="s">
        <v>9928</v>
      </c>
      <c r="R899" t="s">
        <v>74</v>
      </c>
      <c r="S899" t="s">
        <v>74</v>
      </c>
      <c r="T899" t="s">
        <v>74</v>
      </c>
      <c r="U899" t="s">
        <v>74</v>
      </c>
      <c r="V899" t="s">
        <v>16436</v>
      </c>
      <c r="W899" t="s">
        <v>16437</v>
      </c>
      <c r="X899" t="s">
        <v>16361</v>
      </c>
      <c r="Y899" t="s">
        <v>16419</v>
      </c>
      <c r="Z899" t="s">
        <v>16438</v>
      </c>
      <c r="AA899" t="s">
        <v>16353</v>
      </c>
      <c r="AB899" t="s">
        <v>16354</v>
      </c>
      <c r="AC899" t="s">
        <v>74</v>
      </c>
      <c r="AD899" t="s">
        <v>74</v>
      </c>
      <c r="AE899" t="s">
        <v>74</v>
      </c>
      <c r="AF899" t="s">
        <v>74</v>
      </c>
      <c r="AG899">
        <v>0</v>
      </c>
      <c r="AH899">
        <v>0</v>
      </c>
      <c r="AI899">
        <v>0</v>
      </c>
      <c r="AJ899">
        <v>0</v>
      </c>
      <c r="AK899">
        <v>1</v>
      </c>
      <c r="AL899" t="s">
        <v>8931</v>
      </c>
      <c r="AM899" t="s">
        <v>92</v>
      </c>
      <c r="AN899" t="s">
        <v>8945</v>
      </c>
      <c r="AO899" t="s">
        <v>74</v>
      </c>
      <c r="AP899" t="s">
        <v>74</v>
      </c>
      <c r="AQ899" t="s">
        <v>16337</v>
      </c>
      <c r="AR899" t="s">
        <v>74</v>
      </c>
      <c r="AS899" t="s">
        <v>74</v>
      </c>
      <c r="AT899" t="s">
        <v>74</v>
      </c>
      <c r="AU899">
        <v>2014</v>
      </c>
      <c r="AV899" t="s">
        <v>74</v>
      </c>
      <c r="AW899" t="s">
        <v>74</v>
      </c>
      <c r="AX899" t="s">
        <v>74</v>
      </c>
      <c r="AY899" t="s">
        <v>74</v>
      </c>
      <c r="AZ899" t="s">
        <v>74</v>
      </c>
      <c r="BA899" t="s">
        <v>74</v>
      </c>
      <c r="BB899" t="s">
        <v>74</v>
      </c>
      <c r="BC899" t="s">
        <v>74</v>
      </c>
      <c r="BD899" t="s">
        <v>74</v>
      </c>
      <c r="BE899" t="s">
        <v>74</v>
      </c>
      <c r="BF899" t="s">
        <v>74</v>
      </c>
      <c r="BG899" t="s">
        <v>74</v>
      </c>
      <c r="BH899" t="s">
        <v>74</v>
      </c>
      <c r="BI899">
        <v>2</v>
      </c>
      <c r="BJ899" t="s">
        <v>10624</v>
      </c>
      <c r="BK899" t="s">
        <v>8799</v>
      </c>
      <c r="BL899" t="s">
        <v>10625</v>
      </c>
      <c r="BM899" t="s">
        <v>16338</v>
      </c>
      <c r="BN899" t="s">
        <v>74</v>
      </c>
      <c r="BO899" t="s">
        <v>74</v>
      </c>
      <c r="BP899" t="s">
        <v>74</v>
      </c>
      <c r="BQ899" t="s">
        <v>74</v>
      </c>
      <c r="BR899" t="s">
        <v>104</v>
      </c>
      <c r="BS899" t="s">
        <v>16439</v>
      </c>
      <c r="BT899" t="str">
        <f>HYPERLINK("https%3A%2F%2Fwww.webofscience.com%2Fwos%2Fwoscc%2Ffull-record%2FWOS:000366628703103","View Full Record in Web of Science")</f>
        <v>View Full Record in Web of Science</v>
      </c>
    </row>
    <row r="900" spans="1:72" x14ac:dyDescent="0.15">
      <c r="A900" t="s">
        <v>8774</v>
      </c>
      <c r="B900" t="s">
        <v>16440</v>
      </c>
      <c r="C900" t="s">
        <v>74</v>
      </c>
      <c r="D900" t="s">
        <v>74</v>
      </c>
      <c r="E900" t="s">
        <v>8931</v>
      </c>
      <c r="F900" t="s">
        <v>16441</v>
      </c>
      <c r="G900" t="s">
        <v>74</v>
      </c>
      <c r="H900" t="s">
        <v>74</v>
      </c>
      <c r="I900" t="s">
        <v>16442</v>
      </c>
      <c r="J900" t="s">
        <v>16331</v>
      </c>
      <c r="K900" t="s">
        <v>74</v>
      </c>
      <c r="L900" t="s">
        <v>74</v>
      </c>
      <c r="M900" t="s">
        <v>78</v>
      </c>
      <c r="N900" t="s">
        <v>8781</v>
      </c>
      <c r="O900" t="s">
        <v>16332</v>
      </c>
      <c r="P900" t="s">
        <v>16333</v>
      </c>
      <c r="Q900" t="s">
        <v>9928</v>
      </c>
      <c r="R900" t="s">
        <v>74</v>
      </c>
      <c r="S900" t="s">
        <v>74</v>
      </c>
      <c r="T900" t="s">
        <v>74</v>
      </c>
      <c r="U900" t="s">
        <v>74</v>
      </c>
      <c r="V900" t="s">
        <v>16443</v>
      </c>
      <c r="W900" t="s">
        <v>16444</v>
      </c>
      <c r="X900" t="s">
        <v>16445</v>
      </c>
      <c r="Y900" t="s">
        <v>16446</v>
      </c>
      <c r="Z900" t="s">
        <v>16447</v>
      </c>
      <c r="AA900" t="s">
        <v>16448</v>
      </c>
      <c r="AB900" t="s">
        <v>74</v>
      </c>
      <c r="AC900" t="s">
        <v>74</v>
      </c>
      <c r="AD900" t="s">
        <v>74</v>
      </c>
      <c r="AE900" t="s">
        <v>74</v>
      </c>
      <c r="AF900" t="s">
        <v>74</v>
      </c>
      <c r="AG900">
        <v>7</v>
      </c>
      <c r="AH900">
        <v>0</v>
      </c>
      <c r="AI900">
        <v>0</v>
      </c>
      <c r="AJ900">
        <v>0</v>
      </c>
      <c r="AK900">
        <v>0</v>
      </c>
      <c r="AL900" t="s">
        <v>8931</v>
      </c>
      <c r="AM900" t="s">
        <v>92</v>
      </c>
      <c r="AN900" t="s">
        <v>8945</v>
      </c>
      <c r="AO900" t="s">
        <v>74</v>
      </c>
      <c r="AP900" t="s">
        <v>74</v>
      </c>
      <c r="AQ900" t="s">
        <v>16337</v>
      </c>
      <c r="AR900" t="s">
        <v>74</v>
      </c>
      <c r="AS900" t="s">
        <v>74</v>
      </c>
      <c r="AT900" t="s">
        <v>74</v>
      </c>
      <c r="AU900">
        <v>2014</v>
      </c>
      <c r="AV900" t="s">
        <v>74</v>
      </c>
      <c r="AW900" t="s">
        <v>74</v>
      </c>
      <c r="AX900" t="s">
        <v>74</v>
      </c>
      <c r="AY900" t="s">
        <v>74</v>
      </c>
      <c r="AZ900" t="s">
        <v>74</v>
      </c>
      <c r="BA900" t="s">
        <v>74</v>
      </c>
      <c r="BB900" t="s">
        <v>74</v>
      </c>
      <c r="BC900" t="s">
        <v>74</v>
      </c>
      <c r="BD900" t="s">
        <v>74</v>
      </c>
      <c r="BE900" t="s">
        <v>74</v>
      </c>
      <c r="BF900" t="s">
        <v>74</v>
      </c>
      <c r="BG900" t="s">
        <v>74</v>
      </c>
      <c r="BH900" t="s">
        <v>74</v>
      </c>
      <c r="BI900">
        <v>4</v>
      </c>
      <c r="BJ900" t="s">
        <v>10624</v>
      </c>
      <c r="BK900" t="s">
        <v>8799</v>
      </c>
      <c r="BL900" t="s">
        <v>10625</v>
      </c>
      <c r="BM900" t="s">
        <v>16338</v>
      </c>
      <c r="BN900" t="s">
        <v>74</v>
      </c>
      <c r="BO900" t="s">
        <v>74</v>
      </c>
      <c r="BP900" t="s">
        <v>74</v>
      </c>
      <c r="BQ900" t="s">
        <v>74</v>
      </c>
      <c r="BR900" t="s">
        <v>104</v>
      </c>
      <c r="BS900" t="s">
        <v>16449</v>
      </c>
      <c r="BT900" t="str">
        <f>HYPERLINK("https%3A%2F%2Fwww.webofscience.com%2Fwos%2Fwoscc%2Ffull-record%2FWOS:000366628703156","View Full Record in Web of Science")</f>
        <v>View Full Record in Web of Science</v>
      </c>
    </row>
    <row r="901" spans="1:72" x14ac:dyDescent="0.15">
      <c r="A901" t="s">
        <v>8774</v>
      </c>
      <c r="B901" t="s">
        <v>16450</v>
      </c>
      <c r="C901" t="s">
        <v>74</v>
      </c>
      <c r="D901" t="s">
        <v>74</v>
      </c>
      <c r="E901" t="s">
        <v>8931</v>
      </c>
      <c r="F901" t="s">
        <v>16451</v>
      </c>
      <c r="G901" t="s">
        <v>74</v>
      </c>
      <c r="H901" t="s">
        <v>74</v>
      </c>
      <c r="I901" t="s">
        <v>16452</v>
      </c>
      <c r="J901" t="s">
        <v>16331</v>
      </c>
      <c r="K901" t="s">
        <v>74</v>
      </c>
      <c r="L901" t="s">
        <v>74</v>
      </c>
      <c r="M901" t="s">
        <v>78</v>
      </c>
      <c r="N901" t="s">
        <v>8781</v>
      </c>
      <c r="O901" t="s">
        <v>16332</v>
      </c>
      <c r="P901" t="s">
        <v>16333</v>
      </c>
      <c r="Q901" t="s">
        <v>9928</v>
      </c>
      <c r="R901" t="s">
        <v>74</v>
      </c>
      <c r="S901" t="s">
        <v>74</v>
      </c>
      <c r="T901" t="s">
        <v>74</v>
      </c>
      <c r="U901" t="s">
        <v>74</v>
      </c>
      <c r="V901" t="s">
        <v>74</v>
      </c>
      <c r="W901" t="s">
        <v>16453</v>
      </c>
      <c r="X901" t="s">
        <v>16454</v>
      </c>
      <c r="Y901" t="s">
        <v>16455</v>
      </c>
      <c r="Z901" t="s">
        <v>16456</v>
      </c>
      <c r="AA901" t="s">
        <v>16457</v>
      </c>
      <c r="AB901" t="s">
        <v>74</v>
      </c>
      <c r="AC901" t="s">
        <v>74</v>
      </c>
      <c r="AD901" t="s">
        <v>74</v>
      </c>
      <c r="AE901" t="s">
        <v>74</v>
      </c>
      <c r="AF901" t="s">
        <v>74</v>
      </c>
      <c r="AG901">
        <v>1</v>
      </c>
      <c r="AH901">
        <v>0</v>
      </c>
      <c r="AI901">
        <v>0</v>
      </c>
      <c r="AJ901">
        <v>0</v>
      </c>
      <c r="AK901">
        <v>1</v>
      </c>
      <c r="AL901" t="s">
        <v>8931</v>
      </c>
      <c r="AM901" t="s">
        <v>92</v>
      </c>
      <c r="AN901" t="s">
        <v>8945</v>
      </c>
      <c r="AO901" t="s">
        <v>74</v>
      </c>
      <c r="AP901" t="s">
        <v>74</v>
      </c>
      <c r="AQ901" t="s">
        <v>16337</v>
      </c>
      <c r="AR901" t="s">
        <v>74</v>
      </c>
      <c r="AS901" t="s">
        <v>74</v>
      </c>
      <c r="AT901" t="s">
        <v>74</v>
      </c>
      <c r="AU901">
        <v>2014</v>
      </c>
      <c r="AV901" t="s">
        <v>74</v>
      </c>
      <c r="AW901" t="s">
        <v>74</v>
      </c>
      <c r="AX901" t="s">
        <v>74</v>
      </c>
      <c r="AY901" t="s">
        <v>74</v>
      </c>
      <c r="AZ901" t="s">
        <v>74</v>
      </c>
      <c r="BA901" t="s">
        <v>74</v>
      </c>
      <c r="BB901" t="s">
        <v>74</v>
      </c>
      <c r="BC901" t="s">
        <v>74</v>
      </c>
      <c r="BD901" t="s">
        <v>74</v>
      </c>
      <c r="BE901" t="s">
        <v>74</v>
      </c>
      <c r="BF901" t="s">
        <v>74</v>
      </c>
      <c r="BG901" t="s">
        <v>74</v>
      </c>
      <c r="BH901" t="s">
        <v>74</v>
      </c>
      <c r="BI901">
        <v>1</v>
      </c>
      <c r="BJ901" t="s">
        <v>10624</v>
      </c>
      <c r="BK901" t="s">
        <v>8799</v>
      </c>
      <c r="BL901" t="s">
        <v>10625</v>
      </c>
      <c r="BM901" t="s">
        <v>16338</v>
      </c>
      <c r="BN901" t="s">
        <v>74</v>
      </c>
      <c r="BO901" t="s">
        <v>74</v>
      </c>
      <c r="BP901" t="s">
        <v>74</v>
      </c>
      <c r="BQ901" t="s">
        <v>74</v>
      </c>
      <c r="BR901" t="s">
        <v>104</v>
      </c>
      <c r="BS901" t="s">
        <v>16458</v>
      </c>
      <c r="BT901" t="str">
        <f>HYPERLINK("https%3A%2F%2Fwww.webofscience.com%2Fwos%2Fwoscc%2Ffull-record%2FWOS:000366628702255","View Full Record in Web of Science")</f>
        <v>View Full Record in Web of Science</v>
      </c>
    </row>
    <row r="902" spans="1:72" x14ac:dyDescent="0.15">
      <c r="A902" t="s">
        <v>8774</v>
      </c>
      <c r="B902" t="s">
        <v>16459</v>
      </c>
      <c r="C902" t="s">
        <v>74</v>
      </c>
      <c r="D902" t="s">
        <v>74</v>
      </c>
      <c r="E902" t="s">
        <v>8931</v>
      </c>
      <c r="F902" t="s">
        <v>16460</v>
      </c>
      <c r="G902" t="s">
        <v>74</v>
      </c>
      <c r="H902" t="s">
        <v>74</v>
      </c>
      <c r="I902" t="s">
        <v>16461</v>
      </c>
      <c r="J902" t="s">
        <v>16331</v>
      </c>
      <c r="K902" t="s">
        <v>74</v>
      </c>
      <c r="L902" t="s">
        <v>74</v>
      </c>
      <c r="M902" t="s">
        <v>78</v>
      </c>
      <c r="N902" t="s">
        <v>8781</v>
      </c>
      <c r="O902" t="s">
        <v>16332</v>
      </c>
      <c r="P902" t="s">
        <v>16333</v>
      </c>
      <c r="Q902" t="s">
        <v>9928</v>
      </c>
      <c r="R902" t="s">
        <v>74</v>
      </c>
      <c r="S902" t="s">
        <v>74</v>
      </c>
      <c r="T902" t="s">
        <v>74</v>
      </c>
      <c r="U902" t="s">
        <v>74</v>
      </c>
      <c r="V902" t="s">
        <v>74</v>
      </c>
      <c r="W902" t="s">
        <v>16462</v>
      </c>
      <c r="X902" t="s">
        <v>16463</v>
      </c>
      <c r="Y902" t="s">
        <v>16464</v>
      </c>
      <c r="Z902" t="s">
        <v>16465</v>
      </c>
      <c r="AA902" t="s">
        <v>16466</v>
      </c>
      <c r="AB902" t="s">
        <v>74</v>
      </c>
      <c r="AC902" t="s">
        <v>74</v>
      </c>
      <c r="AD902" t="s">
        <v>74</v>
      </c>
      <c r="AE902" t="s">
        <v>74</v>
      </c>
      <c r="AF902" t="s">
        <v>74</v>
      </c>
      <c r="AG902">
        <v>4</v>
      </c>
      <c r="AH902">
        <v>0</v>
      </c>
      <c r="AI902">
        <v>0</v>
      </c>
      <c r="AJ902">
        <v>0</v>
      </c>
      <c r="AK902">
        <v>4</v>
      </c>
      <c r="AL902" t="s">
        <v>8931</v>
      </c>
      <c r="AM902" t="s">
        <v>92</v>
      </c>
      <c r="AN902" t="s">
        <v>8945</v>
      </c>
      <c r="AO902" t="s">
        <v>74</v>
      </c>
      <c r="AP902" t="s">
        <v>74</v>
      </c>
      <c r="AQ902" t="s">
        <v>16337</v>
      </c>
      <c r="AR902" t="s">
        <v>74</v>
      </c>
      <c r="AS902" t="s">
        <v>74</v>
      </c>
      <c r="AT902" t="s">
        <v>74</v>
      </c>
      <c r="AU902">
        <v>2014</v>
      </c>
      <c r="AV902" t="s">
        <v>74</v>
      </c>
      <c r="AW902" t="s">
        <v>74</v>
      </c>
      <c r="AX902" t="s">
        <v>74</v>
      </c>
      <c r="AY902" t="s">
        <v>74</v>
      </c>
      <c r="AZ902" t="s">
        <v>74</v>
      </c>
      <c r="BA902" t="s">
        <v>74</v>
      </c>
      <c r="BB902" t="s">
        <v>74</v>
      </c>
      <c r="BC902" t="s">
        <v>74</v>
      </c>
      <c r="BD902" t="s">
        <v>74</v>
      </c>
      <c r="BE902" t="s">
        <v>74</v>
      </c>
      <c r="BF902" t="s">
        <v>74</v>
      </c>
      <c r="BG902" t="s">
        <v>74</v>
      </c>
      <c r="BH902" t="s">
        <v>74</v>
      </c>
      <c r="BI902">
        <v>1</v>
      </c>
      <c r="BJ902" t="s">
        <v>10624</v>
      </c>
      <c r="BK902" t="s">
        <v>8799</v>
      </c>
      <c r="BL902" t="s">
        <v>10625</v>
      </c>
      <c r="BM902" t="s">
        <v>16338</v>
      </c>
      <c r="BN902" t="s">
        <v>74</v>
      </c>
      <c r="BO902" t="s">
        <v>74</v>
      </c>
      <c r="BP902" t="s">
        <v>74</v>
      </c>
      <c r="BQ902" t="s">
        <v>74</v>
      </c>
      <c r="BR902" t="s">
        <v>104</v>
      </c>
      <c r="BS902" t="s">
        <v>16467</v>
      </c>
      <c r="BT902" t="str">
        <f>HYPERLINK("https%3A%2F%2Fwww.webofscience.com%2Fwos%2Fwoscc%2Ffull-record%2FWOS:000366628703072","View Full Record in Web of Science")</f>
        <v>View Full Record in Web of Science</v>
      </c>
    </row>
    <row r="903" spans="1:72" x14ac:dyDescent="0.15">
      <c r="A903" t="s">
        <v>8774</v>
      </c>
      <c r="B903" t="s">
        <v>16468</v>
      </c>
      <c r="C903" t="s">
        <v>74</v>
      </c>
      <c r="D903" t="s">
        <v>74</v>
      </c>
      <c r="E903" t="s">
        <v>8931</v>
      </c>
      <c r="F903" t="s">
        <v>16469</v>
      </c>
      <c r="G903" t="s">
        <v>74</v>
      </c>
      <c r="H903" t="s">
        <v>74</v>
      </c>
      <c r="I903" t="s">
        <v>16470</v>
      </c>
      <c r="J903" t="s">
        <v>16331</v>
      </c>
      <c r="K903" t="s">
        <v>74</v>
      </c>
      <c r="L903" t="s">
        <v>74</v>
      </c>
      <c r="M903" t="s">
        <v>78</v>
      </c>
      <c r="N903" t="s">
        <v>8781</v>
      </c>
      <c r="O903" t="s">
        <v>16332</v>
      </c>
      <c r="P903" t="s">
        <v>16333</v>
      </c>
      <c r="Q903" t="s">
        <v>9928</v>
      </c>
      <c r="R903" t="s">
        <v>74</v>
      </c>
      <c r="S903" t="s">
        <v>74</v>
      </c>
      <c r="T903" t="s">
        <v>74</v>
      </c>
      <c r="U903" t="s">
        <v>74</v>
      </c>
      <c r="V903" t="s">
        <v>16471</v>
      </c>
      <c r="W903" t="s">
        <v>16472</v>
      </c>
      <c r="X903" t="s">
        <v>16473</v>
      </c>
      <c r="Y903" t="s">
        <v>16474</v>
      </c>
      <c r="Z903" t="s">
        <v>16475</v>
      </c>
      <c r="AA903" t="s">
        <v>16476</v>
      </c>
      <c r="AB903" t="s">
        <v>74</v>
      </c>
      <c r="AC903" t="s">
        <v>74</v>
      </c>
      <c r="AD903" t="s">
        <v>74</v>
      </c>
      <c r="AE903" t="s">
        <v>74</v>
      </c>
      <c r="AF903" t="s">
        <v>74</v>
      </c>
      <c r="AG903">
        <v>9</v>
      </c>
      <c r="AH903">
        <v>0</v>
      </c>
      <c r="AI903">
        <v>0</v>
      </c>
      <c r="AJ903">
        <v>0</v>
      </c>
      <c r="AK903">
        <v>1</v>
      </c>
      <c r="AL903" t="s">
        <v>8931</v>
      </c>
      <c r="AM903" t="s">
        <v>92</v>
      </c>
      <c r="AN903" t="s">
        <v>8945</v>
      </c>
      <c r="AO903" t="s">
        <v>74</v>
      </c>
      <c r="AP903" t="s">
        <v>74</v>
      </c>
      <c r="AQ903" t="s">
        <v>16337</v>
      </c>
      <c r="AR903" t="s">
        <v>74</v>
      </c>
      <c r="AS903" t="s">
        <v>74</v>
      </c>
      <c r="AT903" t="s">
        <v>74</v>
      </c>
      <c r="AU903">
        <v>2014</v>
      </c>
      <c r="AV903" t="s">
        <v>74</v>
      </c>
      <c r="AW903" t="s">
        <v>74</v>
      </c>
      <c r="AX903" t="s">
        <v>74</v>
      </c>
      <c r="AY903" t="s">
        <v>74</v>
      </c>
      <c r="AZ903" t="s">
        <v>74</v>
      </c>
      <c r="BA903" t="s">
        <v>74</v>
      </c>
      <c r="BB903" t="s">
        <v>74</v>
      </c>
      <c r="BC903" t="s">
        <v>74</v>
      </c>
      <c r="BD903" t="s">
        <v>74</v>
      </c>
      <c r="BE903" t="s">
        <v>74</v>
      </c>
      <c r="BF903" t="s">
        <v>74</v>
      </c>
      <c r="BG903" t="s">
        <v>74</v>
      </c>
      <c r="BH903" t="s">
        <v>74</v>
      </c>
      <c r="BI903">
        <v>4</v>
      </c>
      <c r="BJ903" t="s">
        <v>10624</v>
      </c>
      <c r="BK903" t="s">
        <v>8799</v>
      </c>
      <c r="BL903" t="s">
        <v>10625</v>
      </c>
      <c r="BM903" t="s">
        <v>16338</v>
      </c>
      <c r="BN903" t="s">
        <v>74</v>
      </c>
      <c r="BO903" t="s">
        <v>74</v>
      </c>
      <c r="BP903" t="s">
        <v>74</v>
      </c>
      <c r="BQ903" t="s">
        <v>74</v>
      </c>
      <c r="BR903" t="s">
        <v>104</v>
      </c>
      <c r="BS903" t="s">
        <v>16477</v>
      </c>
      <c r="BT903" t="str">
        <f>HYPERLINK("https%3A%2F%2Fwww.webofscience.com%2Fwos%2Fwoscc%2Ffull-record%2FWOS:000366628703033","View Full Record in Web of Science")</f>
        <v>View Full Record in Web of Science</v>
      </c>
    </row>
    <row r="904" spans="1:72" x14ac:dyDescent="0.15">
      <c r="A904" t="s">
        <v>72</v>
      </c>
      <c r="B904" t="s">
        <v>16478</v>
      </c>
      <c r="C904" t="s">
        <v>74</v>
      </c>
      <c r="D904" t="s">
        <v>74</v>
      </c>
      <c r="E904" t="s">
        <v>74</v>
      </c>
      <c r="F904" t="s">
        <v>16479</v>
      </c>
      <c r="G904" t="s">
        <v>74</v>
      </c>
      <c r="H904" t="s">
        <v>74</v>
      </c>
      <c r="I904" t="s">
        <v>16480</v>
      </c>
      <c r="J904" t="s">
        <v>16481</v>
      </c>
      <c r="K904" t="s">
        <v>74</v>
      </c>
      <c r="L904" t="s">
        <v>74</v>
      </c>
      <c r="M904" t="s">
        <v>78</v>
      </c>
      <c r="N904" t="s">
        <v>79</v>
      </c>
      <c r="O904" t="s">
        <v>74</v>
      </c>
      <c r="P904" t="s">
        <v>74</v>
      </c>
      <c r="Q904" t="s">
        <v>74</v>
      </c>
      <c r="R904" t="s">
        <v>74</v>
      </c>
      <c r="S904" t="s">
        <v>74</v>
      </c>
      <c r="T904" t="s">
        <v>16482</v>
      </c>
      <c r="U904" t="s">
        <v>16483</v>
      </c>
      <c r="V904" t="s">
        <v>16484</v>
      </c>
      <c r="W904" t="s">
        <v>16485</v>
      </c>
      <c r="X904" t="s">
        <v>16486</v>
      </c>
      <c r="Y904" t="s">
        <v>16487</v>
      </c>
      <c r="Z904" t="s">
        <v>16488</v>
      </c>
      <c r="AA904" t="s">
        <v>467</v>
      </c>
      <c r="AB904" t="s">
        <v>468</v>
      </c>
      <c r="AC904" t="s">
        <v>16489</v>
      </c>
      <c r="AD904" t="s">
        <v>16490</v>
      </c>
      <c r="AE904" t="s">
        <v>16491</v>
      </c>
      <c r="AF904" t="s">
        <v>74</v>
      </c>
      <c r="AG904">
        <v>64</v>
      </c>
      <c r="AH904">
        <v>40</v>
      </c>
      <c r="AI904">
        <v>55</v>
      </c>
      <c r="AJ904">
        <v>2</v>
      </c>
      <c r="AK904">
        <v>108</v>
      </c>
      <c r="AL904" t="s">
        <v>652</v>
      </c>
      <c r="AM904" t="s">
        <v>653</v>
      </c>
      <c r="AN904" t="s">
        <v>654</v>
      </c>
      <c r="AO904" t="s">
        <v>16492</v>
      </c>
      <c r="AP904" t="s">
        <v>16493</v>
      </c>
      <c r="AQ904" t="s">
        <v>74</v>
      </c>
      <c r="AR904" t="s">
        <v>16494</v>
      </c>
      <c r="AS904" t="s">
        <v>16495</v>
      </c>
      <c r="AT904" t="s">
        <v>13186</v>
      </c>
      <c r="AU904">
        <v>2014</v>
      </c>
      <c r="AV904">
        <v>54</v>
      </c>
      <c r="AW904" t="s">
        <v>74</v>
      </c>
      <c r="AX904" t="s">
        <v>74</v>
      </c>
      <c r="AY904" t="s">
        <v>74</v>
      </c>
      <c r="AZ904" t="s">
        <v>660</v>
      </c>
      <c r="BA904" t="s">
        <v>74</v>
      </c>
      <c r="BB904">
        <v>110</v>
      </c>
      <c r="BC904">
        <v>118</v>
      </c>
      <c r="BD904" t="s">
        <v>74</v>
      </c>
      <c r="BE904" t="s">
        <v>16496</v>
      </c>
      <c r="BF904" t="str">
        <f>HYPERLINK("http://dx.doi.org/10.1016/j.actao.2013.01.010","http://dx.doi.org/10.1016/j.actao.2013.01.010")</f>
        <v>http://dx.doi.org/10.1016/j.actao.2013.01.010</v>
      </c>
      <c r="BG904" t="s">
        <v>74</v>
      </c>
      <c r="BH904" t="s">
        <v>74</v>
      </c>
      <c r="BI904">
        <v>9</v>
      </c>
      <c r="BJ904" t="s">
        <v>451</v>
      </c>
      <c r="BK904" t="s">
        <v>101</v>
      </c>
      <c r="BL904" t="s">
        <v>102</v>
      </c>
      <c r="BM904" t="s">
        <v>16497</v>
      </c>
      <c r="BN904" t="s">
        <v>74</v>
      </c>
      <c r="BO904" t="s">
        <v>234</v>
      </c>
      <c r="BP904" t="s">
        <v>74</v>
      </c>
      <c r="BQ904" t="s">
        <v>74</v>
      </c>
      <c r="BR904" t="s">
        <v>104</v>
      </c>
      <c r="BS904" t="s">
        <v>16498</v>
      </c>
      <c r="BT904" t="str">
        <f>HYPERLINK("https%3A%2F%2Fwww.webofscience.com%2Fwos%2Fwoscc%2Ffull-record%2FWOS:000331430000015","View Full Record in Web of Science")</f>
        <v>View Full Record in Web of Science</v>
      </c>
    </row>
    <row r="905" spans="1:72" x14ac:dyDescent="0.15">
      <c r="A905" t="s">
        <v>72</v>
      </c>
      <c r="B905" t="s">
        <v>16499</v>
      </c>
      <c r="C905" t="s">
        <v>74</v>
      </c>
      <c r="D905" t="s">
        <v>74</v>
      </c>
      <c r="E905" t="s">
        <v>74</v>
      </c>
      <c r="F905" t="s">
        <v>16500</v>
      </c>
      <c r="G905" t="s">
        <v>74</v>
      </c>
      <c r="H905" t="s">
        <v>74</v>
      </c>
      <c r="I905" t="s">
        <v>16501</v>
      </c>
      <c r="J905" t="s">
        <v>11636</v>
      </c>
      <c r="K905" t="s">
        <v>74</v>
      </c>
      <c r="L905" t="s">
        <v>74</v>
      </c>
      <c r="M905" t="s">
        <v>78</v>
      </c>
      <c r="N905" t="s">
        <v>933</v>
      </c>
      <c r="O905" t="s">
        <v>74</v>
      </c>
      <c r="P905" t="s">
        <v>74</v>
      </c>
      <c r="Q905" t="s">
        <v>74</v>
      </c>
      <c r="R905" t="s">
        <v>74</v>
      </c>
      <c r="S905" t="s">
        <v>74</v>
      </c>
      <c r="T905" t="s">
        <v>16502</v>
      </c>
      <c r="U905" t="s">
        <v>16503</v>
      </c>
      <c r="V905" t="s">
        <v>16504</v>
      </c>
      <c r="W905" t="s">
        <v>16505</v>
      </c>
      <c r="X905" t="s">
        <v>16506</v>
      </c>
      <c r="Y905" t="s">
        <v>16507</v>
      </c>
      <c r="Z905" t="s">
        <v>16508</v>
      </c>
      <c r="AA905" t="s">
        <v>16509</v>
      </c>
      <c r="AB905" t="s">
        <v>16510</v>
      </c>
      <c r="AC905" t="s">
        <v>16511</v>
      </c>
      <c r="AD905" t="s">
        <v>16512</v>
      </c>
      <c r="AE905" t="s">
        <v>16513</v>
      </c>
      <c r="AF905" t="s">
        <v>74</v>
      </c>
      <c r="AG905">
        <v>58</v>
      </c>
      <c r="AH905">
        <v>18</v>
      </c>
      <c r="AI905">
        <v>19</v>
      </c>
      <c r="AJ905">
        <v>4</v>
      </c>
      <c r="AK905">
        <v>76</v>
      </c>
      <c r="AL905" t="s">
        <v>11648</v>
      </c>
      <c r="AM905" t="s">
        <v>11649</v>
      </c>
      <c r="AN905" t="s">
        <v>11650</v>
      </c>
      <c r="AO905" t="s">
        <v>11651</v>
      </c>
      <c r="AP905" t="s">
        <v>11652</v>
      </c>
      <c r="AQ905" t="s">
        <v>74</v>
      </c>
      <c r="AR905" t="s">
        <v>11653</v>
      </c>
      <c r="AS905" t="s">
        <v>11654</v>
      </c>
      <c r="AT905" t="s">
        <v>74</v>
      </c>
      <c r="AU905">
        <v>2014</v>
      </c>
      <c r="AV905">
        <v>53</v>
      </c>
      <c r="AW905">
        <v>1</v>
      </c>
      <c r="AX905" t="s">
        <v>74</v>
      </c>
      <c r="AY905" t="s">
        <v>74</v>
      </c>
      <c r="AZ905" t="s">
        <v>74</v>
      </c>
      <c r="BA905" t="s">
        <v>74</v>
      </c>
      <c r="BB905">
        <v>39</v>
      </c>
      <c r="BC905">
        <v>50</v>
      </c>
      <c r="BD905" t="s">
        <v>74</v>
      </c>
      <c r="BE905" t="s">
        <v>16514</v>
      </c>
      <c r="BF905" t="str">
        <f>HYPERLINK("http://dx.doi.org/10.4467/16890027AP.14.005.1442","http://dx.doi.org/10.4467/16890027AP.14.005.1442")</f>
        <v>http://dx.doi.org/10.4467/16890027AP.14.005.1442</v>
      </c>
      <c r="BG905" t="s">
        <v>74</v>
      </c>
      <c r="BH905" t="s">
        <v>74</v>
      </c>
      <c r="BI905">
        <v>12</v>
      </c>
      <c r="BJ905" t="s">
        <v>3624</v>
      </c>
      <c r="BK905" t="s">
        <v>101</v>
      </c>
      <c r="BL905" t="s">
        <v>3624</v>
      </c>
      <c r="BM905" t="s">
        <v>16515</v>
      </c>
      <c r="BN905" t="s">
        <v>74</v>
      </c>
      <c r="BO905" t="s">
        <v>74</v>
      </c>
      <c r="BP905" t="s">
        <v>74</v>
      </c>
      <c r="BQ905" t="s">
        <v>74</v>
      </c>
      <c r="BR905" t="s">
        <v>104</v>
      </c>
      <c r="BS905" t="s">
        <v>16516</v>
      </c>
      <c r="BT905" t="str">
        <f>HYPERLINK("https%3A%2F%2Fwww.webofscience.com%2Fwos%2Fwoscc%2Ffull-record%2FWOS:000332608800005","View Full Record in Web of Science")</f>
        <v>View Full Record in Web of Science</v>
      </c>
    </row>
    <row r="906" spans="1:72" x14ac:dyDescent="0.15">
      <c r="A906" t="s">
        <v>9250</v>
      </c>
      <c r="B906" t="s">
        <v>16517</v>
      </c>
      <c r="C906" t="s">
        <v>74</v>
      </c>
      <c r="D906" t="s">
        <v>12518</v>
      </c>
      <c r="E906" t="s">
        <v>74</v>
      </c>
      <c r="F906" t="s">
        <v>16518</v>
      </c>
      <c r="G906" t="s">
        <v>74</v>
      </c>
      <c r="H906" t="s">
        <v>74</v>
      </c>
      <c r="I906" t="s">
        <v>16519</v>
      </c>
      <c r="J906" t="s">
        <v>12521</v>
      </c>
      <c r="K906" t="s">
        <v>9861</v>
      </c>
      <c r="L906" t="s">
        <v>74</v>
      </c>
      <c r="M906" t="s">
        <v>78</v>
      </c>
      <c r="N906" t="s">
        <v>9862</v>
      </c>
      <c r="O906" t="s">
        <v>74</v>
      </c>
      <c r="P906" t="s">
        <v>74</v>
      </c>
      <c r="Q906" t="s">
        <v>74</v>
      </c>
      <c r="R906" t="s">
        <v>74</v>
      </c>
      <c r="S906" t="s">
        <v>74</v>
      </c>
      <c r="T906" t="s">
        <v>16520</v>
      </c>
      <c r="U906" t="s">
        <v>16521</v>
      </c>
      <c r="V906" t="s">
        <v>16522</v>
      </c>
      <c r="W906" t="s">
        <v>16523</v>
      </c>
      <c r="X906" t="s">
        <v>16524</v>
      </c>
      <c r="Y906" t="s">
        <v>16525</v>
      </c>
      <c r="Z906" t="s">
        <v>16526</v>
      </c>
      <c r="AA906" t="s">
        <v>16527</v>
      </c>
      <c r="AB906" t="s">
        <v>16528</v>
      </c>
      <c r="AC906" t="s">
        <v>16529</v>
      </c>
      <c r="AD906" t="s">
        <v>191</v>
      </c>
      <c r="AE906" t="s">
        <v>74</v>
      </c>
      <c r="AF906" t="s">
        <v>74</v>
      </c>
      <c r="AG906">
        <v>605</v>
      </c>
      <c r="AH906">
        <v>135</v>
      </c>
      <c r="AI906">
        <v>145</v>
      </c>
      <c r="AJ906">
        <v>5</v>
      </c>
      <c r="AK906">
        <v>111</v>
      </c>
      <c r="AL906" t="s">
        <v>9870</v>
      </c>
      <c r="AM906" t="s">
        <v>6025</v>
      </c>
      <c r="AN906" t="s">
        <v>9871</v>
      </c>
      <c r="AO906" t="s">
        <v>9872</v>
      </c>
      <c r="AP906" t="s">
        <v>16530</v>
      </c>
      <c r="AQ906" t="s">
        <v>12531</v>
      </c>
      <c r="AR906" t="s">
        <v>9874</v>
      </c>
      <c r="AS906" t="s">
        <v>9875</v>
      </c>
      <c r="AT906" t="s">
        <v>74</v>
      </c>
      <c r="AU906">
        <v>2014</v>
      </c>
      <c r="AV906">
        <v>67</v>
      </c>
      <c r="AW906" t="s">
        <v>74</v>
      </c>
      <c r="AX906" t="s">
        <v>74</v>
      </c>
      <c r="AY906" t="s">
        <v>74</v>
      </c>
      <c r="AZ906" t="s">
        <v>74</v>
      </c>
      <c r="BA906" t="s">
        <v>74</v>
      </c>
      <c r="BB906">
        <v>99</v>
      </c>
      <c r="BC906" t="s">
        <v>5223</v>
      </c>
      <c r="BD906" t="s">
        <v>74</v>
      </c>
      <c r="BE906" t="s">
        <v>16531</v>
      </c>
      <c r="BF906" t="str">
        <f>HYPERLINK("http://dx.doi.org/10.1016/B978-0-12-800287-2.00002-0","http://dx.doi.org/10.1016/B978-0-12-800287-2.00002-0")</f>
        <v>http://dx.doi.org/10.1016/B978-0-12-800287-2.00002-0</v>
      </c>
      <c r="BG906" t="s">
        <v>74</v>
      </c>
      <c r="BH906" t="s">
        <v>74</v>
      </c>
      <c r="BI906">
        <v>35</v>
      </c>
      <c r="BJ906" t="s">
        <v>1028</v>
      </c>
      <c r="BK906" t="s">
        <v>9877</v>
      </c>
      <c r="BL906" t="s">
        <v>1028</v>
      </c>
      <c r="BM906" t="s">
        <v>12533</v>
      </c>
      <c r="BN906">
        <v>24880795</v>
      </c>
      <c r="BO906" t="s">
        <v>74</v>
      </c>
      <c r="BP906" t="s">
        <v>74</v>
      </c>
      <c r="BQ906" t="s">
        <v>74</v>
      </c>
      <c r="BR906" t="s">
        <v>104</v>
      </c>
      <c r="BS906" t="s">
        <v>16532</v>
      </c>
      <c r="BT906" t="str">
        <f>HYPERLINK("https%3A%2F%2Fwww.webofscience.com%2Fwos%2Fwoscc%2Ffull-record%2FWOS:000337493800003","View Full Record in Web of Science")</f>
        <v>View Full Record in Web of Science</v>
      </c>
    </row>
    <row r="907" spans="1:72" x14ac:dyDescent="0.15">
      <c r="A907" t="s">
        <v>9250</v>
      </c>
      <c r="B907" t="s">
        <v>16533</v>
      </c>
      <c r="C907" t="s">
        <v>74</v>
      </c>
      <c r="D907" t="s">
        <v>12518</v>
      </c>
      <c r="E907" t="s">
        <v>74</v>
      </c>
      <c r="F907" t="s">
        <v>16534</v>
      </c>
      <c r="G907" t="s">
        <v>74</v>
      </c>
      <c r="H907" t="s">
        <v>74</v>
      </c>
      <c r="I907" t="s">
        <v>16535</v>
      </c>
      <c r="J907" t="s">
        <v>12521</v>
      </c>
      <c r="K907" t="s">
        <v>9861</v>
      </c>
      <c r="L907" t="s">
        <v>74</v>
      </c>
      <c r="M907" t="s">
        <v>78</v>
      </c>
      <c r="N907" t="s">
        <v>9862</v>
      </c>
      <c r="O907" t="s">
        <v>74</v>
      </c>
      <c r="P907" t="s">
        <v>74</v>
      </c>
      <c r="Q907" t="s">
        <v>74</v>
      </c>
      <c r="R907" t="s">
        <v>74</v>
      </c>
      <c r="S907" t="s">
        <v>74</v>
      </c>
      <c r="T907" t="s">
        <v>16536</v>
      </c>
      <c r="U907" t="s">
        <v>16537</v>
      </c>
      <c r="V907" t="s">
        <v>16538</v>
      </c>
      <c r="W907" t="s">
        <v>16539</v>
      </c>
      <c r="X907" t="s">
        <v>16540</v>
      </c>
      <c r="Y907" t="s">
        <v>16541</v>
      </c>
      <c r="Z907" t="s">
        <v>16542</v>
      </c>
      <c r="AA907" t="s">
        <v>16543</v>
      </c>
      <c r="AB907" t="s">
        <v>16544</v>
      </c>
      <c r="AC907" t="s">
        <v>16545</v>
      </c>
      <c r="AD907" t="s">
        <v>350</v>
      </c>
      <c r="AE907" t="s">
        <v>74</v>
      </c>
      <c r="AF907" t="s">
        <v>74</v>
      </c>
      <c r="AG907">
        <v>582</v>
      </c>
      <c r="AH907">
        <v>91</v>
      </c>
      <c r="AI907">
        <v>95</v>
      </c>
      <c r="AJ907">
        <v>11</v>
      </c>
      <c r="AK907">
        <v>151</v>
      </c>
      <c r="AL907" t="s">
        <v>9870</v>
      </c>
      <c r="AM907" t="s">
        <v>6025</v>
      </c>
      <c r="AN907" t="s">
        <v>9871</v>
      </c>
      <c r="AO907" t="s">
        <v>9872</v>
      </c>
      <c r="AP907" t="s">
        <v>16530</v>
      </c>
      <c r="AQ907" t="s">
        <v>12531</v>
      </c>
      <c r="AR907" t="s">
        <v>9874</v>
      </c>
      <c r="AS907" t="s">
        <v>9875</v>
      </c>
      <c r="AT907" t="s">
        <v>74</v>
      </c>
      <c r="AU907">
        <v>2014</v>
      </c>
      <c r="AV907">
        <v>67</v>
      </c>
      <c r="AW907" t="s">
        <v>74</v>
      </c>
      <c r="AX907" t="s">
        <v>74</v>
      </c>
      <c r="AY907" t="s">
        <v>74</v>
      </c>
      <c r="AZ907" t="s">
        <v>74</v>
      </c>
      <c r="BA907" t="s">
        <v>74</v>
      </c>
      <c r="BB907">
        <v>235</v>
      </c>
      <c r="BC907">
        <v>359</v>
      </c>
      <c r="BD907" t="s">
        <v>74</v>
      </c>
      <c r="BE907" t="s">
        <v>16546</v>
      </c>
      <c r="BF907" t="str">
        <f>HYPERLINK("http://dx.doi.org/10.1016/B978-0-12-800287-2.00003-2","http://dx.doi.org/10.1016/B978-0-12-800287-2.00003-2")</f>
        <v>http://dx.doi.org/10.1016/B978-0-12-800287-2.00003-2</v>
      </c>
      <c r="BG907" t="s">
        <v>74</v>
      </c>
      <c r="BH907" t="s">
        <v>74</v>
      </c>
      <c r="BI907">
        <v>125</v>
      </c>
      <c r="BJ907" t="s">
        <v>1028</v>
      </c>
      <c r="BK907" t="s">
        <v>9877</v>
      </c>
      <c r="BL907" t="s">
        <v>1028</v>
      </c>
      <c r="BM907" t="s">
        <v>12533</v>
      </c>
      <c r="BN907">
        <v>24880796</v>
      </c>
      <c r="BO907" t="s">
        <v>74</v>
      </c>
      <c r="BP907" t="s">
        <v>74</v>
      </c>
      <c r="BQ907" t="s">
        <v>74</v>
      </c>
      <c r="BR907" t="s">
        <v>104</v>
      </c>
      <c r="BS907" t="s">
        <v>16547</v>
      </c>
      <c r="BT907" t="str">
        <f>HYPERLINK("https%3A%2F%2Fwww.webofscience.com%2Fwos%2Fwoscc%2Ffull-record%2FWOS:000337493800004","View Full Record in Web of Science")</f>
        <v>View Full Record in Web of Science</v>
      </c>
    </row>
    <row r="908" spans="1:72" x14ac:dyDescent="0.15">
      <c r="A908" t="s">
        <v>72</v>
      </c>
      <c r="B908" t="s">
        <v>16548</v>
      </c>
      <c r="C908" t="s">
        <v>74</v>
      </c>
      <c r="D908" t="s">
        <v>74</v>
      </c>
      <c r="E908" t="s">
        <v>74</v>
      </c>
      <c r="F908" t="s">
        <v>16549</v>
      </c>
      <c r="G908" t="s">
        <v>74</v>
      </c>
      <c r="H908" t="s">
        <v>74</v>
      </c>
      <c r="I908" t="s">
        <v>16550</v>
      </c>
      <c r="J908" t="s">
        <v>16551</v>
      </c>
      <c r="K908" t="s">
        <v>74</v>
      </c>
      <c r="L908" t="s">
        <v>74</v>
      </c>
      <c r="M908" t="s">
        <v>78</v>
      </c>
      <c r="N908" t="s">
        <v>79</v>
      </c>
      <c r="O908" t="s">
        <v>74</v>
      </c>
      <c r="P908" t="s">
        <v>74</v>
      </c>
      <c r="Q908" t="s">
        <v>74</v>
      </c>
      <c r="R908" t="s">
        <v>74</v>
      </c>
      <c r="S908" t="s">
        <v>74</v>
      </c>
      <c r="T908" t="s">
        <v>74</v>
      </c>
      <c r="U908" t="s">
        <v>16552</v>
      </c>
      <c r="V908" t="s">
        <v>16553</v>
      </c>
      <c r="W908" t="s">
        <v>16554</v>
      </c>
      <c r="X908" t="s">
        <v>16555</v>
      </c>
      <c r="Y908" t="s">
        <v>16556</v>
      </c>
      <c r="Z908" t="s">
        <v>16557</v>
      </c>
      <c r="AA908" t="s">
        <v>16558</v>
      </c>
      <c r="AB908" t="s">
        <v>16559</v>
      </c>
      <c r="AC908" t="s">
        <v>16560</v>
      </c>
      <c r="AD908" t="s">
        <v>16561</v>
      </c>
      <c r="AE908" t="s">
        <v>16562</v>
      </c>
      <c r="AF908" t="s">
        <v>74</v>
      </c>
      <c r="AG908">
        <v>40</v>
      </c>
      <c r="AH908">
        <v>13</v>
      </c>
      <c r="AI908">
        <v>13</v>
      </c>
      <c r="AJ908">
        <v>0</v>
      </c>
      <c r="AK908">
        <v>8</v>
      </c>
      <c r="AL908" t="s">
        <v>12368</v>
      </c>
      <c r="AM908" t="s">
        <v>704</v>
      </c>
      <c r="AN908" t="s">
        <v>12369</v>
      </c>
      <c r="AO908" t="s">
        <v>16563</v>
      </c>
      <c r="AP908" t="s">
        <v>16564</v>
      </c>
      <c r="AQ908" t="s">
        <v>74</v>
      </c>
      <c r="AR908" t="s">
        <v>16565</v>
      </c>
      <c r="AS908" t="s">
        <v>16566</v>
      </c>
      <c r="AT908" t="s">
        <v>74</v>
      </c>
      <c r="AU908">
        <v>2014</v>
      </c>
      <c r="AV908">
        <v>2014</v>
      </c>
      <c r="AW908" t="s">
        <v>74</v>
      </c>
      <c r="AX908" t="s">
        <v>74</v>
      </c>
      <c r="AY908" t="s">
        <v>74</v>
      </c>
      <c r="AZ908" t="s">
        <v>74</v>
      </c>
      <c r="BA908" t="s">
        <v>74</v>
      </c>
      <c r="BB908" t="s">
        <v>74</v>
      </c>
      <c r="BC908" t="s">
        <v>74</v>
      </c>
      <c r="BD908">
        <v>695067</v>
      </c>
      <c r="BE908" t="s">
        <v>16567</v>
      </c>
      <c r="BF908" t="str">
        <f>HYPERLINK("http://dx.doi.org/10.1155/2014/695067","http://dx.doi.org/10.1155/2014/695067")</f>
        <v>http://dx.doi.org/10.1155/2014/695067</v>
      </c>
      <c r="BG908" t="s">
        <v>74</v>
      </c>
      <c r="BH908" t="s">
        <v>74</v>
      </c>
      <c r="BI908">
        <v>21</v>
      </c>
      <c r="BJ908" t="s">
        <v>1391</v>
      </c>
      <c r="BK908" t="s">
        <v>101</v>
      </c>
      <c r="BL908" t="s">
        <v>1391</v>
      </c>
      <c r="BM908" t="s">
        <v>16568</v>
      </c>
      <c r="BN908" t="s">
        <v>74</v>
      </c>
      <c r="BO908" t="s">
        <v>9228</v>
      </c>
      <c r="BP908" t="s">
        <v>74</v>
      </c>
      <c r="BQ908" t="s">
        <v>74</v>
      </c>
      <c r="BR908" t="s">
        <v>104</v>
      </c>
      <c r="BS908" t="s">
        <v>16569</v>
      </c>
      <c r="BT908" t="str">
        <f>HYPERLINK("https%3A%2F%2Fwww.webofscience.com%2Fwos%2Fwoscc%2Ffull-record%2FWOS:000330672000001","View Full Record in Web of Science")</f>
        <v>View Full Record in Web of Science</v>
      </c>
    </row>
    <row r="909" spans="1:72" x14ac:dyDescent="0.15">
      <c r="A909" t="s">
        <v>72</v>
      </c>
      <c r="B909" t="s">
        <v>16570</v>
      </c>
      <c r="C909" t="s">
        <v>74</v>
      </c>
      <c r="D909" t="s">
        <v>74</v>
      </c>
      <c r="E909" t="s">
        <v>74</v>
      </c>
      <c r="F909" t="s">
        <v>16571</v>
      </c>
      <c r="G909" t="s">
        <v>74</v>
      </c>
      <c r="H909" t="s">
        <v>74</v>
      </c>
      <c r="I909" t="s">
        <v>16572</v>
      </c>
      <c r="J909" t="s">
        <v>12216</v>
      </c>
      <c r="K909" t="s">
        <v>74</v>
      </c>
      <c r="L909" t="s">
        <v>74</v>
      </c>
      <c r="M909" t="s">
        <v>78</v>
      </c>
      <c r="N909" t="s">
        <v>79</v>
      </c>
      <c r="O909" t="s">
        <v>74</v>
      </c>
      <c r="P909" t="s">
        <v>74</v>
      </c>
      <c r="Q909" t="s">
        <v>74</v>
      </c>
      <c r="R909" t="s">
        <v>74</v>
      </c>
      <c r="S909" t="s">
        <v>74</v>
      </c>
      <c r="T909" t="s">
        <v>16573</v>
      </c>
      <c r="U909" t="s">
        <v>16574</v>
      </c>
      <c r="V909" t="s">
        <v>16575</v>
      </c>
      <c r="W909" t="s">
        <v>16576</v>
      </c>
      <c r="X909" t="s">
        <v>16577</v>
      </c>
      <c r="Y909" t="s">
        <v>16578</v>
      </c>
      <c r="Z909" t="s">
        <v>16579</v>
      </c>
      <c r="AA909" t="s">
        <v>74</v>
      </c>
      <c r="AB909" t="s">
        <v>74</v>
      </c>
      <c r="AC909" t="s">
        <v>16580</v>
      </c>
      <c r="AD909" t="s">
        <v>16580</v>
      </c>
      <c r="AE909" t="s">
        <v>16581</v>
      </c>
      <c r="AF909" t="s">
        <v>74</v>
      </c>
      <c r="AG909">
        <v>56</v>
      </c>
      <c r="AH909">
        <v>17</v>
      </c>
      <c r="AI909">
        <v>18</v>
      </c>
      <c r="AJ909">
        <v>1</v>
      </c>
      <c r="AK909">
        <v>22</v>
      </c>
      <c r="AL909" t="s">
        <v>12227</v>
      </c>
      <c r="AM909" t="s">
        <v>12228</v>
      </c>
      <c r="AN909" t="s">
        <v>12229</v>
      </c>
      <c r="AO909" t="s">
        <v>12230</v>
      </c>
      <c r="AP909" t="s">
        <v>12231</v>
      </c>
      <c r="AQ909" t="s">
        <v>74</v>
      </c>
      <c r="AR909" t="s">
        <v>12232</v>
      </c>
      <c r="AS909" t="s">
        <v>12233</v>
      </c>
      <c r="AT909" t="s">
        <v>74</v>
      </c>
      <c r="AU909">
        <v>2014</v>
      </c>
      <c r="AV909">
        <v>36</v>
      </c>
      <c r="AW909">
        <v>2</v>
      </c>
      <c r="AX909" t="s">
        <v>74</v>
      </c>
      <c r="AY909" t="s">
        <v>74</v>
      </c>
      <c r="AZ909" t="s">
        <v>74</v>
      </c>
      <c r="BA909" t="s">
        <v>74</v>
      </c>
      <c r="BB909">
        <v>225</v>
      </c>
      <c r="BC909">
        <v>231</v>
      </c>
      <c r="BD909" t="s">
        <v>74</v>
      </c>
      <c r="BE909" t="s">
        <v>16582</v>
      </c>
      <c r="BF909" t="str">
        <f>HYPERLINK("http://dx.doi.org/10.2989/1814232X.2014.926293","http://dx.doi.org/10.2989/1814232X.2014.926293")</f>
        <v>http://dx.doi.org/10.2989/1814232X.2014.926293</v>
      </c>
      <c r="BG909" t="s">
        <v>74</v>
      </c>
      <c r="BH909" t="s">
        <v>74</v>
      </c>
      <c r="BI909">
        <v>7</v>
      </c>
      <c r="BJ909" t="s">
        <v>1028</v>
      </c>
      <c r="BK909" t="s">
        <v>101</v>
      </c>
      <c r="BL909" t="s">
        <v>1028</v>
      </c>
      <c r="BM909" t="s">
        <v>12235</v>
      </c>
      <c r="BN909" t="s">
        <v>74</v>
      </c>
      <c r="BO909" t="s">
        <v>74</v>
      </c>
      <c r="BP909" t="s">
        <v>74</v>
      </c>
      <c r="BQ909" t="s">
        <v>74</v>
      </c>
      <c r="BR909" t="s">
        <v>104</v>
      </c>
      <c r="BS909" t="s">
        <v>16583</v>
      </c>
      <c r="BT909" t="str">
        <f>HYPERLINK("https%3A%2F%2Fwww.webofscience.com%2Fwos%2Fwoscc%2Ffull-record%2FWOS:000340268200009","View Full Record in Web of Science")</f>
        <v>View Full Record in Web of Science</v>
      </c>
    </row>
    <row r="910" spans="1:72" x14ac:dyDescent="0.15">
      <c r="A910" t="s">
        <v>72</v>
      </c>
      <c r="B910" t="s">
        <v>16584</v>
      </c>
      <c r="C910" t="s">
        <v>74</v>
      </c>
      <c r="D910" t="s">
        <v>74</v>
      </c>
      <c r="E910" t="s">
        <v>74</v>
      </c>
      <c r="F910" t="s">
        <v>16585</v>
      </c>
      <c r="G910" t="s">
        <v>74</v>
      </c>
      <c r="H910" t="s">
        <v>74</v>
      </c>
      <c r="I910" t="s">
        <v>16586</v>
      </c>
      <c r="J910" t="s">
        <v>13070</v>
      </c>
      <c r="K910" t="s">
        <v>74</v>
      </c>
      <c r="L910" t="s">
        <v>74</v>
      </c>
      <c r="M910" t="s">
        <v>78</v>
      </c>
      <c r="N910" t="s">
        <v>79</v>
      </c>
      <c r="O910" t="s">
        <v>74</v>
      </c>
      <c r="P910" t="s">
        <v>74</v>
      </c>
      <c r="Q910" t="s">
        <v>74</v>
      </c>
      <c r="R910" t="s">
        <v>74</v>
      </c>
      <c r="S910" t="s">
        <v>74</v>
      </c>
      <c r="T910" t="s">
        <v>16587</v>
      </c>
      <c r="U910" t="s">
        <v>16588</v>
      </c>
      <c r="V910" t="s">
        <v>16589</v>
      </c>
      <c r="W910" t="s">
        <v>16590</v>
      </c>
      <c r="X910" t="s">
        <v>16591</v>
      </c>
      <c r="Y910" t="s">
        <v>13076</v>
      </c>
      <c r="Z910" t="s">
        <v>13077</v>
      </c>
      <c r="AA910" t="s">
        <v>13078</v>
      </c>
      <c r="AB910" t="s">
        <v>16592</v>
      </c>
      <c r="AC910" t="s">
        <v>16593</v>
      </c>
      <c r="AD910" t="s">
        <v>16594</v>
      </c>
      <c r="AE910" t="s">
        <v>16595</v>
      </c>
      <c r="AF910" t="s">
        <v>74</v>
      </c>
      <c r="AG910">
        <v>51</v>
      </c>
      <c r="AH910">
        <v>57</v>
      </c>
      <c r="AI910">
        <v>58</v>
      </c>
      <c r="AJ910">
        <v>3</v>
      </c>
      <c r="AK910">
        <v>19</v>
      </c>
      <c r="AL910" t="s">
        <v>1463</v>
      </c>
      <c r="AM910" t="s">
        <v>1464</v>
      </c>
      <c r="AN910" t="s">
        <v>1465</v>
      </c>
      <c r="AO910" t="s">
        <v>13083</v>
      </c>
      <c r="AP910" t="s">
        <v>13084</v>
      </c>
      <c r="AQ910" t="s">
        <v>74</v>
      </c>
      <c r="AR910" t="s">
        <v>13085</v>
      </c>
      <c r="AS910" t="s">
        <v>11169</v>
      </c>
      <c r="AT910" t="s">
        <v>74</v>
      </c>
      <c r="AU910">
        <v>2014</v>
      </c>
      <c r="AV910">
        <v>32</v>
      </c>
      <c r="AW910">
        <v>6</v>
      </c>
      <c r="AX910" t="s">
        <v>74</v>
      </c>
      <c r="AY910" t="s">
        <v>74</v>
      </c>
      <c r="AZ910" t="s">
        <v>74</v>
      </c>
      <c r="BA910" t="s">
        <v>74</v>
      </c>
      <c r="BB910">
        <v>609</v>
      </c>
      <c r="BC910">
        <v>622</v>
      </c>
      <c r="BD910" t="s">
        <v>74</v>
      </c>
      <c r="BE910" t="s">
        <v>16596</v>
      </c>
      <c r="BF910" t="str">
        <f>HYPERLINK("http://dx.doi.org/10.5194/angeo-32-609-2014","http://dx.doi.org/10.5194/angeo-32-609-2014")</f>
        <v>http://dx.doi.org/10.5194/angeo-32-609-2014</v>
      </c>
      <c r="BG910" t="s">
        <v>74</v>
      </c>
      <c r="BH910" t="s">
        <v>74</v>
      </c>
      <c r="BI910">
        <v>14</v>
      </c>
      <c r="BJ910" t="s">
        <v>13087</v>
      </c>
      <c r="BK910" t="s">
        <v>101</v>
      </c>
      <c r="BL910" t="s">
        <v>13088</v>
      </c>
      <c r="BM910" t="s">
        <v>13089</v>
      </c>
      <c r="BN910" t="s">
        <v>74</v>
      </c>
      <c r="BO910" t="s">
        <v>9228</v>
      </c>
      <c r="BP910" t="s">
        <v>74</v>
      </c>
      <c r="BQ910" t="s">
        <v>74</v>
      </c>
      <c r="BR910" t="s">
        <v>104</v>
      </c>
      <c r="BS910" t="s">
        <v>16597</v>
      </c>
      <c r="BT910" t="str">
        <f>HYPERLINK("https%3A%2F%2Fwww.webofscience.com%2Fwos%2Fwoscc%2Ffull-record%2FWOS:000338509000003","View Full Record in Web of Science")</f>
        <v>View Full Record in Web of Science</v>
      </c>
    </row>
    <row r="911" spans="1:72" x14ac:dyDescent="0.15">
      <c r="A911" t="s">
        <v>72</v>
      </c>
      <c r="B911" t="s">
        <v>16598</v>
      </c>
      <c r="C911" t="s">
        <v>74</v>
      </c>
      <c r="D911" t="s">
        <v>74</v>
      </c>
      <c r="E911" t="s">
        <v>74</v>
      </c>
      <c r="F911" t="s">
        <v>16599</v>
      </c>
      <c r="G911" t="s">
        <v>74</v>
      </c>
      <c r="H911" t="s">
        <v>74</v>
      </c>
      <c r="I911" t="s">
        <v>16600</v>
      </c>
      <c r="J911" t="s">
        <v>13070</v>
      </c>
      <c r="K911" t="s">
        <v>74</v>
      </c>
      <c r="L911" t="s">
        <v>74</v>
      </c>
      <c r="M911" t="s">
        <v>78</v>
      </c>
      <c r="N911" t="s">
        <v>79</v>
      </c>
      <c r="O911" t="s">
        <v>74</v>
      </c>
      <c r="P911" t="s">
        <v>74</v>
      </c>
      <c r="Q911" t="s">
        <v>74</v>
      </c>
      <c r="R911" t="s">
        <v>74</v>
      </c>
      <c r="S911" t="s">
        <v>74</v>
      </c>
      <c r="T911" t="s">
        <v>16601</v>
      </c>
      <c r="U911" t="s">
        <v>16602</v>
      </c>
      <c r="V911" t="s">
        <v>16603</v>
      </c>
      <c r="W911" t="s">
        <v>16604</v>
      </c>
      <c r="X911" t="s">
        <v>16605</v>
      </c>
      <c r="Y911" t="s">
        <v>16606</v>
      </c>
      <c r="Z911" t="s">
        <v>16607</v>
      </c>
      <c r="AA911" t="s">
        <v>16608</v>
      </c>
      <c r="AB911" t="s">
        <v>16609</v>
      </c>
      <c r="AC911" t="s">
        <v>16610</v>
      </c>
      <c r="AD911" t="s">
        <v>16611</v>
      </c>
      <c r="AE911" t="s">
        <v>16612</v>
      </c>
      <c r="AF911" t="s">
        <v>74</v>
      </c>
      <c r="AG911">
        <v>74</v>
      </c>
      <c r="AH911">
        <v>16</v>
      </c>
      <c r="AI911">
        <v>17</v>
      </c>
      <c r="AJ911">
        <v>0</v>
      </c>
      <c r="AK911">
        <v>3</v>
      </c>
      <c r="AL911" t="s">
        <v>1463</v>
      </c>
      <c r="AM911" t="s">
        <v>1464</v>
      </c>
      <c r="AN911" t="s">
        <v>1465</v>
      </c>
      <c r="AO911" t="s">
        <v>13083</v>
      </c>
      <c r="AP911" t="s">
        <v>13084</v>
      </c>
      <c r="AQ911" t="s">
        <v>74</v>
      </c>
      <c r="AR911" t="s">
        <v>13085</v>
      </c>
      <c r="AS911" t="s">
        <v>11169</v>
      </c>
      <c r="AT911" t="s">
        <v>74</v>
      </c>
      <c r="AU911">
        <v>2014</v>
      </c>
      <c r="AV911">
        <v>32</v>
      </c>
      <c r="AW911">
        <v>8</v>
      </c>
      <c r="AX911" t="s">
        <v>74</v>
      </c>
      <c r="AY911" t="s">
        <v>74</v>
      </c>
      <c r="AZ911" t="s">
        <v>74</v>
      </c>
      <c r="BA911" t="s">
        <v>74</v>
      </c>
      <c r="BB911">
        <v>1059</v>
      </c>
      <c r="BC911">
        <v>1071</v>
      </c>
      <c r="BD911" t="s">
        <v>74</v>
      </c>
      <c r="BE911" t="s">
        <v>16613</v>
      </c>
      <c r="BF911" t="str">
        <f>HYPERLINK("http://dx.doi.org/10.5194/angeo-32-1059-2014","http://dx.doi.org/10.5194/angeo-32-1059-2014")</f>
        <v>http://dx.doi.org/10.5194/angeo-32-1059-2014</v>
      </c>
      <c r="BG911" t="s">
        <v>74</v>
      </c>
      <c r="BH911" t="s">
        <v>74</v>
      </c>
      <c r="BI911">
        <v>13</v>
      </c>
      <c r="BJ911" t="s">
        <v>13087</v>
      </c>
      <c r="BK911" t="s">
        <v>101</v>
      </c>
      <c r="BL911" t="s">
        <v>13088</v>
      </c>
      <c r="BM911" t="s">
        <v>16614</v>
      </c>
      <c r="BN911" t="s">
        <v>74</v>
      </c>
      <c r="BO911" t="s">
        <v>14049</v>
      </c>
      <c r="BP911" t="s">
        <v>74</v>
      </c>
      <c r="BQ911" t="s">
        <v>74</v>
      </c>
      <c r="BR911" t="s">
        <v>104</v>
      </c>
      <c r="BS911" t="s">
        <v>16615</v>
      </c>
      <c r="BT911" t="str">
        <f>HYPERLINK("https%3A%2F%2Fwww.webofscience.com%2Fwos%2Fwoscc%2Ffull-record%2FWOS:000341606700014","View Full Record in Web of Science")</f>
        <v>View Full Record in Web of Science</v>
      </c>
    </row>
    <row r="912" spans="1:72" x14ac:dyDescent="0.15">
      <c r="A912" t="s">
        <v>72</v>
      </c>
      <c r="B912" t="s">
        <v>16616</v>
      </c>
      <c r="C912" t="s">
        <v>74</v>
      </c>
      <c r="D912" t="s">
        <v>74</v>
      </c>
      <c r="E912" t="s">
        <v>74</v>
      </c>
      <c r="F912" t="s">
        <v>16617</v>
      </c>
      <c r="G912" t="s">
        <v>74</v>
      </c>
      <c r="H912" t="s">
        <v>74</v>
      </c>
      <c r="I912" t="s">
        <v>16618</v>
      </c>
      <c r="J912" t="s">
        <v>9523</v>
      </c>
      <c r="K912" t="s">
        <v>74</v>
      </c>
      <c r="L912" t="s">
        <v>74</v>
      </c>
      <c r="M912" t="s">
        <v>78</v>
      </c>
      <c r="N912" t="s">
        <v>79</v>
      </c>
      <c r="O912" t="s">
        <v>74</v>
      </c>
      <c r="P912" t="s">
        <v>74</v>
      </c>
      <c r="Q912" t="s">
        <v>74</v>
      </c>
      <c r="R912" t="s">
        <v>74</v>
      </c>
      <c r="S912" t="s">
        <v>74</v>
      </c>
      <c r="T912" t="s">
        <v>16619</v>
      </c>
      <c r="U912" t="s">
        <v>16620</v>
      </c>
      <c r="V912" t="s">
        <v>16621</v>
      </c>
      <c r="W912" t="s">
        <v>16622</v>
      </c>
      <c r="X912" t="s">
        <v>16623</v>
      </c>
      <c r="Y912" t="s">
        <v>16624</v>
      </c>
      <c r="Z912" t="s">
        <v>16625</v>
      </c>
      <c r="AA912" t="s">
        <v>16626</v>
      </c>
      <c r="AB912" t="s">
        <v>16627</v>
      </c>
      <c r="AC912" t="s">
        <v>16628</v>
      </c>
      <c r="AD912" t="s">
        <v>350</v>
      </c>
      <c r="AE912" t="s">
        <v>74</v>
      </c>
      <c r="AF912" t="s">
        <v>74</v>
      </c>
      <c r="AG912">
        <v>43</v>
      </c>
      <c r="AH912">
        <v>19</v>
      </c>
      <c r="AI912">
        <v>19</v>
      </c>
      <c r="AJ912">
        <v>0</v>
      </c>
      <c r="AK912">
        <v>9</v>
      </c>
      <c r="AL912" t="s">
        <v>9533</v>
      </c>
      <c r="AM912" t="s">
        <v>1948</v>
      </c>
      <c r="AN912" t="s">
        <v>9534</v>
      </c>
      <c r="AO912" t="s">
        <v>9535</v>
      </c>
      <c r="AP912" t="s">
        <v>9536</v>
      </c>
      <c r="AQ912" t="s">
        <v>74</v>
      </c>
      <c r="AR912" t="s">
        <v>9537</v>
      </c>
      <c r="AS912" t="s">
        <v>9538</v>
      </c>
      <c r="AT912" t="s">
        <v>74</v>
      </c>
      <c r="AU912">
        <v>2014</v>
      </c>
      <c r="AV912">
        <v>55</v>
      </c>
      <c r="AW912">
        <v>67</v>
      </c>
      <c r="AX912" t="s">
        <v>74</v>
      </c>
      <c r="AY912" t="s">
        <v>74</v>
      </c>
      <c r="AZ912" t="s">
        <v>74</v>
      </c>
      <c r="BA912" t="s">
        <v>74</v>
      </c>
      <c r="BB912">
        <v>22</v>
      </c>
      <c r="BC912">
        <v>28</v>
      </c>
      <c r="BD912" t="s">
        <v>74</v>
      </c>
      <c r="BE912" t="s">
        <v>16629</v>
      </c>
      <c r="BF912" t="str">
        <f>HYPERLINK("http://dx.doi.org/10.3189/2014AoG67A025","http://dx.doi.org/10.3189/2014AoG67A025")</f>
        <v>http://dx.doi.org/10.3189/2014AoG67A025</v>
      </c>
      <c r="BG912" t="s">
        <v>74</v>
      </c>
      <c r="BH912" t="s">
        <v>74</v>
      </c>
      <c r="BI912">
        <v>7</v>
      </c>
      <c r="BJ912" t="s">
        <v>1415</v>
      </c>
      <c r="BK912" t="s">
        <v>101</v>
      </c>
      <c r="BL912" t="s">
        <v>1416</v>
      </c>
      <c r="BM912" t="s">
        <v>12548</v>
      </c>
      <c r="BN912" t="s">
        <v>74</v>
      </c>
      <c r="BO912" t="s">
        <v>16630</v>
      </c>
      <c r="BP912" t="s">
        <v>74</v>
      </c>
      <c r="BQ912" t="s">
        <v>74</v>
      </c>
      <c r="BR912" t="s">
        <v>104</v>
      </c>
      <c r="BS912" t="s">
        <v>16631</v>
      </c>
      <c r="BT912" t="str">
        <f>HYPERLINK("https%3A%2F%2Fwww.webofscience.com%2Fwos%2Fwoscc%2Ffull-record%2FWOS:000339363400004","View Full Record in Web of Science")</f>
        <v>View Full Record in Web of Science</v>
      </c>
    </row>
    <row r="913" spans="1:72" x14ac:dyDescent="0.15">
      <c r="A913" t="s">
        <v>72</v>
      </c>
      <c r="B913" t="s">
        <v>16632</v>
      </c>
      <c r="C913" t="s">
        <v>74</v>
      </c>
      <c r="D913" t="s">
        <v>74</v>
      </c>
      <c r="E913" t="s">
        <v>74</v>
      </c>
      <c r="F913" t="s">
        <v>16633</v>
      </c>
      <c r="G913" t="s">
        <v>74</v>
      </c>
      <c r="H913" t="s">
        <v>74</v>
      </c>
      <c r="I913" t="s">
        <v>16634</v>
      </c>
      <c r="J913" t="s">
        <v>9523</v>
      </c>
      <c r="K913" t="s">
        <v>74</v>
      </c>
      <c r="L913" t="s">
        <v>74</v>
      </c>
      <c r="M913" t="s">
        <v>78</v>
      </c>
      <c r="N913" t="s">
        <v>79</v>
      </c>
      <c r="O913" t="s">
        <v>74</v>
      </c>
      <c r="P913" t="s">
        <v>74</v>
      </c>
      <c r="Q913" t="s">
        <v>74</v>
      </c>
      <c r="R913" t="s">
        <v>74</v>
      </c>
      <c r="S913" t="s">
        <v>74</v>
      </c>
      <c r="T913" t="s">
        <v>16635</v>
      </c>
      <c r="U913" t="s">
        <v>16636</v>
      </c>
      <c r="V913" t="s">
        <v>16637</v>
      </c>
      <c r="W913" t="s">
        <v>16638</v>
      </c>
      <c r="X913" t="s">
        <v>16639</v>
      </c>
      <c r="Y913" t="s">
        <v>16640</v>
      </c>
      <c r="Z913" t="s">
        <v>16641</v>
      </c>
      <c r="AA913" t="s">
        <v>16642</v>
      </c>
      <c r="AB913" t="s">
        <v>16643</v>
      </c>
      <c r="AC913" t="s">
        <v>16644</v>
      </c>
      <c r="AD913" t="s">
        <v>16645</v>
      </c>
      <c r="AE913" t="s">
        <v>16646</v>
      </c>
      <c r="AF913" t="s">
        <v>74</v>
      </c>
      <c r="AG913">
        <v>57</v>
      </c>
      <c r="AH913">
        <v>10</v>
      </c>
      <c r="AI913">
        <v>11</v>
      </c>
      <c r="AJ913">
        <v>1</v>
      </c>
      <c r="AK913">
        <v>9</v>
      </c>
      <c r="AL913" t="s">
        <v>9533</v>
      </c>
      <c r="AM913" t="s">
        <v>1948</v>
      </c>
      <c r="AN913" t="s">
        <v>9534</v>
      </c>
      <c r="AO913" t="s">
        <v>9535</v>
      </c>
      <c r="AP913" t="s">
        <v>9536</v>
      </c>
      <c r="AQ913" t="s">
        <v>74</v>
      </c>
      <c r="AR913" t="s">
        <v>9537</v>
      </c>
      <c r="AS913" t="s">
        <v>9538</v>
      </c>
      <c r="AT913" t="s">
        <v>74</v>
      </c>
      <c r="AU913">
        <v>2014</v>
      </c>
      <c r="AV913">
        <v>55</v>
      </c>
      <c r="AW913">
        <v>67</v>
      </c>
      <c r="AX913" t="s">
        <v>74</v>
      </c>
      <c r="AY913" t="s">
        <v>74</v>
      </c>
      <c r="AZ913" t="s">
        <v>74</v>
      </c>
      <c r="BA913" t="s">
        <v>74</v>
      </c>
      <c r="BB913">
        <v>29</v>
      </c>
      <c r="BC913">
        <v>38</v>
      </c>
      <c r="BD913" t="s">
        <v>74</v>
      </c>
      <c r="BE913" t="s">
        <v>16647</v>
      </c>
      <c r="BF913" t="str">
        <f>HYPERLINK("http://dx.doi.org/10.3189/2014AoG67A052","http://dx.doi.org/10.3189/2014AoG67A052")</f>
        <v>http://dx.doi.org/10.3189/2014AoG67A052</v>
      </c>
      <c r="BG913" t="s">
        <v>74</v>
      </c>
      <c r="BH913" t="s">
        <v>74</v>
      </c>
      <c r="BI913">
        <v>10</v>
      </c>
      <c r="BJ913" t="s">
        <v>1415</v>
      </c>
      <c r="BK913" t="s">
        <v>101</v>
      </c>
      <c r="BL913" t="s">
        <v>1416</v>
      </c>
      <c r="BM913" t="s">
        <v>12548</v>
      </c>
      <c r="BN913" t="s">
        <v>74</v>
      </c>
      <c r="BO913" t="s">
        <v>16648</v>
      </c>
      <c r="BP913" t="s">
        <v>74</v>
      </c>
      <c r="BQ913" t="s">
        <v>74</v>
      </c>
      <c r="BR913" t="s">
        <v>104</v>
      </c>
      <c r="BS913" t="s">
        <v>16649</v>
      </c>
      <c r="BT913" t="str">
        <f>HYPERLINK("https%3A%2F%2Fwww.webofscience.com%2Fwos%2Fwoscc%2Ffull-record%2FWOS:000339363400005","View Full Record in Web of Science")</f>
        <v>View Full Record in Web of Science</v>
      </c>
    </row>
    <row r="914" spans="1:72" x14ac:dyDescent="0.15">
      <c r="A914" t="s">
        <v>72</v>
      </c>
      <c r="B914" t="s">
        <v>16650</v>
      </c>
      <c r="C914" t="s">
        <v>74</v>
      </c>
      <c r="D914" t="s">
        <v>74</v>
      </c>
      <c r="E914" t="s">
        <v>74</v>
      </c>
      <c r="F914" t="s">
        <v>16651</v>
      </c>
      <c r="G914" t="s">
        <v>74</v>
      </c>
      <c r="H914" t="s">
        <v>74</v>
      </c>
      <c r="I914" t="s">
        <v>16652</v>
      </c>
      <c r="J914" t="s">
        <v>9523</v>
      </c>
      <c r="K914" t="s">
        <v>74</v>
      </c>
      <c r="L914" t="s">
        <v>74</v>
      </c>
      <c r="M914" t="s">
        <v>78</v>
      </c>
      <c r="N914" t="s">
        <v>79</v>
      </c>
      <c r="O914" t="s">
        <v>74</v>
      </c>
      <c r="P914" t="s">
        <v>74</v>
      </c>
      <c r="Q914" t="s">
        <v>74</v>
      </c>
      <c r="R914" t="s">
        <v>74</v>
      </c>
      <c r="S914" t="s">
        <v>74</v>
      </c>
      <c r="T914" t="s">
        <v>16653</v>
      </c>
      <c r="U914" t="s">
        <v>16654</v>
      </c>
      <c r="V914" t="s">
        <v>16655</v>
      </c>
      <c r="W914" t="s">
        <v>16656</v>
      </c>
      <c r="X914" t="s">
        <v>773</v>
      </c>
      <c r="Y914" t="s">
        <v>16657</v>
      </c>
      <c r="Z914" t="s">
        <v>16658</v>
      </c>
      <c r="AA914" t="s">
        <v>16659</v>
      </c>
      <c r="AB914" t="s">
        <v>16660</v>
      </c>
      <c r="AC914" t="s">
        <v>16661</v>
      </c>
      <c r="AD914" t="s">
        <v>16662</v>
      </c>
      <c r="AE914" t="s">
        <v>16663</v>
      </c>
      <c r="AF914" t="s">
        <v>74</v>
      </c>
      <c r="AG914">
        <v>22</v>
      </c>
      <c r="AH914">
        <v>36</v>
      </c>
      <c r="AI914">
        <v>39</v>
      </c>
      <c r="AJ914">
        <v>0</v>
      </c>
      <c r="AK914">
        <v>18</v>
      </c>
      <c r="AL914" t="s">
        <v>9533</v>
      </c>
      <c r="AM914" t="s">
        <v>1948</v>
      </c>
      <c r="AN914" t="s">
        <v>9534</v>
      </c>
      <c r="AO914" t="s">
        <v>9535</v>
      </c>
      <c r="AP914" t="s">
        <v>9536</v>
      </c>
      <c r="AQ914" t="s">
        <v>74</v>
      </c>
      <c r="AR914" t="s">
        <v>9537</v>
      </c>
      <c r="AS914" t="s">
        <v>9538</v>
      </c>
      <c r="AT914" t="s">
        <v>74</v>
      </c>
      <c r="AU914">
        <v>2014</v>
      </c>
      <c r="AV914">
        <v>55</v>
      </c>
      <c r="AW914">
        <v>68</v>
      </c>
      <c r="AX914" t="s">
        <v>74</v>
      </c>
      <c r="AY914" t="s">
        <v>74</v>
      </c>
      <c r="AZ914" t="s">
        <v>74</v>
      </c>
      <c r="BA914" t="s">
        <v>74</v>
      </c>
      <c r="BB914">
        <v>44</v>
      </c>
      <c r="BC914">
        <v>52</v>
      </c>
      <c r="BD914" t="s">
        <v>74</v>
      </c>
      <c r="BE914" t="s">
        <v>16664</v>
      </c>
      <c r="BF914" t="str">
        <f>HYPERLINK("http://dx.doi.org/10.3189/2014AoG68A030","http://dx.doi.org/10.3189/2014AoG68A030")</f>
        <v>http://dx.doi.org/10.3189/2014AoG68A030</v>
      </c>
      <c r="BG914" t="s">
        <v>74</v>
      </c>
      <c r="BH914" t="s">
        <v>74</v>
      </c>
      <c r="BI914">
        <v>9</v>
      </c>
      <c r="BJ914" t="s">
        <v>1415</v>
      </c>
      <c r="BK914" t="s">
        <v>101</v>
      </c>
      <c r="BL914" t="s">
        <v>1416</v>
      </c>
      <c r="BM914" t="s">
        <v>9540</v>
      </c>
      <c r="BN914" t="s">
        <v>74</v>
      </c>
      <c r="BO914" t="s">
        <v>787</v>
      </c>
      <c r="BP914" t="s">
        <v>74</v>
      </c>
      <c r="BQ914" t="s">
        <v>74</v>
      </c>
      <c r="BR914" t="s">
        <v>104</v>
      </c>
      <c r="BS914" t="s">
        <v>16665</v>
      </c>
      <c r="BT914" t="str">
        <f>HYPERLINK("https%3A%2F%2Fwww.webofscience.com%2Fwos%2Fwoscc%2Ffull-record%2FWOS:000351889600008","View Full Record in Web of Science")</f>
        <v>View Full Record in Web of Science</v>
      </c>
    </row>
    <row r="915" spans="1:72" x14ac:dyDescent="0.15">
      <c r="A915" t="s">
        <v>72</v>
      </c>
      <c r="B915" t="s">
        <v>16666</v>
      </c>
      <c r="C915" t="s">
        <v>74</v>
      </c>
      <c r="D915" t="s">
        <v>74</v>
      </c>
      <c r="E915" t="s">
        <v>74</v>
      </c>
      <c r="F915" t="s">
        <v>16667</v>
      </c>
      <c r="G915" t="s">
        <v>74</v>
      </c>
      <c r="H915" t="s">
        <v>74</v>
      </c>
      <c r="I915" t="s">
        <v>16668</v>
      </c>
      <c r="J915" t="s">
        <v>9523</v>
      </c>
      <c r="K915" t="s">
        <v>74</v>
      </c>
      <c r="L915" t="s">
        <v>74</v>
      </c>
      <c r="M915" t="s">
        <v>78</v>
      </c>
      <c r="N915" t="s">
        <v>79</v>
      </c>
      <c r="O915" t="s">
        <v>74</v>
      </c>
      <c r="P915" t="s">
        <v>74</v>
      </c>
      <c r="Q915" t="s">
        <v>74</v>
      </c>
      <c r="R915" t="s">
        <v>74</v>
      </c>
      <c r="S915" t="s">
        <v>74</v>
      </c>
      <c r="T915" t="s">
        <v>16669</v>
      </c>
      <c r="U915" t="s">
        <v>16670</v>
      </c>
      <c r="V915" t="s">
        <v>16671</v>
      </c>
      <c r="W915" t="s">
        <v>16672</v>
      </c>
      <c r="X915" t="s">
        <v>16673</v>
      </c>
      <c r="Y915" t="s">
        <v>16674</v>
      </c>
      <c r="Z915" t="s">
        <v>16675</v>
      </c>
      <c r="AA915" t="s">
        <v>16676</v>
      </c>
      <c r="AB915" t="s">
        <v>16677</v>
      </c>
      <c r="AC915" t="s">
        <v>16678</v>
      </c>
      <c r="AD915" t="s">
        <v>16679</v>
      </c>
      <c r="AE915" t="s">
        <v>16680</v>
      </c>
      <c r="AF915" t="s">
        <v>74</v>
      </c>
      <c r="AG915">
        <v>31</v>
      </c>
      <c r="AH915">
        <v>30</v>
      </c>
      <c r="AI915">
        <v>31</v>
      </c>
      <c r="AJ915">
        <v>1</v>
      </c>
      <c r="AK915">
        <v>52</v>
      </c>
      <c r="AL915" t="s">
        <v>9533</v>
      </c>
      <c r="AM915" t="s">
        <v>1948</v>
      </c>
      <c r="AN915" t="s">
        <v>9534</v>
      </c>
      <c r="AO915" t="s">
        <v>9535</v>
      </c>
      <c r="AP915" t="s">
        <v>9536</v>
      </c>
      <c r="AQ915" t="s">
        <v>74</v>
      </c>
      <c r="AR915" t="s">
        <v>9537</v>
      </c>
      <c r="AS915" t="s">
        <v>9538</v>
      </c>
      <c r="AT915" t="s">
        <v>74</v>
      </c>
      <c r="AU915">
        <v>2014</v>
      </c>
      <c r="AV915">
        <v>55</v>
      </c>
      <c r="AW915">
        <v>65</v>
      </c>
      <c r="AX915" t="s">
        <v>74</v>
      </c>
      <c r="AY915" t="s">
        <v>74</v>
      </c>
      <c r="AZ915" t="s">
        <v>74</v>
      </c>
      <c r="BA915" t="s">
        <v>74</v>
      </c>
      <c r="BB915">
        <v>59</v>
      </c>
      <c r="BC915">
        <v>73</v>
      </c>
      <c r="BD915" t="s">
        <v>74</v>
      </c>
      <c r="BE915" t="s">
        <v>16681</v>
      </c>
      <c r="BF915" t="str">
        <f>HYPERLINK("http://dx.doi.org/10.3189/2014AoG65A008","http://dx.doi.org/10.3189/2014AoG65A008")</f>
        <v>http://dx.doi.org/10.3189/2014AoG65A008</v>
      </c>
      <c r="BG915" t="s">
        <v>74</v>
      </c>
      <c r="BH915" t="s">
        <v>74</v>
      </c>
      <c r="BI915">
        <v>15</v>
      </c>
      <c r="BJ915" t="s">
        <v>1415</v>
      </c>
      <c r="BK915" t="s">
        <v>101</v>
      </c>
      <c r="BL915" t="s">
        <v>1416</v>
      </c>
      <c r="BM915" t="s">
        <v>11969</v>
      </c>
      <c r="BN915" t="s">
        <v>74</v>
      </c>
      <c r="BO915" t="s">
        <v>200</v>
      </c>
      <c r="BP915" t="s">
        <v>74</v>
      </c>
      <c r="BQ915" t="s">
        <v>74</v>
      </c>
      <c r="BR915" t="s">
        <v>104</v>
      </c>
      <c r="BS915" t="s">
        <v>16682</v>
      </c>
      <c r="BT915" t="str">
        <f>HYPERLINK("https%3A%2F%2Fwww.webofscience.com%2Fwos%2Fwoscc%2Ffull-record%2FWOS:000341676800008","View Full Record in Web of Science")</f>
        <v>View Full Record in Web of Science</v>
      </c>
    </row>
    <row r="916" spans="1:72" x14ac:dyDescent="0.15">
      <c r="A916" t="s">
        <v>72</v>
      </c>
      <c r="B916" t="s">
        <v>16683</v>
      </c>
      <c r="C916" t="s">
        <v>74</v>
      </c>
      <c r="D916" t="s">
        <v>74</v>
      </c>
      <c r="E916" t="s">
        <v>74</v>
      </c>
      <c r="F916" t="s">
        <v>16684</v>
      </c>
      <c r="G916" t="s">
        <v>74</v>
      </c>
      <c r="H916" t="s">
        <v>74</v>
      </c>
      <c r="I916" t="s">
        <v>16685</v>
      </c>
      <c r="J916" t="s">
        <v>9523</v>
      </c>
      <c r="K916" t="s">
        <v>74</v>
      </c>
      <c r="L916" t="s">
        <v>74</v>
      </c>
      <c r="M916" t="s">
        <v>78</v>
      </c>
      <c r="N916" t="s">
        <v>79</v>
      </c>
      <c r="O916" t="s">
        <v>74</v>
      </c>
      <c r="P916" t="s">
        <v>74</v>
      </c>
      <c r="Q916" t="s">
        <v>74</v>
      </c>
      <c r="R916" t="s">
        <v>74</v>
      </c>
      <c r="S916" t="s">
        <v>74</v>
      </c>
      <c r="T916" t="s">
        <v>16686</v>
      </c>
      <c r="U916" t="s">
        <v>16687</v>
      </c>
      <c r="V916" t="s">
        <v>16688</v>
      </c>
      <c r="W916" t="s">
        <v>16689</v>
      </c>
      <c r="X916" t="s">
        <v>16690</v>
      </c>
      <c r="Y916" t="s">
        <v>16691</v>
      </c>
      <c r="Z916" t="s">
        <v>16692</v>
      </c>
      <c r="AA916" t="s">
        <v>16693</v>
      </c>
      <c r="AB916" t="s">
        <v>16694</v>
      </c>
      <c r="AC916" t="s">
        <v>16695</v>
      </c>
      <c r="AD916" t="s">
        <v>16696</v>
      </c>
      <c r="AE916" t="s">
        <v>16697</v>
      </c>
      <c r="AF916" t="s">
        <v>74</v>
      </c>
      <c r="AG916">
        <v>85</v>
      </c>
      <c r="AH916">
        <v>23</v>
      </c>
      <c r="AI916">
        <v>25</v>
      </c>
      <c r="AJ916">
        <v>1</v>
      </c>
      <c r="AK916">
        <v>15</v>
      </c>
      <c r="AL916" t="s">
        <v>91</v>
      </c>
      <c r="AM916" t="s">
        <v>1948</v>
      </c>
      <c r="AN916" t="s">
        <v>2519</v>
      </c>
      <c r="AO916" t="s">
        <v>9535</v>
      </c>
      <c r="AP916" t="s">
        <v>9536</v>
      </c>
      <c r="AQ916" t="s">
        <v>74</v>
      </c>
      <c r="AR916" t="s">
        <v>9537</v>
      </c>
      <c r="AS916" t="s">
        <v>9538</v>
      </c>
      <c r="AT916" t="s">
        <v>74</v>
      </c>
      <c r="AU916">
        <v>2014</v>
      </c>
      <c r="AV916">
        <v>55</v>
      </c>
      <c r="AW916">
        <v>68</v>
      </c>
      <c r="AX916" t="s">
        <v>74</v>
      </c>
      <c r="AY916" t="s">
        <v>74</v>
      </c>
      <c r="AZ916" t="s">
        <v>74</v>
      </c>
      <c r="BA916" t="s">
        <v>74</v>
      </c>
      <c r="BB916">
        <v>72</v>
      </c>
      <c r="BC916">
        <v>82</v>
      </c>
      <c r="BD916" t="s">
        <v>74</v>
      </c>
      <c r="BE916" t="s">
        <v>16698</v>
      </c>
      <c r="BF916" t="str">
        <f>HYPERLINK("http://dx.doi.org/10.3189/2014AoG68A023","http://dx.doi.org/10.3189/2014AoG68A023")</f>
        <v>http://dx.doi.org/10.3189/2014AoG68A023</v>
      </c>
      <c r="BG916" t="s">
        <v>74</v>
      </c>
      <c r="BH916" t="s">
        <v>74</v>
      </c>
      <c r="BI916">
        <v>11</v>
      </c>
      <c r="BJ916" t="s">
        <v>1415</v>
      </c>
      <c r="BK916" t="s">
        <v>101</v>
      </c>
      <c r="BL916" t="s">
        <v>1416</v>
      </c>
      <c r="BM916" t="s">
        <v>9540</v>
      </c>
      <c r="BN916" t="s">
        <v>74</v>
      </c>
      <c r="BO916" t="s">
        <v>200</v>
      </c>
      <c r="BP916" t="s">
        <v>74</v>
      </c>
      <c r="BQ916" t="s">
        <v>74</v>
      </c>
      <c r="BR916" t="s">
        <v>104</v>
      </c>
      <c r="BS916" t="s">
        <v>16699</v>
      </c>
      <c r="BT916" t="str">
        <f>HYPERLINK("https%3A%2F%2Fwww.webofscience.com%2Fwos%2Fwoscc%2Ffull-record%2FWOS:000351889600011","View Full Record in Web of Science")</f>
        <v>View Full Record in Web of Science</v>
      </c>
    </row>
    <row r="917" spans="1:72" x14ac:dyDescent="0.15">
      <c r="A917" t="s">
        <v>72</v>
      </c>
      <c r="B917" t="s">
        <v>16700</v>
      </c>
      <c r="C917" t="s">
        <v>74</v>
      </c>
      <c r="D917" t="s">
        <v>74</v>
      </c>
      <c r="E917" t="s">
        <v>74</v>
      </c>
      <c r="F917" t="s">
        <v>16701</v>
      </c>
      <c r="G917" t="s">
        <v>74</v>
      </c>
      <c r="H917" t="s">
        <v>74</v>
      </c>
      <c r="I917" t="s">
        <v>16702</v>
      </c>
      <c r="J917" t="s">
        <v>9523</v>
      </c>
      <c r="K917" t="s">
        <v>74</v>
      </c>
      <c r="L917" t="s">
        <v>74</v>
      </c>
      <c r="M917" t="s">
        <v>78</v>
      </c>
      <c r="N917" t="s">
        <v>79</v>
      </c>
      <c r="O917" t="s">
        <v>74</v>
      </c>
      <c r="P917" t="s">
        <v>74</v>
      </c>
      <c r="Q917" t="s">
        <v>74</v>
      </c>
      <c r="R917" t="s">
        <v>74</v>
      </c>
      <c r="S917" t="s">
        <v>74</v>
      </c>
      <c r="T917" t="s">
        <v>16703</v>
      </c>
      <c r="U917" t="s">
        <v>16704</v>
      </c>
      <c r="V917" t="s">
        <v>16705</v>
      </c>
      <c r="W917" t="s">
        <v>16706</v>
      </c>
      <c r="X917" t="s">
        <v>773</v>
      </c>
      <c r="Y917" t="s">
        <v>16707</v>
      </c>
      <c r="Z917" t="s">
        <v>16708</v>
      </c>
      <c r="AA917" t="s">
        <v>74</v>
      </c>
      <c r="AB917" t="s">
        <v>16709</v>
      </c>
      <c r="AC917" t="s">
        <v>16710</v>
      </c>
      <c r="AD917" t="s">
        <v>350</v>
      </c>
      <c r="AE917" t="s">
        <v>74</v>
      </c>
      <c r="AF917" t="s">
        <v>74</v>
      </c>
      <c r="AG917">
        <v>54</v>
      </c>
      <c r="AH917">
        <v>4</v>
      </c>
      <c r="AI917">
        <v>4</v>
      </c>
      <c r="AJ917">
        <v>0</v>
      </c>
      <c r="AK917">
        <v>12</v>
      </c>
      <c r="AL917" t="s">
        <v>91</v>
      </c>
      <c r="AM917" t="s">
        <v>1948</v>
      </c>
      <c r="AN917" t="s">
        <v>2519</v>
      </c>
      <c r="AO917" t="s">
        <v>9535</v>
      </c>
      <c r="AP917" t="s">
        <v>9536</v>
      </c>
      <c r="AQ917" t="s">
        <v>74</v>
      </c>
      <c r="AR917" t="s">
        <v>9537</v>
      </c>
      <c r="AS917" t="s">
        <v>9538</v>
      </c>
      <c r="AT917" t="s">
        <v>74</v>
      </c>
      <c r="AU917">
        <v>2014</v>
      </c>
      <c r="AV917">
        <v>55</v>
      </c>
      <c r="AW917">
        <v>65</v>
      </c>
      <c r="AX917" t="s">
        <v>74</v>
      </c>
      <c r="AY917" t="s">
        <v>74</v>
      </c>
      <c r="AZ917" t="s">
        <v>74</v>
      </c>
      <c r="BA917" t="s">
        <v>74</v>
      </c>
      <c r="BB917">
        <v>74</v>
      </c>
      <c r="BC917">
        <v>82</v>
      </c>
      <c r="BD917" t="s">
        <v>74</v>
      </c>
      <c r="BE917" t="s">
        <v>16711</v>
      </c>
      <c r="BF917" t="str">
        <f>HYPERLINK("http://dx.doi.org/10.3189/2014AoG65A006","http://dx.doi.org/10.3189/2014AoG65A006")</f>
        <v>http://dx.doi.org/10.3189/2014AoG65A006</v>
      </c>
      <c r="BG917" t="s">
        <v>74</v>
      </c>
      <c r="BH917" t="s">
        <v>74</v>
      </c>
      <c r="BI917">
        <v>9</v>
      </c>
      <c r="BJ917" t="s">
        <v>1415</v>
      </c>
      <c r="BK917" t="s">
        <v>101</v>
      </c>
      <c r="BL917" t="s">
        <v>1416</v>
      </c>
      <c r="BM917" t="s">
        <v>11969</v>
      </c>
      <c r="BN917" t="s">
        <v>74</v>
      </c>
      <c r="BO917" t="s">
        <v>16630</v>
      </c>
      <c r="BP917" t="s">
        <v>74</v>
      </c>
      <c r="BQ917" t="s">
        <v>74</v>
      </c>
      <c r="BR917" t="s">
        <v>104</v>
      </c>
      <c r="BS917" t="s">
        <v>16712</v>
      </c>
      <c r="BT917" t="str">
        <f>HYPERLINK("https%3A%2F%2Fwww.webofscience.com%2Fwos%2Fwoscc%2Ffull-record%2FWOS:000341676800009","View Full Record in Web of Science")</f>
        <v>View Full Record in Web of Science</v>
      </c>
    </row>
    <row r="918" spans="1:72" x14ac:dyDescent="0.15">
      <c r="A918" t="s">
        <v>72</v>
      </c>
      <c r="B918" t="s">
        <v>16713</v>
      </c>
      <c r="C918" t="s">
        <v>74</v>
      </c>
      <c r="D918" t="s">
        <v>74</v>
      </c>
      <c r="E918" t="s">
        <v>74</v>
      </c>
      <c r="F918" t="s">
        <v>16714</v>
      </c>
      <c r="G918" t="s">
        <v>74</v>
      </c>
      <c r="H918" t="s">
        <v>74</v>
      </c>
      <c r="I918" t="s">
        <v>16715</v>
      </c>
      <c r="J918" t="s">
        <v>9523</v>
      </c>
      <c r="K918" t="s">
        <v>74</v>
      </c>
      <c r="L918" t="s">
        <v>74</v>
      </c>
      <c r="M918" t="s">
        <v>78</v>
      </c>
      <c r="N918" t="s">
        <v>79</v>
      </c>
      <c r="O918" t="s">
        <v>74</v>
      </c>
      <c r="P918" t="s">
        <v>74</v>
      </c>
      <c r="Q918" t="s">
        <v>74</v>
      </c>
      <c r="R918" t="s">
        <v>74</v>
      </c>
      <c r="S918" t="s">
        <v>74</v>
      </c>
      <c r="T918" t="s">
        <v>16716</v>
      </c>
      <c r="U918" t="s">
        <v>16717</v>
      </c>
      <c r="V918" t="s">
        <v>16718</v>
      </c>
      <c r="W918" t="s">
        <v>16719</v>
      </c>
      <c r="X918" t="s">
        <v>16720</v>
      </c>
      <c r="Y918" t="s">
        <v>16721</v>
      </c>
      <c r="Z918" t="s">
        <v>16722</v>
      </c>
      <c r="AA918" t="s">
        <v>16723</v>
      </c>
      <c r="AB918" t="s">
        <v>74</v>
      </c>
      <c r="AC918" t="s">
        <v>16724</v>
      </c>
      <c r="AD918" t="s">
        <v>16725</v>
      </c>
      <c r="AE918" t="s">
        <v>16726</v>
      </c>
      <c r="AF918" t="s">
        <v>74</v>
      </c>
      <c r="AG918">
        <v>12</v>
      </c>
      <c r="AH918">
        <v>22</v>
      </c>
      <c r="AI918">
        <v>26</v>
      </c>
      <c r="AJ918">
        <v>2</v>
      </c>
      <c r="AK918">
        <v>10</v>
      </c>
      <c r="AL918" t="s">
        <v>9533</v>
      </c>
      <c r="AM918" t="s">
        <v>1948</v>
      </c>
      <c r="AN918" t="s">
        <v>9534</v>
      </c>
      <c r="AO918" t="s">
        <v>9535</v>
      </c>
      <c r="AP918" t="s">
        <v>9536</v>
      </c>
      <c r="AQ918" t="s">
        <v>74</v>
      </c>
      <c r="AR918" t="s">
        <v>9537</v>
      </c>
      <c r="AS918" t="s">
        <v>9538</v>
      </c>
      <c r="AT918" t="s">
        <v>74</v>
      </c>
      <c r="AU918">
        <v>2014</v>
      </c>
      <c r="AV918">
        <v>55</v>
      </c>
      <c r="AW918">
        <v>68</v>
      </c>
      <c r="AX918" t="s">
        <v>74</v>
      </c>
      <c r="AY918" t="s">
        <v>74</v>
      </c>
      <c r="AZ918" t="s">
        <v>74</v>
      </c>
      <c r="BA918" t="s">
        <v>74</v>
      </c>
      <c r="BB918">
        <v>105</v>
      </c>
      <c r="BC918">
        <v>114</v>
      </c>
      <c r="BD918" t="s">
        <v>74</v>
      </c>
      <c r="BE918" t="s">
        <v>16727</v>
      </c>
      <c r="BF918" t="str">
        <f>HYPERLINK("http://dx.doi.org/10.3189/2014AoG68A032","http://dx.doi.org/10.3189/2014AoG68A032")</f>
        <v>http://dx.doi.org/10.3189/2014AoG68A032</v>
      </c>
      <c r="BG918" t="s">
        <v>74</v>
      </c>
      <c r="BH918" t="s">
        <v>74</v>
      </c>
      <c r="BI918">
        <v>10</v>
      </c>
      <c r="BJ918" t="s">
        <v>1415</v>
      </c>
      <c r="BK918" t="s">
        <v>101</v>
      </c>
      <c r="BL918" t="s">
        <v>1416</v>
      </c>
      <c r="BM918" t="s">
        <v>9540</v>
      </c>
      <c r="BN918" t="s">
        <v>74</v>
      </c>
      <c r="BO918" t="s">
        <v>200</v>
      </c>
      <c r="BP918" t="s">
        <v>74</v>
      </c>
      <c r="BQ918" t="s">
        <v>74</v>
      </c>
      <c r="BR918" t="s">
        <v>104</v>
      </c>
      <c r="BS918" t="s">
        <v>16728</v>
      </c>
      <c r="BT918" t="str">
        <f>HYPERLINK("https%3A%2F%2Fwww.webofscience.com%2Fwos%2Fwoscc%2Ffull-record%2FWOS:000351889600015","View Full Record in Web of Science")</f>
        <v>View Full Record in Web of Science</v>
      </c>
    </row>
    <row r="919" spans="1:72" x14ac:dyDescent="0.15">
      <c r="A919" t="s">
        <v>72</v>
      </c>
      <c r="B919" t="s">
        <v>16729</v>
      </c>
      <c r="C919" t="s">
        <v>74</v>
      </c>
      <c r="D919" t="s">
        <v>74</v>
      </c>
      <c r="E919" t="s">
        <v>74</v>
      </c>
      <c r="F919" t="s">
        <v>16730</v>
      </c>
      <c r="G919" t="s">
        <v>74</v>
      </c>
      <c r="H919" t="s">
        <v>74</v>
      </c>
      <c r="I919" t="s">
        <v>16731</v>
      </c>
      <c r="J919" t="s">
        <v>9523</v>
      </c>
      <c r="K919" t="s">
        <v>74</v>
      </c>
      <c r="L919" t="s">
        <v>74</v>
      </c>
      <c r="M919" t="s">
        <v>78</v>
      </c>
      <c r="N919" t="s">
        <v>79</v>
      </c>
      <c r="O919" t="s">
        <v>74</v>
      </c>
      <c r="P919" t="s">
        <v>74</v>
      </c>
      <c r="Q919" t="s">
        <v>74</v>
      </c>
      <c r="R919" t="s">
        <v>74</v>
      </c>
      <c r="S919" t="s">
        <v>74</v>
      </c>
      <c r="T919" t="s">
        <v>16732</v>
      </c>
      <c r="U919" t="s">
        <v>74</v>
      </c>
      <c r="V919" t="s">
        <v>16733</v>
      </c>
      <c r="W919" t="s">
        <v>16734</v>
      </c>
      <c r="X919" t="s">
        <v>16735</v>
      </c>
      <c r="Y919" t="s">
        <v>16736</v>
      </c>
      <c r="Z919" t="s">
        <v>16737</v>
      </c>
      <c r="AA919" t="s">
        <v>74</v>
      </c>
      <c r="AB919" t="s">
        <v>74</v>
      </c>
      <c r="AC919" t="s">
        <v>16738</v>
      </c>
      <c r="AD919" t="s">
        <v>5499</v>
      </c>
      <c r="AE919" t="s">
        <v>16739</v>
      </c>
      <c r="AF919" t="s">
        <v>74</v>
      </c>
      <c r="AG919">
        <v>2</v>
      </c>
      <c r="AH919">
        <v>10</v>
      </c>
      <c r="AI919">
        <v>11</v>
      </c>
      <c r="AJ919">
        <v>1</v>
      </c>
      <c r="AK919">
        <v>7</v>
      </c>
      <c r="AL919" t="s">
        <v>9533</v>
      </c>
      <c r="AM919" t="s">
        <v>1948</v>
      </c>
      <c r="AN919" t="s">
        <v>9534</v>
      </c>
      <c r="AO919" t="s">
        <v>9535</v>
      </c>
      <c r="AP919" t="s">
        <v>9536</v>
      </c>
      <c r="AQ919" t="s">
        <v>74</v>
      </c>
      <c r="AR919" t="s">
        <v>9537</v>
      </c>
      <c r="AS919" t="s">
        <v>9538</v>
      </c>
      <c r="AT919" t="s">
        <v>74</v>
      </c>
      <c r="AU919">
        <v>2014</v>
      </c>
      <c r="AV919">
        <v>55</v>
      </c>
      <c r="AW919">
        <v>68</v>
      </c>
      <c r="AX919" t="s">
        <v>74</v>
      </c>
      <c r="AY919" t="s">
        <v>74</v>
      </c>
      <c r="AZ919" t="s">
        <v>74</v>
      </c>
      <c r="BA919" t="s">
        <v>74</v>
      </c>
      <c r="BB919">
        <v>115</v>
      </c>
      <c r="BC919">
        <v>123</v>
      </c>
      <c r="BD919" t="s">
        <v>74</v>
      </c>
      <c r="BE919" t="s">
        <v>16740</v>
      </c>
      <c r="BF919" t="str">
        <f>HYPERLINK("http://dx.doi.org/10.3189/2014AoG68A033","http://dx.doi.org/10.3189/2014AoG68A033")</f>
        <v>http://dx.doi.org/10.3189/2014AoG68A033</v>
      </c>
      <c r="BG919" t="s">
        <v>74</v>
      </c>
      <c r="BH919" t="s">
        <v>74</v>
      </c>
      <c r="BI919">
        <v>9</v>
      </c>
      <c r="BJ919" t="s">
        <v>1415</v>
      </c>
      <c r="BK919" t="s">
        <v>101</v>
      </c>
      <c r="BL919" t="s">
        <v>1416</v>
      </c>
      <c r="BM919" t="s">
        <v>9540</v>
      </c>
      <c r="BN919" t="s">
        <v>74</v>
      </c>
      <c r="BO919" t="s">
        <v>200</v>
      </c>
      <c r="BP919" t="s">
        <v>74</v>
      </c>
      <c r="BQ919" t="s">
        <v>74</v>
      </c>
      <c r="BR919" t="s">
        <v>104</v>
      </c>
      <c r="BS919" t="s">
        <v>16741</v>
      </c>
      <c r="BT919" t="str">
        <f>HYPERLINK("https%3A%2F%2Fwww.webofscience.com%2Fwos%2Fwoscc%2Ffull-record%2FWOS:000351889600016","View Full Record in Web of Science")</f>
        <v>View Full Record in Web of Science</v>
      </c>
    </row>
    <row r="920" spans="1:72" x14ac:dyDescent="0.15">
      <c r="A920" t="s">
        <v>72</v>
      </c>
      <c r="B920" t="s">
        <v>16742</v>
      </c>
      <c r="C920" t="s">
        <v>74</v>
      </c>
      <c r="D920" t="s">
        <v>74</v>
      </c>
      <c r="E920" t="s">
        <v>74</v>
      </c>
      <c r="F920" t="s">
        <v>16743</v>
      </c>
      <c r="G920" t="s">
        <v>74</v>
      </c>
      <c r="H920" t="s">
        <v>74</v>
      </c>
      <c r="I920" t="s">
        <v>16744</v>
      </c>
      <c r="J920" t="s">
        <v>9523</v>
      </c>
      <c r="K920" t="s">
        <v>74</v>
      </c>
      <c r="L920" t="s">
        <v>74</v>
      </c>
      <c r="M920" t="s">
        <v>78</v>
      </c>
      <c r="N920" t="s">
        <v>79</v>
      </c>
      <c r="O920" t="s">
        <v>74</v>
      </c>
      <c r="P920" t="s">
        <v>74</v>
      </c>
      <c r="Q920" t="s">
        <v>74</v>
      </c>
      <c r="R920" t="s">
        <v>74</v>
      </c>
      <c r="S920" t="s">
        <v>74</v>
      </c>
      <c r="T920" t="s">
        <v>16745</v>
      </c>
      <c r="U920" t="s">
        <v>16746</v>
      </c>
      <c r="V920" t="s">
        <v>16747</v>
      </c>
      <c r="W920" t="s">
        <v>16748</v>
      </c>
      <c r="X920" t="s">
        <v>16749</v>
      </c>
      <c r="Y920" t="s">
        <v>16750</v>
      </c>
      <c r="Z920" t="s">
        <v>16751</v>
      </c>
      <c r="AA920" t="s">
        <v>16752</v>
      </c>
      <c r="AB920" t="s">
        <v>16753</v>
      </c>
      <c r="AC920" t="s">
        <v>16754</v>
      </c>
      <c r="AD920" t="s">
        <v>16755</v>
      </c>
      <c r="AE920" t="s">
        <v>16756</v>
      </c>
      <c r="AF920" t="s">
        <v>74</v>
      </c>
      <c r="AG920">
        <v>59</v>
      </c>
      <c r="AH920">
        <v>51</v>
      </c>
      <c r="AI920">
        <v>57</v>
      </c>
      <c r="AJ920">
        <v>3</v>
      </c>
      <c r="AK920">
        <v>60</v>
      </c>
      <c r="AL920" t="s">
        <v>91</v>
      </c>
      <c r="AM920" t="s">
        <v>1948</v>
      </c>
      <c r="AN920" t="s">
        <v>2519</v>
      </c>
      <c r="AO920" t="s">
        <v>9535</v>
      </c>
      <c r="AP920" t="s">
        <v>9536</v>
      </c>
      <c r="AQ920" t="s">
        <v>74</v>
      </c>
      <c r="AR920" t="s">
        <v>9537</v>
      </c>
      <c r="AS920" t="s">
        <v>9538</v>
      </c>
      <c r="AT920" t="s">
        <v>74</v>
      </c>
      <c r="AU920">
        <v>2014</v>
      </c>
      <c r="AV920">
        <v>55</v>
      </c>
      <c r="AW920">
        <v>66</v>
      </c>
      <c r="AX920" t="s">
        <v>74</v>
      </c>
      <c r="AY920" t="s">
        <v>74</v>
      </c>
      <c r="AZ920" t="s">
        <v>74</v>
      </c>
      <c r="BA920" t="s">
        <v>74</v>
      </c>
      <c r="BB920">
        <v>129</v>
      </c>
      <c r="BC920">
        <v>137</v>
      </c>
      <c r="BD920" t="s">
        <v>74</v>
      </c>
      <c r="BE920" t="s">
        <v>16757</v>
      </c>
      <c r="BF920" t="str">
        <f>HYPERLINK("http://dx.doi.org/10.3189/2014AoG66A069","http://dx.doi.org/10.3189/2014AoG66A069")</f>
        <v>http://dx.doi.org/10.3189/2014AoG66A069</v>
      </c>
      <c r="BG920" t="s">
        <v>74</v>
      </c>
      <c r="BH920" t="s">
        <v>74</v>
      </c>
      <c r="BI920">
        <v>9</v>
      </c>
      <c r="BJ920" t="s">
        <v>1415</v>
      </c>
      <c r="BK920" t="s">
        <v>101</v>
      </c>
      <c r="BL920" t="s">
        <v>1416</v>
      </c>
      <c r="BM920" t="s">
        <v>13647</v>
      </c>
      <c r="BN920" t="s">
        <v>74</v>
      </c>
      <c r="BO920" t="s">
        <v>1056</v>
      </c>
      <c r="BP920" t="s">
        <v>74</v>
      </c>
      <c r="BQ920" t="s">
        <v>74</v>
      </c>
      <c r="BR920" t="s">
        <v>104</v>
      </c>
      <c r="BS920" t="s">
        <v>16758</v>
      </c>
      <c r="BT920" t="str">
        <f>HYPERLINK("https%3A%2F%2Fwww.webofscience.com%2Fwos%2Fwoscc%2Ffull-record%2FWOS:000336010200017","View Full Record in Web of Science")</f>
        <v>View Full Record in Web of Science</v>
      </c>
    </row>
    <row r="921" spans="1:72" x14ac:dyDescent="0.15">
      <c r="A921" t="s">
        <v>72</v>
      </c>
      <c r="B921" t="s">
        <v>16759</v>
      </c>
      <c r="C921" t="s">
        <v>74</v>
      </c>
      <c r="D921" t="s">
        <v>74</v>
      </c>
      <c r="E921" t="s">
        <v>74</v>
      </c>
      <c r="F921" t="s">
        <v>16760</v>
      </c>
      <c r="G921" t="s">
        <v>74</v>
      </c>
      <c r="H921" t="s">
        <v>74</v>
      </c>
      <c r="I921" t="s">
        <v>16761</v>
      </c>
      <c r="J921" t="s">
        <v>9523</v>
      </c>
      <c r="K921" t="s">
        <v>74</v>
      </c>
      <c r="L921" t="s">
        <v>74</v>
      </c>
      <c r="M921" t="s">
        <v>78</v>
      </c>
      <c r="N921" t="s">
        <v>79</v>
      </c>
      <c r="O921" t="s">
        <v>74</v>
      </c>
      <c r="P921" t="s">
        <v>74</v>
      </c>
      <c r="Q921" t="s">
        <v>74</v>
      </c>
      <c r="R921" t="s">
        <v>74</v>
      </c>
      <c r="S921" t="s">
        <v>74</v>
      </c>
      <c r="T921" t="s">
        <v>16762</v>
      </c>
      <c r="U921" t="s">
        <v>16763</v>
      </c>
      <c r="V921" t="s">
        <v>16764</v>
      </c>
      <c r="W921" t="s">
        <v>16765</v>
      </c>
      <c r="X921" t="s">
        <v>16766</v>
      </c>
      <c r="Y921" t="s">
        <v>16767</v>
      </c>
      <c r="Z921" t="s">
        <v>16768</v>
      </c>
      <c r="AA921" t="s">
        <v>16769</v>
      </c>
      <c r="AB921" t="s">
        <v>16770</v>
      </c>
      <c r="AC921" t="s">
        <v>16771</v>
      </c>
      <c r="AD921" t="s">
        <v>16772</v>
      </c>
      <c r="AE921" t="s">
        <v>16773</v>
      </c>
      <c r="AF921" t="s">
        <v>74</v>
      </c>
      <c r="AG921">
        <v>73</v>
      </c>
      <c r="AH921">
        <v>41</v>
      </c>
      <c r="AI921">
        <v>47</v>
      </c>
      <c r="AJ921">
        <v>0</v>
      </c>
      <c r="AK921">
        <v>16</v>
      </c>
      <c r="AL921" t="s">
        <v>91</v>
      </c>
      <c r="AM921" t="s">
        <v>1948</v>
      </c>
      <c r="AN921" t="s">
        <v>2519</v>
      </c>
      <c r="AO921" t="s">
        <v>9535</v>
      </c>
      <c r="AP921" t="s">
        <v>9536</v>
      </c>
      <c r="AQ921" t="s">
        <v>74</v>
      </c>
      <c r="AR921" t="s">
        <v>9537</v>
      </c>
      <c r="AS921" t="s">
        <v>9538</v>
      </c>
      <c r="AT921" t="s">
        <v>74</v>
      </c>
      <c r="AU921">
        <v>2014</v>
      </c>
      <c r="AV921">
        <v>55</v>
      </c>
      <c r="AW921">
        <v>68</v>
      </c>
      <c r="AX921" t="s">
        <v>74</v>
      </c>
      <c r="AY921" t="s">
        <v>74</v>
      </c>
      <c r="AZ921" t="s">
        <v>74</v>
      </c>
      <c r="BA921" t="s">
        <v>74</v>
      </c>
      <c r="BB921">
        <v>137</v>
      </c>
      <c r="BC921">
        <v>146</v>
      </c>
      <c r="BD921" t="s">
        <v>74</v>
      </c>
      <c r="BE921" t="s">
        <v>16774</v>
      </c>
      <c r="BF921" t="str">
        <f>HYPERLINK("http://dx.doi.org/10.3189/2014AoG68A016","http://dx.doi.org/10.3189/2014AoG68A016")</f>
        <v>http://dx.doi.org/10.3189/2014AoG68A016</v>
      </c>
      <c r="BG921" t="s">
        <v>74</v>
      </c>
      <c r="BH921" t="s">
        <v>74</v>
      </c>
      <c r="BI921">
        <v>10</v>
      </c>
      <c r="BJ921" t="s">
        <v>1415</v>
      </c>
      <c r="BK921" t="s">
        <v>101</v>
      </c>
      <c r="BL921" t="s">
        <v>1416</v>
      </c>
      <c r="BM921" t="s">
        <v>9540</v>
      </c>
      <c r="BN921" t="s">
        <v>74</v>
      </c>
      <c r="BO921" t="s">
        <v>200</v>
      </c>
      <c r="BP921" t="s">
        <v>74</v>
      </c>
      <c r="BQ921" t="s">
        <v>74</v>
      </c>
      <c r="BR921" t="s">
        <v>104</v>
      </c>
      <c r="BS921" t="s">
        <v>16775</v>
      </c>
      <c r="BT921" t="str">
        <f>HYPERLINK("https%3A%2F%2Fwww.webofscience.com%2Fwos%2Fwoscc%2Ffull-record%2FWOS:000351889600019","View Full Record in Web of Science")</f>
        <v>View Full Record in Web of Science</v>
      </c>
    </row>
    <row r="922" spans="1:72" x14ac:dyDescent="0.15">
      <c r="A922" t="s">
        <v>72</v>
      </c>
      <c r="B922" t="s">
        <v>16776</v>
      </c>
      <c r="C922" t="s">
        <v>74</v>
      </c>
      <c r="D922" t="s">
        <v>74</v>
      </c>
      <c r="E922" t="s">
        <v>74</v>
      </c>
      <c r="F922" t="s">
        <v>16777</v>
      </c>
      <c r="G922" t="s">
        <v>74</v>
      </c>
      <c r="H922" t="s">
        <v>74</v>
      </c>
      <c r="I922" t="s">
        <v>16778</v>
      </c>
      <c r="J922" t="s">
        <v>9523</v>
      </c>
      <c r="K922" t="s">
        <v>74</v>
      </c>
      <c r="L922" t="s">
        <v>74</v>
      </c>
      <c r="M922" t="s">
        <v>78</v>
      </c>
      <c r="N922" t="s">
        <v>79</v>
      </c>
      <c r="O922" t="s">
        <v>74</v>
      </c>
      <c r="P922" t="s">
        <v>74</v>
      </c>
      <c r="Q922" t="s">
        <v>74</v>
      </c>
      <c r="R922" t="s">
        <v>74</v>
      </c>
      <c r="S922" t="s">
        <v>74</v>
      </c>
      <c r="T922" t="s">
        <v>16779</v>
      </c>
      <c r="U922" t="s">
        <v>16780</v>
      </c>
      <c r="V922" t="s">
        <v>16781</v>
      </c>
      <c r="W922" t="s">
        <v>16782</v>
      </c>
      <c r="X922" t="s">
        <v>16783</v>
      </c>
      <c r="Y922" t="s">
        <v>16784</v>
      </c>
      <c r="Z922" t="s">
        <v>16785</v>
      </c>
      <c r="AA922" t="s">
        <v>16786</v>
      </c>
      <c r="AB922" t="s">
        <v>74</v>
      </c>
      <c r="AC922" t="s">
        <v>16787</v>
      </c>
      <c r="AD922" t="s">
        <v>16788</v>
      </c>
      <c r="AE922" t="s">
        <v>16789</v>
      </c>
      <c r="AF922" t="s">
        <v>74</v>
      </c>
      <c r="AG922">
        <v>23</v>
      </c>
      <c r="AH922">
        <v>15</v>
      </c>
      <c r="AI922">
        <v>16</v>
      </c>
      <c r="AJ922">
        <v>1</v>
      </c>
      <c r="AK922">
        <v>12</v>
      </c>
      <c r="AL922" t="s">
        <v>9533</v>
      </c>
      <c r="AM922" t="s">
        <v>1948</v>
      </c>
      <c r="AN922" t="s">
        <v>9534</v>
      </c>
      <c r="AO922" t="s">
        <v>9535</v>
      </c>
      <c r="AP922" t="s">
        <v>9536</v>
      </c>
      <c r="AQ922" t="s">
        <v>74</v>
      </c>
      <c r="AR922" t="s">
        <v>9537</v>
      </c>
      <c r="AS922" t="s">
        <v>9538</v>
      </c>
      <c r="AT922" t="s">
        <v>74</v>
      </c>
      <c r="AU922">
        <v>2014</v>
      </c>
      <c r="AV922">
        <v>55</v>
      </c>
      <c r="AW922">
        <v>68</v>
      </c>
      <c r="AX922" t="s">
        <v>74</v>
      </c>
      <c r="AY922" t="s">
        <v>74</v>
      </c>
      <c r="AZ922" t="s">
        <v>74</v>
      </c>
      <c r="BA922" t="s">
        <v>74</v>
      </c>
      <c r="BB922">
        <v>179</v>
      </c>
      <c r="BC922">
        <v>188</v>
      </c>
      <c r="BD922" t="s">
        <v>74</v>
      </c>
      <c r="BE922" t="s">
        <v>16790</v>
      </c>
      <c r="BF922" t="str">
        <f>HYPERLINK("http://dx.doi.org/10.3189/2014AoG68A044","http://dx.doi.org/10.3189/2014AoG68A044")</f>
        <v>http://dx.doi.org/10.3189/2014AoG68A044</v>
      </c>
      <c r="BG922" t="s">
        <v>74</v>
      </c>
      <c r="BH922" t="s">
        <v>74</v>
      </c>
      <c r="BI922">
        <v>10</v>
      </c>
      <c r="BJ922" t="s">
        <v>1415</v>
      </c>
      <c r="BK922" t="s">
        <v>101</v>
      </c>
      <c r="BL922" t="s">
        <v>1416</v>
      </c>
      <c r="BM922" t="s">
        <v>9540</v>
      </c>
      <c r="BN922" t="s">
        <v>74</v>
      </c>
      <c r="BO922" t="s">
        <v>600</v>
      </c>
      <c r="BP922" t="s">
        <v>74</v>
      </c>
      <c r="BQ922" t="s">
        <v>74</v>
      </c>
      <c r="BR922" t="s">
        <v>104</v>
      </c>
      <c r="BS922" t="s">
        <v>16791</v>
      </c>
      <c r="BT922" t="str">
        <f>HYPERLINK("https%3A%2F%2Fwww.webofscience.com%2Fwos%2Fwoscc%2Ffull-record%2FWOS:000351889600024","View Full Record in Web of Science")</f>
        <v>View Full Record in Web of Science</v>
      </c>
    </row>
    <row r="923" spans="1:72" x14ac:dyDescent="0.15">
      <c r="A923" t="s">
        <v>72</v>
      </c>
      <c r="B923" t="s">
        <v>16792</v>
      </c>
      <c r="C923" t="s">
        <v>74</v>
      </c>
      <c r="D923" t="s">
        <v>74</v>
      </c>
      <c r="E923" t="s">
        <v>74</v>
      </c>
      <c r="F923" t="s">
        <v>16793</v>
      </c>
      <c r="G923" t="s">
        <v>74</v>
      </c>
      <c r="H923" t="s">
        <v>74</v>
      </c>
      <c r="I923" t="s">
        <v>16794</v>
      </c>
      <c r="J923" t="s">
        <v>9523</v>
      </c>
      <c r="K923" t="s">
        <v>74</v>
      </c>
      <c r="L923" t="s">
        <v>74</v>
      </c>
      <c r="M923" t="s">
        <v>78</v>
      </c>
      <c r="N923" t="s">
        <v>79</v>
      </c>
      <c r="O923" t="s">
        <v>74</v>
      </c>
      <c r="P923" t="s">
        <v>74</v>
      </c>
      <c r="Q923" t="s">
        <v>74</v>
      </c>
      <c r="R923" t="s">
        <v>74</v>
      </c>
      <c r="S923" t="s">
        <v>74</v>
      </c>
      <c r="T923" t="s">
        <v>16795</v>
      </c>
      <c r="U923" t="s">
        <v>16796</v>
      </c>
      <c r="V923" t="s">
        <v>16797</v>
      </c>
      <c r="W923" t="s">
        <v>16798</v>
      </c>
      <c r="X923" t="s">
        <v>16799</v>
      </c>
      <c r="Y923" t="s">
        <v>16800</v>
      </c>
      <c r="Z923" t="s">
        <v>16801</v>
      </c>
      <c r="AA923" t="s">
        <v>16802</v>
      </c>
      <c r="AB923" t="s">
        <v>74</v>
      </c>
      <c r="AC923" t="s">
        <v>16803</v>
      </c>
      <c r="AD923" t="s">
        <v>16804</v>
      </c>
      <c r="AE923" t="s">
        <v>16805</v>
      </c>
      <c r="AF923" t="s">
        <v>74</v>
      </c>
      <c r="AG923">
        <v>20</v>
      </c>
      <c r="AH923">
        <v>2</v>
      </c>
      <c r="AI923">
        <v>4</v>
      </c>
      <c r="AJ923">
        <v>0</v>
      </c>
      <c r="AK923">
        <v>39</v>
      </c>
      <c r="AL923" t="s">
        <v>91</v>
      </c>
      <c r="AM923" t="s">
        <v>1948</v>
      </c>
      <c r="AN923" t="s">
        <v>2519</v>
      </c>
      <c r="AO923" t="s">
        <v>9535</v>
      </c>
      <c r="AP923" t="s">
        <v>9536</v>
      </c>
      <c r="AQ923" t="s">
        <v>74</v>
      </c>
      <c r="AR923" t="s">
        <v>9537</v>
      </c>
      <c r="AS923" t="s">
        <v>9538</v>
      </c>
      <c r="AT923" t="s">
        <v>74</v>
      </c>
      <c r="AU923">
        <v>2014</v>
      </c>
      <c r="AV923">
        <v>55</v>
      </c>
      <c r="AW923">
        <v>66</v>
      </c>
      <c r="AX923" t="s">
        <v>74</v>
      </c>
      <c r="AY923" t="s">
        <v>74</v>
      </c>
      <c r="AZ923" t="s">
        <v>74</v>
      </c>
      <c r="BA923" t="s">
        <v>74</v>
      </c>
      <c r="BB923">
        <v>198</v>
      </c>
      <c r="BC923">
        <v>204</v>
      </c>
      <c r="BD923" t="s">
        <v>74</v>
      </c>
      <c r="BE923" t="s">
        <v>16806</v>
      </c>
      <c r="BF923" t="str">
        <f>HYPERLINK("http://dx.doi.org/10.3189/2014AoG66A124","http://dx.doi.org/10.3189/2014AoG66A124")</f>
        <v>http://dx.doi.org/10.3189/2014AoG66A124</v>
      </c>
      <c r="BG923" t="s">
        <v>74</v>
      </c>
      <c r="BH923" t="s">
        <v>74</v>
      </c>
      <c r="BI923">
        <v>7</v>
      </c>
      <c r="BJ923" t="s">
        <v>1415</v>
      </c>
      <c r="BK923" t="s">
        <v>101</v>
      </c>
      <c r="BL923" t="s">
        <v>1416</v>
      </c>
      <c r="BM923" t="s">
        <v>13647</v>
      </c>
      <c r="BN923" t="s">
        <v>74</v>
      </c>
      <c r="BO923" t="s">
        <v>6867</v>
      </c>
      <c r="BP923" t="s">
        <v>74</v>
      </c>
      <c r="BQ923" t="s">
        <v>74</v>
      </c>
      <c r="BR923" t="s">
        <v>104</v>
      </c>
      <c r="BS923" t="s">
        <v>16807</v>
      </c>
      <c r="BT923" t="str">
        <f>HYPERLINK("https%3A%2F%2Fwww.webofscience.com%2Fwos%2Fwoscc%2Ffull-record%2FWOS:000336010200024","View Full Record in Web of Science")</f>
        <v>View Full Record in Web of Science</v>
      </c>
    </row>
    <row r="924" spans="1:72" x14ac:dyDescent="0.15">
      <c r="A924" t="s">
        <v>72</v>
      </c>
      <c r="B924" t="s">
        <v>16808</v>
      </c>
      <c r="C924" t="s">
        <v>74</v>
      </c>
      <c r="D924" t="s">
        <v>74</v>
      </c>
      <c r="E924" t="s">
        <v>74</v>
      </c>
      <c r="F924" t="s">
        <v>16809</v>
      </c>
      <c r="G924" t="s">
        <v>74</v>
      </c>
      <c r="H924" t="s">
        <v>74</v>
      </c>
      <c r="I924" t="s">
        <v>16810</v>
      </c>
      <c r="J924" t="s">
        <v>9523</v>
      </c>
      <c r="K924" t="s">
        <v>74</v>
      </c>
      <c r="L924" t="s">
        <v>74</v>
      </c>
      <c r="M924" t="s">
        <v>78</v>
      </c>
      <c r="N924" t="s">
        <v>79</v>
      </c>
      <c r="O924" t="s">
        <v>74</v>
      </c>
      <c r="P924" t="s">
        <v>74</v>
      </c>
      <c r="Q924" t="s">
        <v>74</v>
      </c>
      <c r="R924" t="s">
        <v>74</v>
      </c>
      <c r="S924" t="s">
        <v>74</v>
      </c>
      <c r="T924" t="s">
        <v>9742</v>
      </c>
      <c r="U924" t="s">
        <v>74</v>
      </c>
      <c r="V924" t="s">
        <v>16811</v>
      </c>
      <c r="W924" t="s">
        <v>16812</v>
      </c>
      <c r="X924" t="s">
        <v>16813</v>
      </c>
      <c r="Y924" t="s">
        <v>16814</v>
      </c>
      <c r="Z924" t="s">
        <v>16815</v>
      </c>
      <c r="AA924" t="s">
        <v>16786</v>
      </c>
      <c r="AB924" t="s">
        <v>74</v>
      </c>
      <c r="AC924" t="s">
        <v>16816</v>
      </c>
      <c r="AD924" t="s">
        <v>16817</v>
      </c>
      <c r="AE924" t="s">
        <v>16818</v>
      </c>
      <c r="AF924" t="s">
        <v>74</v>
      </c>
      <c r="AG924">
        <v>6</v>
      </c>
      <c r="AH924">
        <v>8</v>
      </c>
      <c r="AI924">
        <v>8</v>
      </c>
      <c r="AJ924">
        <v>0</v>
      </c>
      <c r="AK924">
        <v>6</v>
      </c>
      <c r="AL924" t="s">
        <v>9533</v>
      </c>
      <c r="AM924" t="s">
        <v>1948</v>
      </c>
      <c r="AN924" t="s">
        <v>9534</v>
      </c>
      <c r="AO924" t="s">
        <v>9535</v>
      </c>
      <c r="AP924" t="s">
        <v>9536</v>
      </c>
      <c r="AQ924" t="s">
        <v>74</v>
      </c>
      <c r="AR924" t="s">
        <v>9537</v>
      </c>
      <c r="AS924" t="s">
        <v>9538</v>
      </c>
      <c r="AT924" t="s">
        <v>74</v>
      </c>
      <c r="AU924">
        <v>2014</v>
      </c>
      <c r="AV924">
        <v>55</v>
      </c>
      <c r="AW924">
        <v>68</v>
      </c>
      <c r="AX924" t="s">
        <v>74</v>
      </c>
      <c r="AY924" t="s">
        <v>74</v>
      </c>
      <c r="AZ924" t="s">
        <v>74</v>
      </c>
      <c r="BA924" t="s">
        <v>74</v>
      </c>
      <c r="BB924">
        <v>243</v>
      </c>
      <c r="BC924">
        <v>252</v>
      </c>
      <c r="BD924" t="s">
        <v>74</v>
      </c>
      <c r="BE924" t="s">
        <v>16819</v>
      </c>
      <c r="BF924" t="str">
        <f>HYPERLINK("http://dx.doi.org/10.3189/2014AoG68A049","http://dx.doi.org/10.3189/2014AoG68A049")</f>
        <v>http://dx.doi.org/10.3189/2014AoG68A049</v>
      </c>
      <c r="BG924" t="s">
        <v>74</v>
      </c>
      <c r="BH924" t="s">
        <v>74</v>
      </c>
      <c r="BI924">
        <v>10</v>
      </c>
      <c r="BJ924" t="s">
        <v>1415</v>
      </c>
      <c r="BK924" t="s">
        <v>101</v>
      </c>
      <c r="BL924" t="s">
        <v>1416</v>
      </c>
      <c r="BM924" t="s">
        <v>9540</v>
      </c>
      <c r="BN924" t="s">
        <v>74</v>
      </c>
      <c r="BO924" t="s">
        <v>787</v>
      </c>
      <c r="BP924" t="s">
        <v>74</v>
      </c>
      <c r="BQ924" t="s">
        <v>74</v>
      </c>
      <c r="BR924" t="s">
        <v>104</v>
      </c>
      <c r="BS924" t="s">
        <v>16820</v>
      </c>
      <c r="BT924" t="str">
        <f>HYPERLINK("https%3A%2F%2Fwww.webofscience.com%2Fwos%2Fwoscc%2Ffull-record%2FWOS:000351889600030","View Full Record in Web of Science")</f>
        <v>View Full Record in Web of Science</v>
      </c>
    </row>
    <row r="925" spans="1:72" x14ac:dyDescent="0.15">
      <c r="A925" t="s">
        <v>9250</v>
      </c>
      <c r="B925" t="s">
        <v>16821</v>
      </c>
      <c r="C925" t="s">
        <v>74</v>
      </c>
      <c r="D925" t="s">
        <v>16822</v>
      </c>
      <c r="E925" t="s">
        <v>74</v>
      </c>
      <c r="F925" t="s">
        <v>16823</v>
      </c>
      <c r="G925" t="s">
        <v>74</v>
      </c>
      <c r="H925" t="s">
        <v>74</v>
      </c>
      <c r="I925" t="s">
        <v>16824</v>
      </c>
      <c r="J925" t="s">
        <v>16825</v>
      </c>
      <c r="K925" t="s">
        <v>16826</v>
      </c>
      <c r="L925" t="s">
        <v>74</v>
      </c>
      <c r="M925" t="s">
        <v>78</v>
      </c>
      <c r="N925" t="s">
        <v>9862</v>
      </c>
      <c r="O925" t="s">
        <v>74</v>
      </c>
      <c r="P925" t="s">
        <v>74</v>
      </c>
      <c r="Q925" t="s">
        <v>74</v>
      </c>
      <c r="R925" t="s">
        <v>74</v>
      </c>
      <c r="S925" t="s">
        <v>74</v>
      </c>
      <c r="T925" t="s">
        <v>16827</v>
      </c>
      <c r="U925" t="s">
        <v>16828</v>
      </c>
      <c r="V925" t="s">
        <v>16829</v>
      </c>
      <c r="W925" t="s">
        <v>16830</v>
      </c>
      <c r="X925" t="s">
        <v>16831</v>
      </c>
      <c r="Y925" t="s">
        <v>16832</v>
      </c>
      <c r="Z925" t="s">
        <v>16833</v>
      </c>
      <c r="AA925" t="s">
        <v>16834</v>
      </c>
      <c r="AB925" t="s">
        <v>16835</v>
      </c>
      <c r="AC925" t="s">
        <v>16836</v>
      </c>
      <c r="AD925" t="s">
        <v>16837</v>
      </c>
      <c r="AE925" t="s">
        <v>74</v>
      </c>
      <c r="AF925" t="s">
        <v>74</v>
      </c>
      <c r="AG925">
        <v>113</v>
      </c>
      <c r="AH925">
        <v>13</v>
      </c>
      <c r="AI925">
        <v>14</v>
      </c>
      <c r="AJ925">
        <v>1</v>
      </c>
      <c r="AK925">
        <v>64</v>
      </c>
      <c r="AL925" t="s">
        <v>16838</v>
      </c>
      <c r="AM925" t="s">
        <v>16839</v>
      </c>
      <c r="AN925" t="s">
        <v>16840</v>
      </c>
      <c r="AO925" t="s">
        <v>16841</v>
      </c>
      <c r="AP925" t="s">
        <v>74</v>
      </c>
      <c r="AQ925" t="s">
        <v>16842</v>
      </c>
      <c r="AR925" t="s">
        <v>16843</v>
      </c>
      <c r="AS925" t="s">
        <v>16844</v>
      </c>
      <c r="AT925" t="s">
        <v>74</v>
      </c>
      <c r="AU925">
        <v>2014</v>
      </c>
      <c r="AV925">
        <v>6</v>
      </c>
      <c r="AW925" t="s">
        <v>74</v>
      </c>
      <c r="AX925" t="s">
        <v>74</v>
      </c>
      <c r="AY925" t="s">
        <v>74</v>
      </c>
      <c r="AZ925" t="s">
        <v>74</v>
      </c>
      <c r="BA925" t="s">
        <v>74</v>
      </c>
      <c r="BB925">
        <v>415</v>
      </c>
      <c r="BC925">
        <v>437</v>
      </c>
      <c r="BD925" t="s">
        <v>74</v>
      </c>
      <c r="BE925" t="s">
        <v>16845</v>
      </c>
      <c r="BF925" t="str">
        <f>HYPERLINK("http://dx.doi.org/10.1146/annurev-marine-010213-135042","http://dx.doi.org/10.1146/annurev-marine-010213-135042")</f>
        <v>http://dx.doi.org/10.1146/annurev-marine-010213-135042</v>
      </c>
      <c r="BG925" t="s">
        <v>74</v>
      </c>
      <c r="BH925" t="s">
        <v>74</v>
      </c>
      <c r="BI925">
        <v>23</v>
      </c>
      <c r="BJ925" t="s">
        <v>16846</v>
      </c>
      <c r="BK925" t="s">
        <v>9877</v>
      </c>
      <c r="BL925" t="s">
        <v>16846</v>
      </c>
      <c r="BM925" t="s">
        <v>16847</v>
      </c>
      <c r="BN925">
        <v>24128091</v>
      </c>
      <c r="BO925" t="s">
        <v>74</v>
      </c>
      <c r="BP925" t="s">
        <v>74</v>
      </c>
      <c r="BQ925" t="s">
        <v>74</v>
      </c>
      <c r="BR925" t="s">
        <v>104</v>
      </c>
      <c r="BS925" t="s">
        <v>16848</v>
      </c>
      <c r="BT925" t="str">
        <f>HYPERLINK("https%3A%2F%2Fwww.webofscience.com%2Fwos%2Fwoscc%2Ffull-record%2FWOS:000329657800017","View Full Record in Web of Science")</f>
        <v>View Full Record in Web of Science</v>
      </c>
    </row>
    <row r="926" spans="1:72" x14ac:dyDescent="0.15">
      <c r="A926" t="s">
        <v>9250</v>
      </c>
      <c r="B926" t="s">
        <v>16849</v>
      </c>
      <c r="C926" t="s">
        <v>74</v>
      </c>
      <c r="D926" t="s">
        <v>16822</v>
      </c>
      <c r="E926" t="s">
        <v>74</v>
      </c>
      <c r="F926" t="s">
        <v>16850</v>
      </c>
      <c r="G926" t="s">
        <v>74</v>
      </c>
      <c r="H926" t="s">
        <v>74</v>
      </c>
      <c r="I926" t="s">
        <v>16851</v>
      </c>
      <c r="J926" t="s">
        <v>16825</v>
      </c>
      <c r="K926" t="s">
        <v>16826</v>
      </c>
      <c r="L926" t="s">
        <v>74</v>
      </c>
      <c r="M926" t="s">
        <v>78</v>
      </c>
      <c r="N926" t="s">
        <v>9862</v>
      </c>
      <c r="O926" t="s">
        <v>74</v>
      </c>
      <c r="P926" t="s">
        <v>74</v>
      </c>
      <c r="Q926" t="s">
        <v>74</v>
      </c>
      <c r="R926" t="s">
        <v>74</v>
      </c>
      <c r="S926" t="s">
        <v>74</v>
      </c>
      <c r="T926" t="s">
        <v>16852</v>
      </c>
      <c r="U926" t="s">
        <v>16853</v>
      </c>
      <c r="V926" t="s">
        <v>16854</v>
      </c>
      <c r="W926" t="s">
        <v>16855</v>
      </c>
      <c r="X926" t="s">
        <v>16298</v>
      </c>
      <c r="Y926" t="s">
        <v>16856</v>
      </c>
      <c r="Z926" t="s">
        <v>16857</v>
      </c>
      <c r="AA926" t="s">
        <v>74</v>
      </c>
      <c r="AB926" t="s">
        <v>16858</v>
      </c>
      <c r="AC926" t="s">
        <v>74</v>
      </c>
      <c r="AD926" t="s">
        <v>74</v>
      </c>
      <c r="AE926" t="s">
        <v>74</v>
      </c>
      <c r="AF926" t="s">
        <v>74</v>
      </c>
      <c r="AG926">
        <v>220</v>
      </c>
      <c r="AH926">
        <v>170</v>
      </c>
      <c r="AI926">
        <v>200</v>
      </c>
      <c r="AJ926">
        <v>12</v>
      </c>
      <c r="AK926">
        <v>226</v>
      </c>
      <c r="AL926" t="s">
        <v>16838</v>
      </c>
      <c r="AM926" t="s">
        <v>16839</v>
      </c>
      <c r="AN926" t="s">
        <v>16840</v>
      </c>
      <c r="AO926" t="s">
        <v>16841</v>
      </c>
      <c r="AP926" t="s">
        <v>74</v>
      </c>
      <c r="AQ926" t="s">
        <v>16842</v>
      </c>
      <c r="AR926" t="s">
        <v>16843</v>
      </c>
      <c r="AS926" t="s">
        <v>16844</v>
      </c>
      <c r="AT926" t="s">
        <v>74</v>
      </c>
      <c r="AU926">
        <v>2014</v>
      </c>
      <c r="AV926">
        <v>6</v>
      </c>
      <c r="AW926" t="s">
        <v>74</v>
      </c>
      <c r="AX926" t="s">
        <v>74</v>
      </c>
      <c r="AY926" t="s">
        <v>74</v>
      </c>
      <c r="AZ926" t="s">
        <v>74</v>
      </c>
      <c r="BA926" t="s">
        <v>74</v>
      </c>
      <c r="BB926">
        <v>439</v>
      </c>
      <c r="BC926">
        <v>467</v>
      </c>
      <c r="BD926" t="s">
        <v>74</v>
      </c>
      <c r="BE926" t="s">
        <v>16859</v>
      </c>
      <c r="BF926" t="str">
        <f>HYPERLINK("http://dx.doi.org/10.1146/annurev-marine-010213-135103","http://dx.doi.org/10.1146/annurev-marine-010213-135103")</f>
        <v>http://dx.doi.org/10.1146/annurev-marine-010213-135103</v>
      </c>
      <c r="BG926" t="s">
        <v>74</v>
      </c>
      <c r="BH926" t="s">
        <v>74</v>
      </c>
      <c r="BI926">
        <v>29</v>
      </c>
      <c r="BJ926" t="s">
        <v>16846</v>
      </c>
      <c r="BK926" t="s">
        <v>9877</v>
      </c>
      <c r="BL926" t="s">
        <v>16846</v>
      </c>
      <c r="BM926" t="s">
        <v>16847</v>
      </c>
      <c r="BN926">
        <v>24015900</v>
      </c>
      <c r="BO926" t="s">
        <v>200</v>
      </c>
      <c r="BP926" t="s">
        <v>74</v>
      </c>
      <c r="BQ926" t="s">
        <v>74</v>
      </c>
      <c r="BR926" t="s">
        <v>104</v>
      </c>
      <c r="BS926" t="s">
        <v>16860</v>
      </c>
      <c r="BT926" t="str">
        <f>HYPERLINK("https%3A%2F%2Fwww.webofscience.com%2Fwos%2Fwoscc%2Ffull-record%2FWOS:000329657800018","View Full Record in Web of Science")</f>
        <v>View Full Record in Web of Science</v>
      </c>
    </row>
    <row r="927" spans="1:72" x14ac:dyDescent="0.15">
      <c r="A927" t="s">
        <v>9250</v>
      </c>
      <c r="B927" t="s">
        <v>16861</v>
      </c>
      <c r="C927" t="s">
        <v>74</v>
      </c>
      <c r="D927" t="s">
        <v>16822</v>
      </c>
      <c r="E927" t="s">
        <v>74</v>
      </c>
      <c r="F927" t="s">
        <v>16862</v>
      </c>
      <c r="G927" t="s">
        <v>74</v>
      </c>
      <c r="H927" t="s">
        <v>74</v>
      </c>
      <c r="I927" t="s">
        <v>16863</v>
      </c>
      <c r="J927" t="s">
        <v>16825</v>
      </c>
      <c r="K927" t="s">
        <v>16826</v>
      </c>
      <c r="L927" t="s">
        <v>74</v>
      </c>
      <c r="M927" t="s">
        <v>78</v>
      </c>
      <c r="N927" t="s">
        <v>9862</v>
      </c>
      <c r="O927" t="s">
        <v>74</v>
      </c>
      <c r="P927" t="s">
        <v>74</v>
      </c>
      <c r="Q927" t="s">
        <v>74</v>
      </c>
      <c r="R927" t="s">
        <v>74</v>
      </c>
      <c r="S927" t="s">
        <v>74</v>
      </c>
      <c r="T927" t="s">
        <v>16864</v>
      </c>
      <c r="U927" t="s">
        <v>16865</v>
      </c>
      <c r="V927" t="s">
        <v>16866</v>
      </c>
      <c r="W927" t="s">
        <v>16867</v>
      </c>
      <c r="X927" t="s">
        <v>16868</v>
      </c>
      <c r="Y927" t="s">
        <v>16869</v>
      </c>
      <c r="Z927" t="s">
        <v>16870</v>
      </c>
      <c r="AA927" t="s">
        <v>74</v>
      </c>
      <c r="AB927" t="s">
        <v>16871</v>
      </c>
      <c r="AC927" t="s">
        <v>16872</v>
      </c>
      <c r="AD927" t="s">
        <v>16873</v>
      </c>
      <c r="AE927" t="s">
        <v>74</v>
      </c>
      <c r="AF927" t="s">
        <v>74</v>
      </c>
      <c r="AG927">
        <v>102</v>
      </c>
      <c r="AH927">
        <v>137</v>
      </c>
      <c r="AI927">
        <v>154</v>
      </c>
      <c r="AJ927">
        <v>2</v>
      </c>
      <c r="AK927">
        <v>137</v>
      </c>
      <c r="AL927" t="s">
        <v>16838</v>
      </c>
      <c r="AM927" t="s">
        <v>16839</v>
      </c>
      <c r="AN927" t="s">
        <v>16840</v>
      </c>
      <c r="AO927" t="s">
        <v>16841</v>
      </c>
      <c r="AP927" t="s">
        <v>74</v>
      </c>
      <c r="AQ927" t="s">
        <v>16842</v>
      </c>
      <c r="AR927" t="s">
        <v>16843</v>
      </c>
      <c r="AS927" t="s">
        <v>16844</v>
      </c>
      <c r="AT927" t="s">
        <v>74</v>
      </c>
      <c r="AU927">
        <v>2014</v>
      </c>
      <c r="AV927">
        <v>6</v>
      </c>
      <c r="AW927" t="s">
        <v>74</v>
      </c>
      <c r="AX927" t="s">
        <v>74</v>
      </c>
      <c r="AY927" t="s">
        <v>74</v>
      </c>
      <c r="AZ927" t="s">
        <v>74</v>
      </c>
      <c r="BA927" t="s">
        <v>74</v>
      </c>
      <c r="BB927">
        <v>469</v>
      </c>
      <c r="BC927">
        <v>487</v>
      </c>
      <c r="BD927" t="s">
        <v>74</v>
      </c>
      <c r="BE927" t="s">
        <v>16874</v>
      </c>
      <c r="BF927" t="str">
        <f>HYPERLINK("http://dx.doi.org/10.1146/annurev-marine-010213-135114","http://dx.doi.org/10.1146/annurev-marine-010213-135114")</f>
        <v>http://dx.doi.org/10.1146/annurev-marine-010213-135114</v>
      </c>
      <c r="BG927" t="s">
        <v>74</v>
      </c>
      <c r="BH927" t="s">
        <v>74</v>
      </c>
      <c r="BI927">
        <v>19</v>
      </c>
      <c r="BJ927" t="s">
        <v>16846</v>
      </c>
      <c r="BK927" t="s">
        <v>9877</v>
      </c>
      <c r="BL927" t="s">
        <v>16846</v>
      </c>
      <c r="BM927" t="s">
        <v>16847</v>
      </c>
      <c r="BN927">
        <v>23987914</v>
      </c>
      <c r="BO927" t="s">
        <v>200</v>
      </c>
      <c r="BP927" t="s">
        <v>74</v>
      </c>
      <c r="BQ927" t="s">
        <v>74</v>
      </c>
      <c r="BR927" t="s">
        <v>104</v>
      </c>
      <c r="BS927" t="s">
        <v>16875</v>
      </c>
      <c r="BT927" t="str">
        <f>HYPERLINK("https%3A%2F%2Fwww.webofscience.com%2Fwos%2Fwoscc%2Ffull-record%2FWOS:000329657800019","View Full Record in Web of Science")</f>
        <v>View Full Record in Web of Science</v>
      </c>
    </row>
    <row r="928" spans="1:72" x14ac:dyDescent="0.15">
      <c r="A928" t="s">
        <v>8803</v>
      </c>
      <c r="B928" t="s">
        <v>9468</v>
      </c>
      <c r="C928" t="s">
        <v>9457</v>
      </c>
      <c r="D928" t="s">
        <v>74</v>
      </c>
      <c r="E928" t="s">
        <v>74</v>
      </c>
      <c r="F928" t="s">
        <v>9469</v>
      </c>
      <c r="G928" t="s">
        <v>9457</v>
      </c>
      <c r="H928" t="s">
        <v>74</v>
      </c>
      <c r="I928" t="s">
        <v>16876</v>
      </c>
      <c r="J928" t="s">
        <v>9459</v>
      </c>
      <c r="K928" t="s">
        <v>74</v>
      </c>
      <c r="L928" t="s">
        <v>74</v>
      </c>
      <c r="M928" t="s">
        <v>78</v>
      </c>
      <c r="N928" t="s">
        <v>16877</v>
      </c>
      <c r="O928" t="s">
        <v>74</v>
      </c>
      <c r="P928" t="s">
        <v>74</v>
      </c>
      <c r="Q928" t="s">
        <v>74</v>
      </c>
      <c r="R928" t="s">
        <v>74</v>
      </c>
      <c r="S928" t="s">
        <v>74</v>
      </c>
      <c r="T928" t="s">
        <v>74</v>
      </c>
      <c r="U928" t="s">
        <v>74</v>
      </c>
      <c r="V928" t="s">
        <v>74</v>
      </c>
      <c r="W928" t="s">
        <v>9471</v>
      </c>
      <c r="X928" t="s">
        <v>9472</v>
      </c>
      <c r="Y928" t="s">
        <v>9473</v>
      </c>
      <c r="Z928" t="s">
        <v>74</v>
      </c>
      <c r="AA928" t="s">
        <v>74</v>
      </c>
      <c r="AB928" t="s">
        <v>74</v>
      </c>
      <c r="AC928" t="s">
        <v>74</v>
      </c>
      <c r="AD928" t="s">
        <v>74</v>
      </c>
      <c r="AE928" t="s">
        <v>74</v>
      </c>
      <c r="AF928" t="s">
        <v>74</v>
      </c>
      <c r="AG928">
        <v>0</v>
      </c>
      <c r="AH928">
        <v>9</v>
      </c>
      <c r="AI928">
        <v>9</v>
      </c>
      <c r="AJ928">
        <v>0</v>
      </c>
      <c r="AK928">
        <v>2</v>
      </c>
      <c r="AL928" t="s">
        <v>1048</v>
      </c>
      <c r="AM928" t="s">
        <v>92</v>
      </c>
      <c r="AN928" t="s">
        <v>9462</v>
      </c>
      <c r="AO928" t="s">
        <v>74</v>
      </c>
      <c r="AP928" t="s">
        <v>74</v>
      </c>
      <c r="AQ928" t="s">
        <v>9463</v>
      </c>
      <c r="AR928" t="s">
        <v>74</v>
      </c>
      <c r="AS928" t="s">
        <v>74</v>
      </c>
      <c r="AT928" t="s">
        <v>74</v>
      </c>
      <c r="AU928">
        <v>2014</v>
      </c>
      <c r="AV928" t="s">
        <v>74</v>
      </c>
      <c r="AW928" t="s">
        <v>74</v>
      </c>
      <c r="AX928" t="s">
        <v>74</v>
      </c>
      <c r="AY928" t="s">
        <v>74</v>
      </c>
      <c r="AZ928" t="s">
        <v>74</v>
      </c>
      <c r="BA928" t="s">
        <v>74</v>
      </c>
      <c r="BB928">
        <v>1</v>
      </c>
      <c r="BC928">
        <v>40</v>
      </c>
      <c r="BD928" t="s">
        <v>74</v>
      </c>
      <c r="BE928" t="s">
        <v>74</v>
      </c>
      <c r="BF928" t="s">
        <v>74</v>
      </c>
      <c r="BG928" t="s">
        <v>9464</v>
      </c>
      <c r="BH928" t="s">
        <v>74</v>
      </c>
      <c r="BI928">
        <v>40</v>
      </c>
      <c r="BJ928" t="s">
        <v>9465</v>
      </c>
      <c r="BK928" t="s">
        <v>8850</v>
      </c>
      <c r="BL928" t="s">
        <v>2115</v>
      </c>
      <c r="BM928" t="s">
        <v>9466</v>
      </c>
      <c r="BN928" t="s">
        <v>74</v>
      </c>
      <c r="BO928" t="s">
        <v>74</v>
      </c>
      <c r="BP928" t="s">
        <v>74</v>
      </c>
      <c r="BQ928" t="s">
        <v>74</v>
      </c>
      <c r="BR928" t="s">
        <v>104</v>
      </c>
      <c r="BS928" t="s">
        <v>16878</v>
      </c>
      <c r="BT928" t="str">
        <f>HYPERLINK("https%3A%2F%2Fwww.webofscience.com%2Fwos%2Fwoscc%2Ffull-record%2FWOS:000353836700002","View Full Record in Web of Science")</f>
        <v>View Full Record in Web of Science</v>
      </c>
    </row>
    <row r="929" spans="1:72" x14ac:dyDescent="0.15">
      <c r="A929" t="s">
        <v>8803</v>
      </c>
      <c r="B929" t="s">
        <v>9468</v>
      </c>
      <c r="C929" t="s">
        <v>9457</v>
      </c>
      <c r="D929" t="s">
        <v>74</v>
      </c>
      <c r="E929" t="s">
        <v>74</v>
      </c>
      <c r="F929" t="s">
        <v>9469</v>
      </c>
      <c r="G929" t="s">
        <v>9457</v>
      </c>
      <c r="H929" t="s">
        <v>74</v>
      </c>
      <c r="I929" t="s">
        <v>16879</v>
      </c>
      <c r="J929" t="s">
        <v>9459</v>
      </c>
      <c r="K929" t="s">
        <v>74</v>
      </c>
      <c r="L929" t="s">
        <v>74</v>
      </c>
      <c r="M929" t="s">
        <v>78</v>
      </c>
      <c r="N929" t="s">
        <v>16877</v>
      </c>
      <c r="O929" t="s">
        <v>74</v>
      </c>
      <c r="P929" t="s">
        <v>74</v>
      </c>
      <c r="Q929" t="s">
        <v>74</v>
      </c>
      <c r="R929" t="s">
        <v>74</v>
      </c>
      <c r="S929" t="s">
        <v>74</v>
      </c>
      <c r="T929" t="s">
        <v>74</v>
      </c>
      <c r="U929" t="s">
        <v>16880</v>
      </c>
      <c r="V929" t="s">
        <v>74</v>
      </c>
      <c r="W929" t="s">
        <v>9471</v>
      </c>
      <c r="X929" t="s">
        <v>9472</v>
      </c>
      <c r="Y929" t="s">
        <v>9473</v>
      </c>
      <c r="Z929" t="s">
        <v>74</v>
      </c>
      <c r="AA929" t="s">
        <v>74</v>
      </c>
      <c r="AB929" t="s">
        <v>74</v>
      </c>
      <c r="AC929" t="s">
        <v>74</v>
      </c>
      <c r="AD929" t="s">
        <v>74</v>
      </c>
      <c r="AE929" t="s">
        <v>74</v>
      </c>
      <c r="AF929" t="s">
        <v>74</v>
      </c>
      <c r="AG929">
        <v>599</v>
      </c>
      <c r="AH929">
        <v>0</v>
      </c>
      <c r="AI929">
        <v>0</v>
      </c>
      <c r="AJ929">
        <v>0</v>
      </c>
      <c r="AK929">
        <v>9</v>
      </c>
      <c r="AL929" t="s">
        <v>1048</v>
      </c>
      <c r="AM929" t="s">
        <v>92</v>
      </c>
      <c r="AN929" t="s">
        <v>9462</v>
      </c>
      <c r="AO929" t="s">
        <v>74</v>
      </c>
      <c r="AP929" t="s">
        <v>74</v>
      </c>
      <c r="AQ929" t="s">
        <v>9463</v>
      </c>
      <c r="AR929" t="s">
        <v>74</v>
      </c>
      <c r="AS929" t="s">
        <v>74</v>
      </c>
      <c r="AT929" t="s">
        <v>74</v>
      </c>
      <c r="AU929">
        <v>2014</v>
      </c>
      <c r="AV929" t="s">
        <v>74</v>
      </c>
      <c r="AW929" t="s">
        <v>74</v>
      </c>
      <c r="AX929" t="s">
        <v>74</v>
      </c>
      <c r="AY929" t="s">
        <v>74</v>
      </c>
      <c r="AZ929" t="s">
        <v>74</v>
      </c>
      <c r="BA929" t="s">
        <v>74</v>
      </c>
      <c r="BB929" t="s">
        <v>16881</v>
      </c>
      <c r="BC929" t="s">
        <v>5223</v>
      </c>
      <c r="BD929" t="s">
        <v>74</v>
      </c>
      <c r="BE929" t="s">
        <v>74</v>
      </c>
      <c r="BF929" t="s">
        <v>74</v>
      </c>
      <c r="BG929" t="s">
        <v>9464</v>
      </c>
      <c r="BH929" t="s">
        <v>74</v>
      </c>
      <c r="BI929">
        <v>25</v>
      </c>
      <c r="BJ929" t="s">
        <v>9465</v>
      </c>
      <c r="BK929" t="s">
        <v>8850</v>
      </c>
      <c r="BL929" t="s">
        <v>2115</v>
      </c>
      <c r="BM929" t="s">
        <v>9466</v>
      </c>
      <c r="BN929" t="s">
        <v>74</v>
      </c>
      <c r="BO929" t="s">
        <v>74</v>
      </c>
      <c r="BP929" t="s">
        <v>74</v>
      </c>
      <c r="BQ929" t="s">
        <v>74</v>
      </c>
      <c r="BR929" t="s">
        <v>104</v>
      </c>
      <c r="BS929" t="s">
        <v>16882</v>
      </c>
      <c r="BT929" t="str">
        <f>HYPERLINK("https%3A%2F%2Fwww.webofscience.com%2Fwos%2Fwoscc%2Ffull-record%2FWOS:000353836700001","View Full Record in Web of Science")</f>
        <v>View Full Record in Web of Science</v>
      </c>
    </row>
    <row r="930" spans="1:72" x14ac:dyDescent="0.15">
      <c r="A930" t="s">
        <v>8803</v>
      </c>
      <c r="B930" t="s">
        <v>9468</v>
      </c>
      <c r="C930" t="s">
        <v>9457</v>
      </c>
      <c r="D930" t="s">
        <v>74</v>
      </c>
      <c r="E930" t="s">
        <v>74</v>
      </c>
      <c r="F930" t="s">
        <v>9469</v>
      </c>
      <c r="G930" t="s">
        <v>9457</v>
      </c>
      <c r="H930" t="s">
        <v>74</v>
      </c>
      <c r="I930" t="s">
        <v>16883</v>
      </c>
      <c r="J930" t="s">
        <v>9459</v>
      </c>
      <c r="K930" t="s">
        <v>74</v>
      </c>
      <c r="L930" t="s">
        <v>74</v>
      </c>
      <c r="M930" t="s">
        <v>78</v>
      </c>
      <c r="N930" t="s">
        <v>16877</v>
      </c>
      <c r="O930" t="s">
        <v>74</v>
      </c>
      <c r="P930" t="s">
        <v>74</v>
      </c>
      <c r="Q930" t="s">
        <v>74</v>
      </c>
      <c r="R930" t="s">
        <v>74</v>
      </c>
      <c r="S930" t="s">
        <v>74</v>
      </c>
      <c r="T930" t="s">
        <v>74</v>
      </c>
      <c r="U930" t="s">
        <v>74</v>
      </c>
      <c r="V930" t="s">
        <v>74</v>
      </c>
      <c r="W930" t="s">
        <v>9471</v>
      </c>
      <c r="X930" t="s">
        <v>9472</v>
      </c>
      <c r="Y930" t="s">
        <v>9473</v>
      </c>
      <c r="Z930" t="s">
        <v>74</v>
      </c>
      <c r="AA930" t="s">
        <v>74</v>
      </c>
      <c r="AB930" t="s">
        <v>74</v>
      </c>
      <c r="AC930" t="s">
        <v>74</v>
      </c>
      <c r="AD930" t="s">
        <v>74</v>
      </c>
      <c r="AE930" t="s">
        <v>74</v>
      </c>
      <c r="AF930" t="s">
        <v>74</v>
      </c>
      <c r="AG930">
        <v>0</v>
      </c>
      <c r="AH930">
        <v>0</v>
      </c>
      <c r="AI930">
        <v>0</v>
      </c>
      <c r="AJ930">
        <v>0</v>
      </c>
      <c r="AK930">
        <v>1</v>
      </c>
      <c r="AL930" t="s">
        <v>1048</v>
      </c>
      <c r="AM930" t="s">
        <v>92</v>
      </c>
      <c r="AN930" t="s">
        <v>9462</v>
      </c>
      <c r="AO930" t="s">
        <v>74</v>
      </c>
      <c r="AP930" t="s">
        <v>74</v>
      </c>
      <c r="AQ930" t="s">
        <v>9463</v>
      </c>
      <c r="AR930" t="s">
        <v>74</v>
      </c>
      <c r="AS930" t="s">
        <v>74</v>
      </c>
      <c r="AT930" t="s">
        <v>74</v>
      </c>
      <c r="AU930">
        <v>2014</v>
      </c>
      <c r="AV930" t="s">
        <v>74</v>
      </c>
      <c r="AW930" t="s">
        <v>74</v>
      </c>
      <c r="AX930" t="s">
        <v>74</v>
      </c>
      <c r="AY930" t="s">
        <v>74</v>
      </c>
      <c r="AZ930" t="s">
        <v>74</v>
      </c>
      <c r="BA930" t="s">
        <v>74</v>
      </c>
      <c r="BB930">
        <v>174</v>
      </c>
      <c r="BC930">
        <v>180</v>
      </c>
      <c r="BD930" t="s">
        <v>74</v>
      </c>
      <c r="BE930" t="s">
        <v>74</v>
      </c>
      <c r="BF930" t="s">
        <v>74</v>
      </c>
      <c r="BG930" t="s">
        <v>9464</v>
      </c>
      <c r="BH930" t="s">
        <v>74</v>
      </c>
      <c r="BI930">
        <v>7</v>
      </c>
      <c r="BJ930" t="s">
        <v>9465</v>
      </c>
      <c r="BK930" t="s">
        <v>8850</v>
      </c>
      <c r="BL930" t="s">
        <v>2115</v>
      </c>
      <c r="BM930" t="s">
        <v>9466</v>
      </c>
      <c r="BN930" t="s">
        <v>74</v>
      </c>
      <c r="BO930" t="s">
        <v>74</v>
      </c>
      <c r="BP930" t="s">
        <v>74</v>
      </c>
      <c r="BQ930" t="s">
        <v>74</v>
      </c>
      <c r="BR930" t="s">
        <v>104</v>
      </c>
      <c r="BS930" t="s">
        <v>16884</v>
      </c>
      <c r="BT930" t="str">
        <f>HYPERLINK("https%3A%2F%2Fwww.webofscience.com%2Fwos%2Fwoscc%2Ffull-record%2FWOS:000353836700008","View Full Record in Web of Science")</f>
        <v>View Full Record in Web of Science</v>
      </c>
    </row>
    <row r="931" spans="1:72" x14ac:dyDescent="0.15">
      <c r="A931" t="s">
        <v>72</v>
      </c>
      <c r="B931" t="s">
        <v>16885</v>
      </c>
      <c r="C931" t="s">
        <v>74</v>
      </c>
      <c r="D931" t="s">
        <v>74</v>
      </c>
      <c r="E931" t="s">
        <v>74</v>
      </c>
      <c r="F931" t="s">
        <v>16886</v>
      </c>
      <c r="G931" t="s">
        <v>74</v>
      </c>
      <c r="H931" t="s">
        <v>74</v>
      </c>
      <c r="I931" t="s">
        <v>16887</v>
      </c>
      <c r="J931" t="s">
        <v>3674</v>
      </c>
      <c r="K931" t="s">
        <v>74</v>
      </c>
      <c r="L931" t="s">
        <v>74</v>
      </c>
      <c r="M931" t="s">
        <v>78</v>
      </c>
      <c r="N931" t="s">
        <v>79</v>
      </c>
      <c r="O931" t="s">
        <v>74</v>
      </c>
      <c r="P931" t="s">
        <v>74</v>
      </c>
      <c r="Q931" t="s">
        <v>74</v>
      </c>
      <c r="R931" t="s">
        <v>74</v>
      </c>
      <c r="S931" t="s">
        <v>74</v>
      </c>
      <c r="T931" t="s">
        <v>16888</v>
      </c>
      <c r="U931" t="s">
        <v>1540</v>
      </c>
      <c r="V931" t="s">
        <v>16889</v>
      </c>
      <c r="W931" t="s">
        <v>16890</v>
      </c>
      <c r="X931" t="s">
        <v>16891</v>
      </c>
      <c r="Y931" t="s">
        <v>16892</v>
      </c>
      <c r="Z931" t="s">
        <v>16893</v>
      </c>
      <c r="AA931" t="s">
        <v>16894</v>
      </c>
      <c r="AB931" t="s">
        <v>16895</v>
      </c>
      <c r="AC931" t="s">
        <v>16896</v>
      </c>
      <c r="AD931" t="s">
        <v>16897</v>
      </c>
      <c r="AE931" t="s">
        <v>16898</v>
      </c>
      <c r="AF931" t="s">
        <v>74</v>
      </c>
      <c r="AG931">
        <v>28</v>
      </c>
      <c r="AH931">
        <v>32</v>
      </c>
      <c r="AI931">
        <v>35</v>
      </c>
      <c r="AJ931">
        <v>1</v>
      </c>
      <c r="AK931">
        <v>32</v>
      </c>
      <c r="AL931" t="s">
        <v>145</v>
      </c>
      <c r="AM931" t="s">
        <v>92</v>
      </c>
      <c r="AN931" t="s">
        <v>3045</v>
      </c>
      <c r="AO931" t="s">
        <v>3687</v>
      </c>
      <c r="AP931" t="s">
        <v>3688</v>
      </c>
      <c r="AQ931" t="s">
        <v>74</v>
      </c>
      <c r="AR931" t="s">
        <v>3689</v>
      </c>
      <c r="AS931" t="s">
        <v>3690</v>
      </c>
      <c r="AT931" t="s">
        <v>13186</v>
      </c>
      <c r="AU931">
        <v>2014</v>
      </c>
      <c r="AV931">
        <v>172</v>
      </c>
      <c r="AW931">
        <v>1</v>
      </c>
      <c r="AX931" t="s">
        <v>74</v>
      </c>
      <c r="AY931" t="s">
        <v>74</v>
      </c>
      <c r="AZ931" t="s">
        <v>74</v>
      </c>
      <c r="BA931" t="s">
        <v>74</v>
      </c>
      <c r="BB931">
        <v>524</v>
      </c>
      <c r="BC931">
        <v>532</v>
      </c>
      <c r="BD931" t="s">
        <v>74</v>
      </c>
      <c r="BE931" t="s">
        <v>16899</v>
      </c>
      <c r="BF931" t="str">
        <f>HYPERLINK("http://dx.doi.org/10.1007/s12010-013-0551-1","http://dx.doi.org/10.1007/s12010-013-0551-1")</f>
        <v>http://dx.doi.org/10.1007/s12010-013-0551-1</v>
      </c>
      <c r="BG931" t="s">
        <v>74</v>
      </c>
      <c r="BH931" t="s">
        <v>74</v>
      </c>
      <c r="BI931">
        <v>9</v>
      </c>
      <c r="BJ931" t="s">
        <v>3692</v>
      </c>
      <c r="BK931" t="s">
        <v>101</v>
      </c>
      <c r="BL931" t="s">
        <v>3692</v>
      </c>
      <c r="BM931" t="s">
        <v>16900</v>
      </c>
      <c r="BN931">
        <v>24096527</v>
      </c>
      <c r="BO931" t="s">
        <v>74</v>
      </c>
      <c r="BP931" t="s">
        <v>74</v>
      </c>
      <c r="BQ931" t="s">
        <v>74</v>
      </c>
      <c r="BR931" t="s">
        <v>104</v>
      </c>
      <c r="BS931" t="s">
        <v>16901</v>
      </c>
      <c r="BT931" t="str">
        <f>HYPERLINK("https%3A%2F%2Fwww.webofscience.com%2Fwos%2Fwoscc%2Ffull-record%2FWOS:000331005200043","View Full Record in Web of Science")</f>
        <v>View Full Record in Web of Science</v>
      </c>
    </row>
    <row r="932" spans="1:72" x14ac:dyDescent="0.15">
      <c r="A932" t="s">
        <v>72</v>
      </c>
      <c r="B932" t="s">
        <v>16902</v>
      </c>
      <c r="C932" t="s">
        <v>74</v>
      </c>
      <c r="D932" t="s">
        <v>74</v>
      </c>
      <c r="E932" t="s">
        <v>74</v>
      </c>
      <c r="F932" t="s">
        <v>16903</v>
      </c>
      <c r="G932" t="s">
        <v>74</v>
      </c>
      <c r="H932" t="s">
        <v>74</v>
      </c>
      <c r="I932" t="s">
        <v>16904</v>
      </c>
      <c r="J932" t="s">
        <v>10297</v>
      </c>
      <c r="K932" t="s">
        <v>74</v>
      </c>
      <c r="L932" t="s">
        <v>74</v>
      </c>
      <c r="M932" t="s">
        <v>78</v>
      </c>
      <c r="N932" t="s">
        <v>79</v>
      </c>
      <c r="O932" t="s">
        <v>74</v>
      </c>
      <c r="P932" t="s">
        <v>74</v>
      </c>
      <c r="Q932" t="s">
        <v>74</v>
      </c>
      <c r="R932" t="s">
        <v>74</v>
      </c>
      <c r="S932" t="s">
        <v>74</v>
      </c>
      <c r="T932" t="s">
        <v>16905</v>
      </c>
      <c r="U932" t="s">
        <v>16906</v>
      </c>
      <c r="V932" t="s">
        <v>16907</v>
      </c>
      <c r="W932" t="s">
        <v>16908</v>
      </c>
      <c r="X932" t="s">
        <v>16909</v>
      </c>
      <c r="Y932" t="s">
        <v>16910</v>
      </c>
      <c r="Z932" t="s">
        <v>697</v>
      </c>
      <c r="AA932" t="s">
        <v>74</v>
      </c>
      <c r="AB932" t="s">
        <v>74</v>
      </c>
      <c r="AC932" t="s">
        <v>16911</v>
      </c>
      <c r="AD932" t="s">
        <v>16912</v>
      </c>
      <c r="AE932" t="s">
        <v>16913</v>
      </c>
      <c r="AF932" t="s">
        <v>74</v>
      </c>
      <c r="AG932">
        <v>75</v>
      </c>
      <c r="AH932">
        <v>50</v>
      </c>
      <c r="AI932">
        <v>57</v>
      </c>
      <c r="AJ932">
        <v>5</v>
      </c>
      <c r="AK932">
        <v>58</v>
      </c>
      <c r="AL932" t="s">
        <v>10310</v>
      </c>
      <c r="AM932" t="s">
        <v>10311</v>
      </c>
      <c r="AN932" t="s">
        <v>10312</v>
      </c>
      <c r="AO932" t="s">
        <v>10313</v>
      </c>
      <c r="AP932" t="s">
        <v>10314</v>
      </c>
      <c r="AQ932" t="s">
        <v>74</v>
      </c>
      <c r="AR932" t="s">
        <v>10315</v>
      </c>
      <c r="AS932" t="s">
        <v>10316</v>
      </c>
      <c r="AT932" t="s">
        <v>74</v>
      </c>
      <c r="AU932">
        <v>2014</v>
      </c>
      <c r="AV932">
        <v>73</v>
      </c>
      <c r="AW932">
        <v>2</v>
      </c>
      <c r="AX932" t="s">
        <v>74</v>
      </c>
      <c r="AY932" t="s">
        <v>74</v>
      </c>
      <c r="AZ932" t="s">
        <v>74</v>
      </c>
      <c r="BA932" t="s">
        <v>74</v>
      </c>
      <c r="BB932">
        <v>107</v>
      </c>
      <c r="BC932">
        <v>121</v>
      </c>
      <c r="BD932" t="s">
        <v>74</v>
      </c>
      <c r="BE932" t="s">
        <v>16914</v>
      </c>
      <c r="BF932" t="str">
        <f>HYPERLINK("http://dx.doi.org/10.3354/ame01703","http://dx.doi.org/10.3354/ame01703")</f>
        <v>http://dx.doi.org/10.3354/ame01703</v>
      </c>
      <c r="BG932" t="s">
        <v>74</v>
      </c>
      <c r="BH932" t="s">
        <v>74</v>
      </c>
      <c r="BI932">
        <v>15</v>
      </c>
      <c r="BJ932" t="s">
        <v>10318</v>
      </c>
      <c r="BK932" t="s">
        <v>101</v>
      </c>
      <c r="BL932" t="s">
        <v>10319</v>
      </c>
      <c r="BM932" t="s">
        <v>11437</v>
      </c>
      <c r="BN932" t="s">
        <v>74</v>
      </c>
      <c r="BO932" t="s">
        <v>1056</v>
      </c>
      <c r="BP932" t="s">
        <v>74</v>
      </c>
      <c r="BQ932" t="s">
        <v>74</v>
      </c>
      <c r="BR932" t="s">
        <v>104</v>
      </c>
      <c r="BS932" t="s">
        <v>16915</v>
      </c>
      <c r="BT932" t="str">
        <f>HYPERLINK("https%3A%2F%2Fwww.webofscience.com%2Fwos%2Fwoscc%2Ffull-record%2FWOS:000343594000002","View Full Record in Web of Science")</f>
        <v>View Full Record in Web of Science</v>
      </c>
    </row>
    <row r="933" spans="1:72" x14ac:dyDescent="0.15">
      <c r="A933" t="s">
        <v>72</v>
      </c>
      <c r="B933" t="s">
        <v>16916</v>
      </c>
      <c r="C933" t="s">
        <v>74</v>
      </c>
      <c r="D933" t="s">
        <v>74</v>
      </c>
      <c r="E933" t="s">
        <v>74</v>
      </c>
      <c r="F933" t="s">
        <v>16917</v>
      </c>
      <c r="G933" t="s">
        <v>74</v>
      </c>
      <c r="H933" t="s">
        <v>74</v>
      </c>
      <c r="I933" t="s">
        <v>16918</v>
      </c>
      <c r="J933" t="s">
        <v>16919</v>
      </c>
      <c r="K933" t="s">
        <v>74</v>
      </c>
      <c r="L933" t="s">
        <v>74</v>
      </c>
      <c r="M933" t="s">
        <v>78</v>
      </c>
      <c r="N933" t="s">
        <v>79</v>
      </c>
      <c r="O933" t="s">
        <v>74</v>
      </c>
      <c r="P933" t="s">
        <v>74</v>
      </c>
      <c r="Q933" t="s">
        <v>74</v>
      </c>
      <c r="R933" t="s">
        <v>74</v>
      </c>
      <c r="S933" t="s">
        <v>74</v>
      </c>
      <c r="T933" t="s">
        <v>16920</v>
      </c>
      <c r="U933" t="s">
        <v>16921</v>
      </c>
      <c r="V933" t="s">
        <v>16922</v>
      </c>
      <c r="W933" t="s">
        <v>16923</v>
      </c>
      <c r="X933" t="s">
        <v>16924</v>
      </c>
      <c r="Y933" t="s">
        <v>16925</v>
      </c>
      <c r="Z933" t="s">
        <v>16926</v>
      </c>
      <c r="AA933" t="s">
        <v>16927</v>
      </c>
      <c r="AB933" t="s">
        <v>16928</v>
      </c>
      <c r="AC933" t="s">
        <v>16929</v>
      </c>
      <c r="AD933" t="s">
        <v>16930</v>
      </c>
      <c r="AE933" t="s">
        <v>16931</v>
      </c>
      <c r="AF933" t="s">
        <v>74</v>
      </c>
      <c r="AG933">
        <v>47</v>
      </c>
      <c r="AH933">
        <v>11</v>
      </c>
      <c r="AI933">
        <v>11</v>
      </c>
      <c r="AJ933">
        <v>2</v>
      </c>
      <c r="AK933">
        <v>5</v>
      </c>
      <c r="AL933" t="s">
        <v>16932</v>
      </c>
      <c r="AM933" t="s">
        <v>16933</v>
      </c>
      <c r="AN933" t="s">
        <v>16934</v>
      </c>
      <c r="AO933" t="s">
        <v>16935</v>
      </c>
      <c r="AP933" t="s">
        <v>16936</v>
      </c>
      <c r="AQ933" t="s">
        <v>74</v>
      </c>
      <c r="AR933" t="s">
        <v>16937</v>
      </c>
      <c r="AS933" t="s">
        <v>16938</v>
      </c>
      <c r="AT933" t="s">
        <v>13186</v>
      </c>
      <c r="AU933">
        <v>2014</v>
      </c>
      <c r="AV933">
        <v>561</v>
      </c>
      <c r="AW933" t="s">
        <v>74</v>
      </c>
      <c r="AX933" t="s">
        <v>74</v>
      </c>
      <c r="AY933" t="s">
        <v>74</v>
      </c>
      <c r="AZ933" t="s">
        <v>74</v>
      </c>
      <c r="BA933" t="s">
        <v>74</v>
      </c>
      <c r="BB933" t="s">
        <v>74</v>
      </c>
      <c r="BC933" t="s">
        <v>74</v>
      </c>
      <c r="BD933" t="s">
        <v>16939</v>
      </c>
      <c r="BE933" t="s">
        <v>16940</v>
      </c>
      <c r="BF933" t="str">
        <f>HYPERLINK("http://dx.doi.org/10.1051/0004-6361/201322199","http://dx.doi.org/10.1051/0004-6361/201322199")</f>
        <v>http://dx.doi.org/10.1051/0004-6361/201322199</v>
      </c>
      <c r="BG933" t="s">
        <v>74</v>
      </c>
      <c r="BH933" t="s">
        <v>74</v>
      </c>
      <c r="BI933">
        <v>13</v>
      </c>
      <c r="BJ933" t="s">
        <v>332</v>
      </c>
      <c r="BK933" t="s">
        <v>101</v>
      </c>
      <c r="BL933" t="s">
        <v>332</v>
      </c>
      <c r="BM933" t="s">
        <v>16941</v>
      </c>
      <c r="BN933" t="s">
        <v>74</v>
      </c>
      <c r="BO933" t="s">
        <v>15823</v>
      </c>
      <c r="BP933" t="s">
        <v>74</v>
      </c>
      <c r="BQ933" t="s">
        <v>74</v>
      </c>
      <c r="BR933" t="s">
        <v>104</v>
      </c>
      <c r="BS933" t="s">
        <v>16942</v>
      </c>
      <c r="BT933" t="str">
        <f>HYPERLINK("https%3A%2F%2Fwww.webofscience.com%2Fwos%2Fwoscc%2Ffull-record%2FWOS:000330584000107","View Full Record in Web of Science")</f>
        <v>View Full Record in Web of Science</v>
      </c>
    </row>
    <row r="934" spans="1:72" x14ac:dyDescent="0.15">
      <c r="A934" t="s">
        <v>72</v>
      </c>
      <c r="B934" t="s">
        <v>16943</v>
      </c>
      <c r="C934" t="s">
        <v>74</v>
      </c>
      <c r="D934" t="s">
        <v>74</v>
      </c>
      <c r="E934" t="s">
        <v>74</v>
      </c>
      <c r="F934" t="s">
        <v>16944</v>
      </c>
      <c r="G934" t="s">
        <v>74</v>
      </c>
      <c r="H934" t="s">
        <v>74</v>
      </c>
      <c r="I934" t="s">
        <v>16945</v>
      </c>
      <c r="J934" t="s">
        <v>16946</v>
      </c>
      <c r="K934" t="s">
        <v>74</v>
      </c>
      <c r="L934" t="s">
        <v>74</v>
      </c>
      <c r="M934" t="s">
        <v>78</v>
      </c>
      <c r="N934" t="s">
        <v>79</v>
      </c>
      <c r="O934" t="s">
        <v>74</v>
      </c>
      <c r="P934" t="s">
        <v>74</v>
      </c>
      <c r="Q934" t="s">
        <v>74</v>
      </c>
      <c r="R934" t="s">
        <v>74</v>
      </c>
      <c r="S934" t="s">
        <v>74</v>
      </c>
      <c r="T934" t="s">
        <v>16947</v>
      </c>
      <c r="U934" t="s">
        <v>74</v>
      </c>
      <c r="V934" t="s">
        <v>16948</v>
      </c>
      <c r="W934" t="s">
        <v>16949</v>
      </c>
      <c r="X934" t="s">
        <v>2789</v>
      </c>
      <c r="Y934" t="s">
        <v>16950</v>
      </c>
      <c r="Z934" t="s">
        <v>16951</v>
      </c>
      <c r="AA934" t="s">
        <v>74</v>
      </c>
      <c r="AB934" t="s">
        <v>16952</v>
      </c>
      <c r="AC934" t="s">
        <v>16953</v>
      </c>
      <c r="AD934" t="s">
        <v>16954</v>
      </c>
      <c r="AE934" t="s">
        <v>16955</v>
      </c>
      <c r="AF934" t="s">
        <v>74</v>
      </c>
      <c r="AG934">
        <v>33</v>
      </c>
      <c r="AH934">
        <v>0</v>
      </c>
      <c r="AI934">
        <v>0</v>
      </c>
      <c r="AJ934">
        <v>0</v>
      </c>
      <c r="AK934">
        <v>2</v>
      </c>
      <c r="AL934" t="s">
        <v>5746</v>
      </c>
      <c r="AM934" t="s">
        <v>5747</v>
      </c>
      <c r="AN934" t="s">
        <v>5748</v>
      </c>
      <c r="AO934" t="s">
        <v>16956</v>
      </c>
      <c r="AP934" t="s">
        <v>16957</v>
      </c>
      <c r="AQ934" t="s">
        <v>74</v>
      </c>
      <c r="AR934" t="s">
        <v>16958</v>
      </c>
      <c r="AS934" t="s">
        <v>16959</v>
      </c>
      <c r="AT934" t="s">
        <v>74</v>
      </c>
      <c r="AU934">
        <v>2014</v>
      </c>
      <c r="AV934">
        <v>7</v>
      </c>
      <c r="AW934">
        <v>4</v>
      </c>
      <c r="AX934" t="s">
        <v>74</v>
      </c>
      <c r="AY934" t="s">
        <v>74</v>
      </c>
      <c r="AZ934" t="s">
        <v>74</v>
      </c>
      <c r="BA934" t="s">
        <v>74</v>
      </c>
      <c r="BB934">
        <v>291</v>
      </c>
      <c r="BC934">
        <v>296</v>
      </c>
      <c r="BD934" t="s">
        <v>74</v>
      </c>
      <c r="BE934" t="s">
        <v>16960</v>
      </c>
      <c r="BF934" t="str">
        <f>HYPERLINK("http://dx.doi.org/10.3878/j.issn.1674-2834.13.0076","http://dx.doi.org/10.3878/j.issn.1674-2834.13.0076")</f>
        <v>http://dx.doi.org/10.3878/j.issn.1674-2834.13.0076</v>
      </c>
      <c r="BG934" t="s">
        <v>74</v>
      </c>
      <c r="BH934" t="s">
        <v>74</v>
      </c>
      <c r="BI934">
        <v>6</v>
      </c>
      <c r="BJ934" t="s">
        <v>1391</v>
      </c>
      <c r="BK934" t="s">
        <v>975</v>
      </c>
      <c r="BL934" t="s">
        <v>1391</v>
      </c>
      <c r="BM934" t="s">
        <v>16961</v>
      </c>
      <c r="BN934" t="s">
        <v>74</v>
      </c>
      <c r="BO934" t="s">
        <v>74</v>
      </c>
      <c r="BP934" t="s">
        <v>74</v>
      </c>
      <c r="BQ934" t="s">
        <v>74</v>
      </c>
      <c r="BR934" t="s">
        <v>104</v>
      </c>
      <c r="BS934" t="s">
        <v>16962</v>
      </c>
      <c r="BT934" t="str">
        <f>HYPERLINK("https%3A%2F%2Fwww.webofscience.com%2Fwos%2Fwoscc%2Ffull-record%2FWOS:000433715900006","View Full Record in Web of Science")</f>
        <v>View Full Record in Web of Science</v>
      </c>
    </row>
    <row r="935" spans="1:72" x14ac:dyDescent="0.15">
      <c r="A935" t="s">
        <v>72</v>
      </c>
      <c r="B935" t="s">
        <v>16963</v>
      </c>
      <c r="C935" t="s">
        <v>74</v>
      </c>
      <c r="D935" t="s">
        <v>74</v>
      </c>
      <c r="E935" t="s">
        <v>74</v>
      </c>
      <c r="F935" t="s">
        <v>16964</v>
      </c>
      <c r="G935" t="s">
        <v>74</v>
      </c>
      <c r="H935" t="s">
        <v>74</v>
      </c>
      <c r="I935" t="s">
        <v>16965</v>
      </c>
      <c r="J935" t="s">
        <v>16946</v>
      </c>
      <c r="K935" t="s">
        <v>74</v>
      </c>
      <c r="L935" t="s">
        <v>74</v>
      </c>
      <c r="M935" t="s">
        <v>78</v>
      </c>
      <c r="N935" t="s">
        <v>79</v>
      </c>
      <c r="O935" t="s">
        <v>74</v>
      </c>
      <c r="P935" t="s">
        <v>74</v>
      </c>
      <c r="Q935" t="s">
        <v>74</v>
      </c>
      <c r="R935" t="s">
        <v>74</v>
      </c>
      <c r="S935" t="s">
        <v>74</v>
      </c>
      <c r="T935" t="s">
        <v>16966</v>
      </c>
      <c r="U935" t="s">
        <v>16967</v>
      </c>
      <c r="V935" t="s">
        <v>16968</v>
      </c>
      <c r="W935" t="s">
        <v>16969</v>
      </c>
      <c r="X935" t="s">
        <v>5542</v>
      </c>
      <c r="Y935" t="s">
        <v>16970</v>
      </c>
      <c r="Z935" t="s">
        <v>16971</v>
      </c>
      <c r="AA935" t="s">
        <v>16972</v>
      </c>
      <c r="AB935" t="s">
        <v>16973</v>
      </c>
      <c r="AC935" t="s">
        <v>16974</v>
      </c>
      <c r="AD935" t="s">
        <v>16975</v>
      </c>
      <c r="AE935" t="s">
        <v>16976</v>
      </c>
      <c r="AF935" t="s">
        <v>74</v>
      </c>
      <c r="AG935">
        <v>20</v>
      </c>
      <c r="AH935">
        <v>2</v>
      </c>
      <c r="AI935">
        <v>3</v>
      </c>
      <c r="AJ935">
        <v>0</v>
      </c>
      <c r="AK935">
        <v>5</v>
      </c>
      <c r="AL935" t="s">
        <v>5746</v>
      </c>
      <c r="AM935" t="s">
        <v>5747</v>
      </c>
      <c r="AN935" t="s">
        <v>5748</v>
      </c>
      <c r="AO935" t="s">
        <v>16956</v>
      </c>
      <c r="AP935" t="s">
        <v>16957</v>
      </c>
      <c r="AQ935" t="s">
        <v>74</v>
      </c>
      <c r="AR935" t="s">
        <v>16958</v>
      </c>
      <c r="AS935" t="s">
        <v>16959</v>
      </c>
      <c r="AT935" t="s">
        <v>74</v>
      </c>
      <c r="AU935">
        <v>2014</v>
      </c>
      <c r="AV935">
        <v>7</v>
      </c>
      <c r="AW935">
        <v>6</v>
      </c>
      <c r="AX935" t="s">
        <v>74</v>
      </c>
      <c r="AY935" t="s">
        <v>74</v>
      </c>
      <c r="AZ935" t="s">
        <v>74</v>
      </c>
      <c r="BA935" t="s">
        <v>74</v>
      </c>
      <c r="BB935">
        <v>515</v>
      </c>
      <c r="BC935">
        <v>520</v>
      </c>
      <c r="BD935" t="s">
        <v>74</v>
      </c>
      <c r="BE935" t="s">
        <v>16977</v>
      </c>
      <c r="BF935" t="str">
        <f>HYPERLINK("http://dx.doi.org/10.3878/AOSL20140036","http://dx.doi.org/10.3878/AOSL20140036")</f>
        <v>http://dx.doi.org/10.3878/AOSL20140036</v>
      </c>
      <c r="BG935" t="s">
        <v>74</v>
      </c>
      <c r="BH935" t="s">
        <v>74</v>
      </c>
      <c r="BI935">
        <v>6</v>
      </c>
      <c r="BJ935" t="s">
        <v>1391</v>
      </c>
      <c r="BK935" t="s">
        <v>975</v>
      </c>
      <c r="BL935" t="s">
        <v>1391</v>
      </c>
      <c r="BM935" t="s">
        <v>16978</v>
      </c>
      <c r="BN935" t="s">
        <v>74</v>
      </c>
      <c r="BO935" t="s">
        <v>74</v>
      </c>
      <c r="BP935" t="s">
        <v>74</v>
      </c>
      <c r="BQ935" t="s">
        <v>74</v>
      </c>
      <c r="BR935" t="s">
        <v>104</v>
      </c>
      <c r="BS935" t="s">
        <v>16979</v>
      </c>
      <c r="BT935" t="str">
        <f>HYPERLINK("https%3A%2F%2Fwww.webofscience.com%2Fwos%2Fwoscc%2Ffull-record%2FWOS:000433717600007","View Full Record in Web of Science")</f>
        <v>View Full Record in Web of Science</v>
      </c>
    </row>
    <row r="936" spans="1:72" x14ac:dyDescent="0.15">
      <c r="A936" t="s">
        <v>72</v>
      </c>
      <c r="B936" t="s">
        <v>16980</v>
      </c>
      <c r="C936" t="s">
        <v>74</v>
      </c>
      <c r="D936" t="s">
        <v>74</v>
      </c>
      <c r="E936" t="s">
        <v>74</v>
      </c>
      <c r="F936" t="s">
        <v>16981</v>
      </c>
      <c r="G936" t="s">
        <v>74</v>
      </c>
      <c r="H936" t="s">
        <v>74</v>
      </c>
      <c r="I936" t="s">
        <v>16982</v>
      </c>
      <c r="J936" t="s">
        <v>11283</v>
      </c>
      <c r="K936" t="s">
        <v>74</v>
      </c>
      <c r="L936" t="s">
        <v>74</v>
      </c>
      <c r="M936" t="s">
        <v>78</v>
      </c>
      <c r="N936" t="s">
        <v>79</v>
      </c>
      <c r="O936" t="s">
        <v>74</v>
      </c>
      <c r="P936" t="s">
        <v>74</v>
      </c>
      <c r="Q936" t="s">
        <v>74</v>
      </c>
      <c r="R936" t="s">
        <v>74</v>
      </c>
      <c r="S936" t="s">
        <v>74</v>
      </c>
      <c r="T936" t="s">
        <v>74</v>
      </c>
      <c r="U936" t="s">
        <v>16983</v>
      </c>
      <c r="V936" t="s">
        <v>16984</v>
      </c>
      <c r="W936" t="s">
        <v>16985</v>
      </c>
      <c r="X936" t="s">
        <v>16986</v>
      </c>
      <c r="Y936" t="s">
        <v>16987</v>
      </c>
      <c r="Z936" t="s">
        <v>16988</v>
      </c>
      <c r="AA936" t="s">
        <v>16989</v>
      </c>
      <c r="AB936" t="s">
        <v>16990</v>
      </c>
      <c r="AC936" t="s">
        <v>16991</v>
      </c>
      <c r="AD936" t="s">
        <v>16992</v>
      </c>
      <c r="AE936" t="s">
        <v>16993</v>
      </c>
      <c r="AF936" t="s">
        <v>74</v>
      </c>
      <c r="AG936">
        <v>36</v>
      </c>
      <c r="AH936">
        <v>35</v>
      </c>
      <c r="AI936">
        <v>37</v>
      </c>
      <c r="AJ936">
        <v>0</v>
      </c>
      <c r="AK936">
        <v>12</v>
      </c>
      <c r="AL936" t="s">
        <v>1463</v>
      </c>
      <c r="AM936" t="s">
        <v>1464</v>
      </c>
      <c r="AN936" t="s">
        <v>1465</v>
      </c>
      <c r="AO936" t="s">
        <v>11295</v>
      </c>
      <c r="AP936" t="s">
        <v>11296</v>
      </c>
      <c r="AQ936" t="s">
        <v>74</v>
      </c>
      <c r="AR936" t="s">
        <v>11297</v>
      </c>
      <c r="AS936" t="s">
        <v>11298</v>
      </c>
      <c r="AT936" t="s">
        <v>74</v>
      </c>
      <c r="AU936">
        <v>2014</v>
      </c>
      <c r="AV936">
        <v>14</v>
      </c>
      <c r="AW936">
        <v>2</v>
      </c>
      <c r="AX936" t="s">
        <v>74</v>
      </c>
      <c r="AY936" t="s">
        <v>74</v>
      </c>
      <c r="AZ936" t="s">
        <v>74</v>
      </c>
      <c r="BA936" t="s">
        <v>74</v>
      </c>
      <c r="BB936">
        <v>1095</v>
      </c>
      <c r="BC936">
        <v>1105</v>
      </c>
      <c r="BD936" t="s">
        <v>74</v>
      </c>
      <c r="BE936" t="s">
        <v>16994</v>
      </c>
      <c r="BF936" t="str">
        <f>HYPERLINK("http://dx.doi.org/10.5194/acp-14-1095-2014","http://dx.doi.org/10.5194/acp-14-1095-2014")</f>
        <v>http://dx.doi.org/10.5194/acp-14-1095-2014</v>
      </c>
      <c r="BG936" t="s">
        <v>74</v>
      </c>
      <c r="BH936" t="s">
        <v>74</v>
      </c>
      <c r="BI936">
        <v>11</v>
      </c>
      <c r="BJ936" t="s">
        <v>3817</v>
      </c>
      <c r="BK936" t="s">
        <v>101</v>
      </c>
      <c r="BL936" t="s">
        <v>1081</v>
      </c>
      <c r="BM936" t="s">
        <v>16995</v>
      </c>
      <c r="BN936" t="s">
        <v>74</v>
      </c>
      <c r="BO936" t="s">
        <v>1472</v>
      </c>
      <c r="BP936" t="s">
        <v>74</v>
      </c>
      <c r="BQ936" t="s">
        <v>74</v>
      </c>
      <c r="BR936" t="s">
        <v>104</v>
      </c>
      <c r="BS936" t="s">
        <v>16996</v>
      </c>
      <c r="BT936" t="str">
        <f>HYPERLINK("https%3A%2F%2Fwww.webofscience.com%2Fwos%2Fwoscc%2Ffull-record%2FWOS:000330853800036","View Full Record in Web of Science")</f>
        <v>View Full Record in Web of Science</v>
      </c>
    </row>
    <row r="937" spans="1:72" x14ac:dyDescent="0.15">
      <c r="A937" t="s">
        <v>72</v>
      </c>
      <c r="B937" t="s">
        <v>16997</v>
      </c>
      <c r="C937" t="s">
        <v>74</v>
      </c>
      <c r="D937" t="s">
        <v>74</v>
      </c>
      <c r="E937" t="s">
        <v>74</v>
      </c>
      <c r="F937" t="s">
        <v>16998</v>
      </c>
      <c r="G937" t="s">
        <v>74</v>
      </c>
      <c r="H937" t="s">
        <v>74</v>
      </c>
      <c r="I937" t="s">
        <v>16999</v>
      </c>
      <c r="J937" t="s">
        <v>11283</v>
      </c>
      <c r="K937" t="s">
        <v>74</v>
      </c>
      <c r="L937" t="s">
        <v>74</v>
      </c>
      <c r="M937" t="s">
        <v>78</v>
      </c>
      <c r="N937" t="s">
        <v>933</v>
      </c>
      <c r="O937" t="s">
        <v>74</v>
      </c>
      <c r="P937" t="s">
        <v>74</v>
      </c>
      <c r="Q937" t="s">
        <v>74</v>
      </c>
      <c r="R937" t="s">
        <v>74</v>
      </c>
      <c r="S937" t="s">
        <v>74</v>
      </c>
      <c r="T937" t="s">
        <v>74</v>
      </c>
      <c r="U937" t="s">
        <v>17000</v>
      </c>
      <c r="V937" t="s">
        <v>17001</v>
      </c>
      <c r="W937" t="s">
        <v>17002</v>
      </c>
      <c r="X937" t="s">
        <v>17003</v>
      </c>
      <c r="Y937" t="s">
        <v>17004</v>
      </c>
      <c r="Z937" t="s">
        <v>17005</v>
      </c>
      <c r="AA937" t="s">
        <v>17006</v>
      </c>
      <c r="AB937" t="s">
        <v>17007</v>
      </c>
      <c r="AC937" t="s">
        <v>17008</v>
      </c>
      <c r="AD937" t="s">
        <v>17009</v>
      </c>
      <c r="AE937" t="s">
        <v>17010</v>
      </c>
      <c r="AF937" t="s">
        <v>74</v>
      </c>
      <c r="AG937">
        <v>354</v>
      </c>
      <c r="AH937">
        <v>211</v>
      </c>
      <c r="AI937">
        <v>233</v>
      </c>
      <c r="AJ937">
        <v>14</v>
      </c>
      <c r="AK937">
        <v>344</v>
      </c>
      <c r="AL937" t="s">
        <v>1463</v>
      </c>
      <c r="AM937" t="s">
        <v>1464</v>
      </c>
      <c r="AN937" t="s">
        <v>1465</v>
      </c>
      <c r="AO937" t="s">
        <v>11295</v>
      </c>
      <c r="AP937" t="s">
        <v>11296</v>
      </c>
      <c r="AQ937" t="s">
        <v>74</v>
      </c>
      <c r="AR937" t="s">
        <v>11297</v>
      </c>
      <c r="AS937" t="s">
        <v>11298</v>
      </c>
      <c r="AT937" t="s">
        <v>74</v>
      </c>
      <c r="AU937">
        <v>2014</v>
      </c>
      <c r="AV937">
        <v>14</v>
      </c>
      <c r="AW937">
        <v>3</v>
      </c>
      <c r="AX937" t="s">
        <v>74</v>
      </c>
      <c r="AY937" t="s">
        <v>74</v>
      </c>
      <c r="AZ937" t="s">
        <v>74</v>
      </c>
      <c r="BA937" t="s">
        <v>74</v>
      </c>
      <c r="BB937">
        <v>1587</v>
      </c>
      <c r="BC937">
        <v>1633</v>
      </c>
      <c r="BD937" t="s">
        <v>74</v>
      </c>
      <c r="BE937" t="s">
        <v>17011</v>
      </c>
      <c r="BF937" t="str">
        <f>HYPERLINK("http://dx.doi.org/10.5194/acp-14-1587-2014","http://dx.doi.org/10.5194/acp-14-1587-2014")</f>
        <v>http://dx.doi.org/10.5194/acp-14-1587-2014</v>
      </c>
      <c r="BG937" t="s">
        <v>74</v>
      </c>
      <c r="BH937" t="s">
        <v>74</v>
      </c>
      <c r="BI937">
        <v>47</v>
      </c>
      <c r="BJ937" t="s">
        <v>3817</v>
      </c>
      <c r="BK937" t="s">
        <v>101</v>
      </c>
      <c r="BL937" t="s">
        <v>1081</v>
      </c>
      <c r="BM937" t="s">
        <v>17012</v>
      </c>
      <c r="BN937" t="s">
        <v>74</v>
      </c>
      <c r="BO937" t="s">
        <v>17013</v>
      </c>
      <c r="BP937" t="s">
        <v>74</v>
      </c>
      <c r="BQ937" t="s">
        <v>74</v>
      </c>
      <c r="BR937" t="s">
        <v>104</v>
      </c>
      <c r="BS937" t="s">
        <v>17014</v>
      </c>
      <c r="BT937" t="str">
        <f>HYPERLINK("https%3A%2F%2Fwww.webofscience.com%2Fwos%2Fwoscc%2Ffull-record%2FWOS:000332384900028","View Full Record in Web of Science")</f>
        <v>View Full Record in Web of Science</v>
      </c>
    </row>
    <row r="938" spans="1:72" x14ac:dyDescent="0.15">
      <c r="A938" t="s">
        <v>72</v>
      </c>
      <c r="B938" t="s">
        <v>17015</v>
      </c>
      <c r="C938" t="s">
        <v>74</v>
      </c>
      <c r="D938" t="s">
        <v>74</v>
      </c>
      <c r="E938" t="s">
        <v>74</v>
      </c>
      <c r="F938" t="s">
        <v>17016</v>
      </c>
      <c r="G938" t="s">
        <v>74</v>
      </c>
      <c r="H938" t="s">
        <v>74</v>
      </c>
      <c r="I938" t="s">
        <v>17017</v>
      </c>
      <c r="J938" t="s">
        <v>11283</v>
      </c>
      <c r="K938" t="s">
        <v>74</v>
      </c>
      <c r="L938" t="s">
        <v>74</v>
      </c>
      <c r="M938" t="s">
        <v>78</v>
      </c>
      <c r="N938" t="s">
        <v>79</v>
      </c>
      <c r="O938" t="s">
        <v>74</v>
      </c>
      <c r="P938" t="s">
        <v>74</v>
      </c>
      <c r="Q938" t="s">
        <v>74</v>
      </c>
      <c r="R938" t="s">
        <v>74</v>
      </c>
      <c r="S938" t="s">
        <v>74</v>
      </c>
      <c r="T938" t="s">
        <v>74</v>
      </c>
      <c r="U938" t="s">
        <v>17018</v>
      </c>
      <c r="V938" t="s">
        <v>17019</v>
      </c>
      <c r="W938" t="s">
        <v>17020</v>
      </c>
      <c r="X938" t="s">
        <v>17021</v>
      </c>
      <c r="Y938" t="s">
        <v>17022</v>
      </c>
      <c r="Z938" t="s">
        <v>17023</v>
      </c>
      <c r="AA938" t="s">
        <v>17024</v>
      </c>
      <c r="AB938" t="s">
        <v>17025</v>
      </c>
      <c r="AC938" t="s">
        <v>17026</v>
      </c>
      <c r="AD938" t="s">
        <v>17026</v>
      </c>
      <c r="AE938" t="s">
        <v>17027</v>
      </c>
      <c r="AF938" t="s">
        <v>74</v>
      </c>
      <c r="AG938">
        <v>32</v>
      </c>
      <c r="AH938">
        <v>19</v>
      </c>
      <c r="AI938">
        <v>22</v>
      </c>
      <c r="AJ938">
        <v>1</v>
      </c>
      <c r="AK938">
        <v>22</v>
      </c>
      <c r="AL938" t="s">
        <v>1463</v>
      </c>
      <c r="AM938" t="s">
        <v>1464</v>
      </c>
      <c r="AN938" t="s">
        <v>1465</v>
      </c>
      <c r="AO938" t="s">
        <v>11295</v>
      </c>
      <c r="AP938" t="s">
        <v>11296</v>
      </c>
      <c r="AQ938" t="s">
        <v>74</v>
      </c>
      <c r="AR938" t="s">
        <v>11297</v>
      </c>
      <c r="AS938" t="s">
        <v>11298</v>
      </c>
      <c r="AT938" t="s">
        <v>74</v>
      </c>
      <c r="AU938">
        <v>2014</v>
      </c>
      <c r="AV938">
        <v>14</v>
      </c>
      <c r="AW938">
        <v>6</v>
      </c>
      <c r="AX938" t="s">
        <v>74</v>
      </c>
      <c r="AY938" t="s">
        <v>74</v>
      </c>
      <c r="AZ938" t="s">
        <v>74</v>
      </c>
      <c r="BA938" t="s">
        <v>74</v>
      </c>
      <c r="BB938">
        <v>3083</v>
      </c>
      <c r="BC938">
        <v>3093</v>
      </c>
      <c r="BD938" t="s">
        <v>74</v>
      </c>
      <c r="BE938" t="s">
        <v>17028</v>
      </c>
      <c r="BF938" t="str">
        <f>HYPERLINK("http://dx.doi.org/10.5194/acp-14-3083-2014","http://dx.doi.org/10.5194/acp-14-3083-2014")</f>
        <v>http://dx.doi.org/10.5194/acp-14-3083-2014</v>
      </c>
      <c r="BG938" t="s">
        <v>74</v>
      </c>
      <c r="BH938" t="s">
        <v>74</v>
      </c>
      <c r="BI938">
        <v>11</v>
      </c>
      <c r="BJ938" t="s">
        <v>3817</v>
      </c>
      <c r="BK938" t="s">
        <v>101</v>
      </c>
      <c r="BL938" t="s">
        <v>1081</v>
      </c>
      <c r="BM938" t="s">
        <v>14133</v>
      </c>
      <c r="BN938" t="s">
        <v>74</v>
      </c>
      <c r="BO938" t="s">
        <v>14049</v>
      </c>
      <c r="BP938" t="s">
        <v>74</v>
      </c>
      <c r="BQ938" t="s">
        <v>74</v>
      </c>
      <c r="BR938" t="s">
        <v>104</v>
      </c>
      <c r="BS938" t="s">
        <v>17029</v>
      </c>
      <c r="BT938" t="str">
        <f>HYPERLINK("https%3A%2F%2Fwww.webofscience.com%2Fwos%2Fwoscc%2Ffull-record%2FWOS:000334104700020","View Full Record in Web of Science")</f>
        <v>View Full Record in Web of Science</v>
      </c>
    </row>
    <row r="939" spans="1:72" x14ac:dyDescent="0.15">
      <c r="A939" t="s">
        <v>72</v>
      </c>
      <c r="B939" t="s">
        <v>17030</v>
      </c>
      <c r="C939" t="s">
        <v>74</v>
      </c>
      <c r="D939" t="s">
        <v>74</v>
      </c>
      <c r="E939" t="s">
        <v>74</v>
      </c>
      <c r="F939" t="s">
        <v>17031</v>
      </c>
      <c r="G939" t="s">
        <v>74</v>
      </c>
      <c r="H939" t="s">
        <v>74</v>
      </c>
      <c r="I939" t="s">
        <v>17032</v>
      </c>
      <c r="J939" t="s">
        <v>11283</v>
      </c>
      <c r="K939" t="s">
        <v>74</v>
      </c>
      <c r="L939" t="s">
        <v>74</v>
      </c>
      <c r="M939" t="s">
        <v>78</v>
      </c>
      <c r="N939" t="s">
        <v>79</v>
      </c>
      <c r="O939" t="s">
        <v>74</v>
      </c>
      <c r="P939" t="s">
        <v>74</v>
      </c>
      <c r="Q939" t="s">
        <v>74</v>
      </c>
      <c r="R939" t="s">
        <v>74</v>
      </c>
      <c r="S939" t="s">
        <v>74</v>
      </c>
      <c r="T939" t="s">
        <v>74</v>
      </c>
      <c r="U939" t="s">
        <v>17033</v>
      </c>
      <c r="V939" t="s">
        <v>17034</v>
      </c>
      <c r="W939" t="s">
        <v>17035</v>
      </c>
      <c r="X939" t="s">
        <v>17036</v>
      </c>
      <c r="Y939" t="s">
        <v>17037</v>
      </c>
      <c r="Z939" t="s">
        <v>17038</v>
      </c>
      <c r="AA939" t="s">
        <v>74</v>
      </c>
      <c r="AB939" t="s">
        <v>17039</v>
      </c>
      <c r="AC939" t="s">
        <v>17040</v>
      </c>
      <c r="AD939" t="s">
        <v>15858</v>
      </c>
      <c r="AE939" t="s">
        <v>17041</v>
      </c>
      <c r="AF939" t="s">
        <v>74</v>
      </c>
      <c r="AG939">
        <v>66</v>
      </c>
      <c r="AH939">
        <v>26</v>
      </c>
      <c r="AI939">
        <v>26</v>
      </c>
      <c r="AJ939">
        <v>1</v>
      </c>
      <c r="AK939">
        <v>22</v>
      </c>
      <c r="AL939" t="s">
        <v>1463</v>
      </c>
      <c r="AM939" t="s">
        <v>1464</v>
      </c>
      <c r="AN939" t="s">
        <v>1465</v>
      </c>
      <c r="AO939" t="s">
        <v>11295</v>
      </c>
      <c r="AP939" t="s">
        <v>11296</v>
      </c>
      <c r="AQ939" t="s">
        <v>74</v>
      </c>
      <c r="AR939" t="s">
        <v>11297</v>
      </c>
      <c r="AS939" t="s">
        <v>11298</v>
      </c>
      <c r="AT939" t="s">
        <v>74</v>
      </c>
      <c r="AU939">
        <v>2014</v>
      </c>
      <c r="AV939">
        <v>14</v>
      </c>
      <c r="AW939">
        <v>14</v>
      </c>
      <c r="AX939" t="s">
        <v>74</v>
      </c>
      <c r="AY939" t="s">
        <v>74</v>
      </c>
      <c r="AZ939" t="s">
        <v>74</v>
      </c>
      <c r="BA939" t="s">
        <v>74</v>
      </c>
      <c r="BB939">
        <v>7645</v>
      </c>
      <c r="BC939">
        <v>7663</v>
      </c>
      <c r="BD939" t="s">
        <v>74</v>
      </c>
      <c r="BE939" t="s">
        <v>17042</v>
      </c>
      <c r="BF939" t="str">
        <f>HYPERLINK("http://dx.doi.org/10.5194/acp-14-7645-2014","http://dx.doi.org/10.5194/acp-14-7645-2014")</f>
        <v>http://dx.doi.org/10.5194/acp-14-7645-2014</v>
      </c>
      <c r="BG939" t="s">
        <v>74</v>
      </c>
      <c r="BH939" t="s">
        <v>74</v>
      </c>
      <c r="BI939">
        <v>19</v>
      </c>
      <c r="BJ939" t="s">
        <v>3817</v>
      </c>
      <c r="BK939" t="s">
        <v>101</v>
      </c>
      <c r="BL939" t="s">
        <v>1081</v>
      </c>
      <c r="BM939" t="s">
        <v>17043</v>
      </c>
      <c r="BN939" t="s">
        <v>74</v>
      </c>
      <c r="BO939" t="s">
        <v>2318</v>
      </c>
      <c r="BP939" t="s">
        <v>74</v>
      </c>
      <c r="BQ939" t="s">
        <v>74</v>
      </c>
      <c r="BR939" t="s">
        <v>104</v>
      </c>
      <c r="BS939" t="s">
        <v>17044</v>
      </c>
      <c r="BT939" t="str">
        <f>HYPERLINK("https%3A%2F%2Fwww.webofscience.com%2Fwos%2Fwoscc%2Ffull-record%2FWOS:000339934900031","View Full Record in Web of Science")</f>
        <v>View Full Record in Web of Science</v>
      </c>
    </row>
    <row r="940" spans="1:72" x14ac:dyDescent="0.15">
      <c r="A940" t="s">
        <v>72</v>
      </c>
      <c r="B940" t="s">
        <v>17045</v>
      </c>
      <c r="C940" t="s">
        <v>74</v>
      </c>
      <c r="D940" t="s">
        <v>74</v>
      </c>
      <c r="E940" t="s">
        <v>74</v>
      </c>
      <c r="F940" t="s">
        <v>17046</v>
      </c>
      <c r="G940" t="s">
        <v>74</v>
      </c>
      <c r="H940" t="s">
        <v>74</v>
      </c>
      <c r="I940" t="s">
        <v>17047</v>
      </c>
      <c r="J940" t="s">
        <v>11283</v>
      </c>
      <c r="K940" t="s">
        <v>74</v>
      </c>
      <c r="L940" t="s">
        <v>74</v>
      </c>
      <c r="M940" t="s">
        <v>78</v>
      </c>
      <c r="N940" t="s">
        <v>79</v>
      </c>
      <c r="O940" t="s">
        <v>74</v>
      </c>
      <c r="P940" t="s">
        <v>74</v>
      </c>
      <c r="Q940" t="s">
        <v>74</v>
      </c>
      <c r="R940" t="s">
        <v>74</v>
      </c>
      <c r="S940" t="s">
        <v>74</v>
      </c>
      <c r="T940" t="s">
        <v>74</v>
      </c>
      <c r="U940" t="s">
        <v>17048</v>
      </c>
      <c r="V940" t="s">
        <v>17049</v>
      </c>
      <c r="W940" t="s">
        <v>17050</v>
      </c>
      <c r="X940" t="s">
        <v>17051</v>
      </c>
      <c r="Y940" t="s">
        <v>17052</v>
      </c>
      <c r="Z940" t="s">
        <v>17053</v>
      </c>
      <c r="AA940" t="s">
        <v>17054</v>
      </c>
      <c r="AB940" t="s">
        <v>17055</v>
      </c>
      <c r="AC940" t="s">
        <v>17056</v>
      </c>
      <c r="AD940" t="s">
        <v>17057</v>
      </c>
      <c r="AE940" t="s">
        <v>17058</v>
      </c>
      <c r="AF940" t="s">
        <v>74</v>
      </c>
      <c r="AG940">
        <v>33</v>
      </c>
      <c r="AH940">
        <v>17</v>
      </c>
      <c r="AI940">
        <v>17</v>
      </c>
      <c r="AJ940">
        <v>1</v>
      </c>
      <c r="AK940">
        <v>26</v>
      </c>
      <c r="AL940" t="s">
        <v>1463</v>
      </c>
      <c r="AM940" t="s">
        <v>1464</v>
      </c>
      <c r="AN940" t="s">
        <v>1465</v>
      </c>
      <c r="AO940" t="s">
        <v>11295</v>
      </c>
      <c r="AP940" t="s">
        <v>11296</v>
      </c>
      <c r="AQ940" t="s">
        <v>74</v>
      </c>
      <c r="AR940" t="s">
        <v>11297</v>
      </c>
      <c r="AS940" t="s">
        <v>11298</v>
      </c>
      <c r="AT940" t="s">
        <v>74</v>
      </c>
      <c r="AU940">
        <v>2014</v>
      </c>
      <c r="AV940">
        <v>14</v>
      </c>
      <c r="AW940">
        <v>15</v>
      </c>
      <c r="AX940" t="s">
        <v>74</v>
      </c>
      <c r="AY940" t="s">
        <v>74</v>
      </c>
      <c r="AZ940" t="s">
        <v>74</v>
      </c>
      <c r="BA940" t="s">
        <v>74</v>
      </c>
      <c r="BB940">
        <v>8137</v>
      </c>
      <c r="BC940">
        <v>8148</v>
      </c>
      <c r="BD940" t="s">
        <v>74</v>
      </c>
      <c r="BE940" t="s">
        <v>17059</v>
      </c>
      <c r="BF940" t="str">
        <f>HYPERLINK("http://dx.doi.org/10.5194/acp-14-8137-2014","http://dx.doi.org/10.5194/acp-14-8137-2014")</f>
        <v>http://dx.doi.org/10.5194/acp-14-8137-2014</v>
      </c>
      <c r="BG940" t="s">
        <v>74</v>
      </c>
      <c r="BH940" t="s">
        <v>74</v>
      </c>
      <c r="BI940">
        <v>12</v>
      </c>
      <c r="BJ940" t="s">
        <v>3817</v>
      </c>
      <c r="BK940" t="s">
        <v>101</v>
      </c>
      <c r="BL940" t="s">
        <v>1081</v>
      </c>
      <c r="BM940" t="s">
        <v>17060</v>
      </c>
      <c r="BN940" t="s">
        <v>74</v>
      </c>
      <c r="BO940" t="s">
        <v>17061</v>
      </c>
      <c r="BP940" t="s">
        <v>74</v>
      </c>
      <c r="BQ940" t="s">
        <v>74</v>
      </c>
      <c r="BR940" t="s">
        <v>104</v>
      </c>
      <c r="BS940" t="s">
        <v>17062</v>
      </c>
      <c r="BT940" t="str">
        <f>HYPERLINK("https%3A%2F%2Fwww.webofscience.com%2Fwos%2Fwoscc%2Ffull-record%2FWOS:000341103600030","View Full Record in Web of Science")</f>
        <v>View Full Record in Web of Science</v>
      </c>
    </row>
    <row r="941" spans="1:72" x14ac:dyDescent="0.15">
      <c r="A941" t="s">
        <v>72</v>
      </c>
      <c r="B941" t="s">
        <v>17063</v>
      </c>
      <c r="C941" t="s">
        <v>74</v>
      </c>
      <c r="D941" t="s">
        <v>74</v>
      </c>
      <c r="E941" t="s">
        <v>74</v>
      </c>
      <c r="F941" t="s">
        <v>17064</v>
      </c>
      <c r="G941" t="s">
        <v>74</v>
      </c>
      <c r="H941" t="s">
        <v>74</v>
      </c>
      <c r="I941" t="s">
        <v>17065</v>
      </c>
      <c r="J941" t="s">
        <v>11283</v>
      </c>
      <c r="K941" t="s">
        <v>74</v>
      </c>
      <c r="L941" t="s">
        <v>74</v>
      </c>
      <c r="M941" t="s">
        <v>78</v>
      </c>
      <c r="N941" t="s">
        <v>79</v>
      </c>
      <c r="O941" t="s">
        <v>74</v>
      </c>
      <c r="P941" t="s">
        <v>74</v>
      </c>
      <c r="Q941" t="s">
        <v>74</v>
      </c>
      <c r="R941" t="s">
        <v>74</v>
      </c>
      <c r="S941" t="s">
        <v>74</v>
      </c>
      <c r="T941" t="s">
        <v>74</v>
      </c>
      <c r="U941" t="s">
        <v>17066</v>
      </c>
      <c r="V941" t="s">
        <v>17067</v>
      </c>
      <c r="W941" t="s">
        <v>17068</v>
      </c>
      <c r="X941" t="s">
        <v>17069</v>
      </c>
      <c r="Y941" t="s">
        <v>17070</v>
      </c>
      <c r="Z941" t="s">
        <v>17071</v>
      </c>
      <c r="AA941" t="s">
        <v>74</v>
      </c>
      <c r="AB941" t="s">
        <v>17072</v>
      </c>
      <c r="AC941" t="s">
        <v>17073</v>
      </c>
      <c r="AD941" t="s">
        <v>17074</v>
      </c>
      <c r="AE941" t="s">
        <v>17075</v>
      </c>
      <c r="AF941" t="s">
        <v>74</v>
      </c>
      <c r="AG941">
        <v>38</v>
      </c>
      <c r="AH941">
        <v>29</v>
      </c>
      <c r="AI941">
        <v>35</v>
      </c>
      <c r="AJ941">
        <v>1</v>
      </c>
      <c r="AK941">
        <v>15</v>
      </c>
      <c r="AL941" t="s">
        <v>1463</v>
      </c>
      <c r="AM941" t="s">
        <v>1464</v>
      </c>
      <c r="AN941" t="s">
        <v>1465</v>
      </c>
      <c r="AO941" t="s">
        <v>11295</v>
      </c>
      <c r="AP941" t="s">
        <v>11296</v>
      </c>
      <c r="AQ941" t="s">
        <v>74</v>
      </c>
      <c r="AR941" t="s">
        <v>11297</v>
      </c>
      <c r="AS941" t="s">
        <v>11298</v>
      </c>
      <c r="AT941" t="s">
        <v>74</v>
      </c>
      <c r="AU941">
        <v>2014</v>
      </c>
      <c r="AV941">
        <v>14</v>
      </c>
      <c r="AW941">
        <v>18</v>
      </c>
      <c r="AX941" t="s">
        <v>74</v>
      </c>
      <c r="AY941" t="s">
        <v>74</v>
      </c>
      <c r="AZ941" t="s">
        <v>74</v>
      </c>
      <c r="BA941" t="s">
        <v>74</v>
      </c>
      <c r="BB941">
        <v>9481</v>
      </c>
      <c r="BC941">
        <v>9509</v>
      </c>
      <c r="BD941" t="s">
        <v>74</v>
      </c>
      <c r="BE941" t="s">
        <v>17076</v>
      </c>
      <c r="BF941" t="str">
        <f>HYPERLINK("http://dx.doi.org/10.5194/acp-14-9481-2014","http://dx.doi.org/10.5194/acp-14-9481-2014")</f>
        <v>http://dx.doi.org/10.5194/acp-14-9481-2014</v>
      </c>
      <c r="BG941" t="s">
        <v>74</v>
      </c>
      <c r="BH941" t="s">
        <v>74</v>
      </c>
      <c r="BI941">
        <v>29</v>
      </c>
      <c r="BJ941" t="s">
        <v>3817</v>
      </c>
      <c r="BK941" t="s">
        <v>101</v>
      </c>
      <c r="BL941" t="s">
        <v>1081</v>
      </c>
      <c r="BM941" t="s">
        <v>11834</v>
      </c>
      <c r="BN941" t="s">
        <v>74</v>
      </c>
      <c r="BO941" t="s">
        <v>17077</v>
      </c>
      <c r="BP941" t="s">
        <v>74</v>
      </c>
      <c r="BQ941" t="s">
        <v>74</v>
      </c>
      <c r="BR941" t="s">
        <v>104</v>
      </c>
      <c r="BS941" t="s">
        <v>17078</v>
      </c>
      <c r="BT941" t="str">
        <f>HYPERLINK("https%3A%2F%2Fwww.webofscience.com%2Fwos%2Fwoscc%2Ffull-record%2FWOS:000341993100002","View Full Record in Web of Science")</f>
        <v>View Full Record in Web of Science</v>
      </c>
    </row>
    <row r="942" spans="1:72" x14ac:dyDescent="0.15">
      <c r="A942" t="s">
        <v>72</v>
      </c>
      <c r="B942" t="s">
        <v>17079</v>
      </c>
      <c r="C942" t="s">
        <v>74</v>
      </c>
      <c r="D942" t="s">
        <v>74</v>
      </c>
      <c r="E942" t="s">
        <v>74</v>
      </c>
      <c r="F942" t="s">
        <v>17080</v>
      </c>
      <c r="G942" t="s">
        <v>74</v>
      </c>
      <c r="H942" t="s">
        <v>74</v>
      </c>
      <c r="I942" t="s">
        <v>17081</v>
      </c>
      <c r="J942" t="s">
        <v>11283</v>
      </c>
      <c r="K942" t="s">
        <v>74</v>
      </c>
      <c r="L942" t="s">
        <v>74</v>
      </c>
      <c r="M942" t="s">
        <v>78</v>
      </c>
      <c r="N942" t="s">
        <v>79</v>
      </c>
      <c r="O942" t="s">
        <v>74</v>
      </c>
      <c r="P942" t="s">
        <v>74</v>
      </c>
      <c r="Q942" t="s">
        <v>74</v>
      </c>
      <c r="R942" t="s">
        <v>74</v>
      </c>
      <c r="S942" t="s">
        <v>74</v>
      </c>
      <c r="T942" t="s">
        <v>74</v>
      </c>
      <c r="U942" t="s">
        <v>17082</v>
      </c>
      <c r="V942" t="s">
        <v>17083</v>
      </c>
      <c r="W942" t="s">
        <v>17084</v>
      </c>
      <c r="X942" t="s">
        <v>17085</v>
      </c>
      <c r="Y942" t="s">
        <v>17086</v>
      </c>
      <c r="Z942" t="s">
        <v>17087</v>
      </c>
      <c r="AA942" t="s">
        <v>17088</v>
      </c>
      <c r="AB942" t="s">
        <v>17089</v>
      </c>
      <c r="AC942" t="s">
        <v>17090</v>
      </c>
      <c r="AD942" t="s">
        <v>17091</v>
      </c>
      <c r="AE942" t="s">
        <v>17092</v>
      </c>
      <c r="AF942" t="s">
        <v>74</v>
      </c>
      <c r="AG942">
        <v>51</v>
      </c>
      <c r="AH942">
        <v>27</v>
      </c>
      <c r="AI942">
        <v>27</v>
      </c>
      <c r="AJ942">
        <v>1</v>
      </c>
      <c r="AK942">
        <v>53</v>
      </c>
      <c r="AL942" t="s">
        <v>1463</v>
      </c>
      <c r="AM942" t="s">
        <v>1464</v>
      </c>
      <c r="AN942" t="s">
        <v>1465</v>
      </c>
      <c r="AO942" t="s">
        <v>11295</v>
      </c>
      <c r="AP942" t="s">
        <v>11296</v>
      </c>
      <c r="AQ942" t="s">
        <v>74</v>
      </c>
      <c r="AR942" t="s">
        <v>11297</v>
      </c>
      <c r="AS942" t="s">
        <v>11298</v>
      </c>
      <c r="AT942" t="s">
        <v>74</v>
      </c>
      <c r="AU942">
        <v>2014</v>
      </c>
      <c r="AV942">
        <v>14</v>
      </c>
      <c r="AW942">
        <v>18</v>
      </c>
      <c r="AX942" t="s">
        <v>74</v>
      </c>
      <c r="AY942" t="s">
        <v>74</v>
      </c>
      <c r="AZ942" t="s">
        <v>74</v>
      </c>
      <c r="BA942" t="s">
        <v>74</v>
      </c>
      <c r="BB942">
        <v>9613</v>
      </c>
      <c r="BC942">
        <v>9622</v>
      </c>
      <c r="BD942" t="s">
        <v>74</v>
      </c>
      <c r="BE942" t="s">
        <v>17093</v>
      </c>
      <c r="BF942" t="str">
        <f>HYPERLINK("http://dx.doi.org/10.5194/acp-14-9613-2014","http://dx.doi.org/10.5194/acp-14-9613-2014")</f>
        <v>http://dx.doi.org/10.5194/acp-14-9613-2014</v>
      </c>
      <c r="BG942" t="s">
        <v>74</v>
      </c>
      <c r="BH942" t="s">
        <v>74</v>
      </c>
      <c r="BI942">
        <v>10</v>
      </c>
      <c r="BJ942" t="s">
        <v>3817</v>
      </c>
      <c r="BK942" t="s">
        <v>101</v>
      </c>
      <c r="BL942" t="s">
        <v>1081</v>
      </c>
      <c r="BM942" t="s">
        <v>11834</v>
      </c>
      <c r="BN942" t="s">
        <v>74</v>
      </c>
      <c r="BO942" t="s">
        <v>17094</v>
      </c>
      <c r="BP942" t="s">
        <v>74</v>
      </c>
      <c r="BQ942" t="s">
        <v>74</v>
      </c>
      <c r="BR942" t="s">
        <v>104</v>
      </c>
      <c r="BS942" t="s">
        <v>17095</v>
      </c>
      <c r="BT942" t="str">
        <f>HYPERLINK("https%3A%2F%2Fwww.webofscience.com%2Fwos%2Fwoscc%2Ffull-record%2FWOS:000341993100010","View Full Record in Web of Science")</f>
        <v>View Full Record in Web of Science</v>
      </c>
    </row>
    <row r="943" spans="1:72" x14ac:dyDescent="0.15">
      <c r="A943" t="s">
        <v>72</v>
      </c>
      <c r="B943" t="s">
        <v>17096</v>
      </c>
      <c r="C943" t="s">
        <v>74</v>
      </c>
      <c r="D943" t="s">
        <v>74</v>
      </c>
      <c r="E943" t="s">
        <v>74</v>
      </c>
      <c r="F943" t="s">
        <v>17097</v>
      </c>
      <c r="G943" t="s">
        <v>74</v>
      </c>
      <c r="H943" t="s">
        <v>74</v>
      </c>
      <c r="I943" t="s">
        <v>17098</v>
      </c>
      <c r="J943" t="s">
        <v>11283</v>
      </c>
      <c r="K943" t="s">
        <v>74</v>
      </c>
      <c r="L943" t="s">
        <v>74</v>
      </c>
      <c r="M943" t="s">
        <v>78</v>
      </c>
      <c r="N943" t="s">
        <v>79</v>
      </c>
      <c r="O943" t="s">
        <v>74</v>
      </c>
      <c r="P943" t="s">
        <v>74</v>
      </c>
      <c r="Q943" t="s">
        <v>74</v>
      </c>
      <c r="R943" t="s">
        <v>74</v>
      </c>
      <c r="S943" t="s">
        <v>74</v>
      </c>
      <c r="T943" t="s">
        <v>74</v>
      </c>
      <c r="U943" t="s">
        <v>17099</v>
      </c>
      <c r="V943" t="s">
        <v>17100</v>
      </c>
      <c r="W943" t="s">
        <v>17101</v>
      </c>
      <c r="X943" t="s">
        <v>17102</v>
      </c>
      <c r="Y943" t="s">
        <v>17103</v>
      </c>
      <c r="Z943" t="s">
        <v>17104</v>
      </c>
      <c r="AA943" t="s">
        <v>17105</v>
      </c>
      <c r="AB943" t="s">
        <v>17106</v>
      </c>
      <c r="AC943" t="s">
        <v>17107</v>
      </c>
      <c r="AD943" t="s">
        <v>17108</v>
      </c>
      <c r="AE943" t="s">
        <v>17109</v>
      </c>
      <c r="AF943" t="s">
        <v>74</v>
      </c>
      <c r="AG943">
        <v>50</v>
      </c>
      <c r="AH943">
        <v>52</v>
      </c>
      <c r="AI943">
        <v>54</v>
      </c>
      <c r="AJ943">
        <v>0</v>
      </c>
      <c r="AK943">
        <v>12</v>
      </c>
      <c r="AL943" t="s">
        <v>1463</v>
      </c>
      <c r="AM943" t="s">
        <v>1464</v>
      </c>
      <c r="AN943" t="s">
        <v>1465</v>
      </c>
      <c r="AO943" t="s">
        <v>11295</v>
      </c>
      <c r="AP943" t="s">
        <v>11296</v>
      </c>
      <c r="AQ943" t="s">
        <v>74</v>
      </c>
      <c r="AR943" t="s">
        <v>11297</v>
      </c>
      <c r="AS943" t="s">
        <v>11298</v>
      </c>
      <c r="AT943" t="s">
        <v>74</v>
      </c>
      <c r="AU943">
        <v>2014</v>
      </c>
      <c r="AV943">
        <v>14</v>
      </c>
      <c r="AW943">
        <v>18</v>
      </c>
      <c r="AX943" t="s">
        <v>74</v>
      </c>
      <c r="AY943" t="s">
        <v>74</v>
      </c>
      <c r="AZ943" t="s">
        <v>74</v>
      </c>
      <c r="BA943" t="s">
        <v>74</v>
      </c>
      <c r="BB943">
        <v>9903</v>
      </c>
      <c r="BC943">
        <v>9916</v>
      </c>
      <c r="BD943" t="s">
        <v>74</v>
      </c>
      <c r="BE943" t="s">
        <v>17110</v>
      </c>
      <c r="BF943" t="str">
        <f>HYPERLINK("http://dx.doi.org/10.5194/acp-14-9903-2014","http://dx.doi.org/10.5194/acp-14-9903-2014")</f>
        <v>http://dx.doi.org/10.5194/acp-14-9903-2014</v>
      </c>
      <c r="BG943" t="s">
        <v>74</v>
      </c>
      <c r="BH943" t="s">
        <v>74</v>
      </c>
      <c r="BI943">
        <v>14</v>
      </c>
      <c r="BJ943" t="s">
        <v>3817</v>
      </c>
      <c r="BK943" t="s">
        <v>101</v>
      </c>
      <c r="BL943" t="s">
        <v>1081</v>
      </c>
      <c r="BM943" t="s">
        <v>11834</v>
      </c>
      <c r="BN943" t="s">
        <v>74</v>
      </c>
      <c r="BO943" t="s">
        <v>9228</v>
      </c>
      <c r="BP943" t="s">
        <v>74</v>
      </c>
      <c r="BQ943" t="s">
        <v>74</v>
      </c>
      <c r="BR943" t="s">
        <v>104</v>
      </c>
      <c r="BS943" t="s">
        <v>17111</v>
      </c>
      <c r="BT943" t="str">
        <f>HYPERLINK("https%3A%2F%2Fwww.webofscience.com%2Fwos%2Fwoscc%2Ffull-record%2FWOS:000341993100026","View Full Record in Web of Science")</f>
        <v>View Full Record in Web of Science</v>
      </c>
    </row>
    <row r="944" spans="1:72" x14ac:dyDescent="0.15">
      <c r="A944" t="s">
        <v>72</v>
      </c>
      <c r="B944" t="s">
        <v>17112</v>
      </c>
      <c r="C944" t="s">
        <v>74</v>
      </c>
      <c r="D944" t="s">
        <v>74</v>
      </c>
      <c r="E944" t="s">
        <v>74</v>
      </c>
      <c r="F944" t="s">
        <v>17113</v>
      </c>
      <c r="G944" t="s">
        <v>74</v>
      </c>
      <c r="H944" t="s">
        <v>74</v>
      </c>
      <c r="I944" t="s">
        <v>17114</v>
      </c>
      <c r="J944" t="s">
        <v>11283</v>
      </c>
      <c r="K944" t="s">
        <v>74</v>
      </c>
      <c r="L944" t="s">
        <v>74</v>
      </c>
      <c r="M944" t="s">
        <v>78</v>
      </c>
      <c r="N944" t="s">
        <v>79</v>
      </c>
      <c r="O944" t="s">
        <v>74</v>
      </c>
      <c r="P944" t="s">
        <v>74</v>
      </c>
      <c r="Q944" t="s">
        <v>74</v>
      </c>
      <c r="R944" t="s">
        <v>74</v>
      </c>
      <c r="S944" t="s">
        <v>74</v>
      </c>
      <c r="T944" t="s">
        <v>74</v>
      </c>
      <c r="U944" t="s">
        <v>17115</v>
      </c>
      <c r="V944" t="s">
        <v>17116</v>
      </c>
      <c r="W944" t="s">
        <v>17117</v>
      </c>
      <c r="X944" t="s">
        <v>17118</v>
      </c>
      <c r="Y944" t="s">
        <v>17119</v>
      </c>
      <c r="Z944" t="s">
        <v>17120</v>
      </c>
      <c r="AA944" t="s">
        <v>17121</v>
      </c>
      <c r="AB944" t="s">
        <v>17122</v>
      </c>
      <c r="AC944" t="s">
        <v>17123</v>
      </c>
      <c r="AD944" t="s">
        <v>17124</v>
      </c>
      <c r="AE944" t="s">
        <v>17125</v>
      </c>
      <c r="AF944" t="s">
        <v>74</v>
      </c>
      <c r="AG944">
        <v>52</v>
      </c>
      <c r="AH944">
        <v>37</v>
      </c>
      <c r="AI944">
        <v>40</v>
      </c>
      <c r="AJ944">
        <v>2</v>
      </c>
      <c r="AK944">
        <v>43</v>
      </c>
      <c r="AL944" t="s">
        <v>1463</v>
      </c>
      <c r="AM944" t="s">
        <v>1464</v>
      </c>
      <c r="AN944" t="s">
        <v>1465</v>
      </c>
      <c r="AO944" t="s">
        <v>11295</v>
      </c>
      <c r="AP944" t="s">
        <v>11296</v>
      </c>
      <c r="AQ944" t="s">
        <v>74</v>
      </c>
      <c r="AR944" t="s">
        <v>11297</v>
      </c>
      <c r="AS944" t="s">
        <v>11298</v>
      </c>
      <c r="AT944" t="s">
        <v>74</v>
      </c>
      <c r="AU944">
        <v>2014</v>
      </c>
      <c r="AV944">
        <v>14</v>
      </c>
      <c r="AW944">
        <v>18</v>
      </c>
      <c r="AX944" t="s">
        <v>74</v>
      </c>
      <c r="AY944" t="s">
        <v>74</v>
      </c>
      <c r="AZ944" t="s">
        <v>74</v>
      </c>
      <c r="BA944" t="s">
        <v>74</v>
      </c>
      <c r="BB944">
        <v>9963</v>
      </c>
      <c r="BC944">
        <v>9976</v>
      </c>
      <c r="BD944" t="s">
        <v>74</v>
      </c>
      <c r="BE944" t="s">
        <v>17126</v>
      </c>
      <c r="BF944" t="str">
        <f>HYPERLINK("http://dx.doi.org/10.5194/acp-14-9963-2014","http://dx.doi.org/10.5194/acp-14-9963-2014")</f>
        <v>http://dx.doi.org/10.5194/acp-14-9963-2014</v>
      </c>
      <c r="BG944" t="s">
        <v>74</v>
      </c>
      <c r="BH944" t="s">
        <v>74</v>
      </c>
      <c r="BI944">
        <v>14</v>
      </c>
      <c r="BJ944" t="s">
        <v>3817</v>
      </c>
      <c r="BK944" t="s">
        <v>101</v>
      </c>
      <c r="BL944" t="s">
        <v>1081</v>
      </c>
      <c r="BM944" t="s">
        <v>11834</v>
      </c>
      <c r="BN944" t="s">
        <v>74</v>
      </c>
      <c r="BO944" t="s">
        <v>17061</v>
      </c>
      <c r="BP944" t="s">
        <v>74</v>
      </c>
      <c r="BQ944" t="s">
        <v>74</v>
      </c>
      <c r="BR944" t="s">
        <v>104</v>
      </c>
      <c r="BS944" t="s">
        <v>17127</v>
      </c>
      <c r="BT944" t="str">
        <f>HYPERLINK("https%3A%2F%2Fwww.webofscience.com%2Fwos%2Fwoscc%2Ffull-record%2FWOS:000341993100031","View Full Record in Web of Science")</f>
        <v>View Full Record in Web of Science</v>
      </c>
    </row>
    <row r="945" spans="1:72" x14ac:dyDescent="0.15">
      <c r="A945" t="s">
        <v>72</v>
      </c>
      <c r="B945" t="s">
        <v>17128</v>
      </c>
      <c r="C945" t="s">
        <v>74</v>
      </c>
      <c r="D945" t="s">
        <v>74</v>
      </c>
      <c r="E945" t="s">
        <v>74</v>
      </c>
      <c r="F945" t="s">
        <v>17129</v>
      </c>
      <c r="G945" t="s">
        <v>74</v>
      </c>
      <c r="H945" t="s">
        <v>74</v>
      </c>
      <c r="I945" t="s">
        <v>17130</v>
      </c>
      <c r="J945" t="s">
        <v>11283</v>
      </c>
      <c r="K945" t="s">
        <v>74</v>
      </c>
      <c r="L945" t="s">
        <v>74</v>
      </c>
      <c r="M945" t="s">
        <v>78</v>
      </c>
      <c r="N945" t="s">
        <v>79</v>
      </c>
      <c r="O945" t="s">
        <v>74</v>
      </c>
      <c r="P945" t="s">
        <v>74</v>
      </c>
      <c r="Q945" t="s">
        <v>74</v>
      </c>
      <c r="R945" t="s">
        <v>74</v>
      </c>
      <c r="S945" t="s">
        <v>74</v>
      </c>
      <c r="T945" t="s">
        <v>74</v>
      </c>
      <c r="U945" t="s">
        <v>17131</v>
      </c>
      <c r="V945" t="s">
        <v>17132</v>
      </c>
      <c r="W945" t="s">
        <v>17133</v>
      </c>
      <c r="X945" t="s">
        <v>124</v>
      </c>
      <c r="Y945" t="s">
        <v>17134</v>
      </c>
      <c r="Z945" t="s">
        <v>17135</v>
      </c>
      <c r="AA945" t="s">
        <v>17136</v>
      </c>
      <c r="AB945" t="s">
        <v>17137</v>
      </c>
      <c r="AC945" t="s">
        <v>17138</v>
      </c>
      <c r="AD945" t="s">
        <v>17139</v>
      </c>
      <c r="AE945" t="s">
        <v>17140</v>
      </c>
      <c r="AF945" t="s">
        <v>74</v>
      </c>
      <c r="AG945">
        <v>45</v>
      </c>
      <c r="AH945">
        <v>27</v>
      </c>
      <c r="AI945">
        <v>30</v>
      </c>
      <c r="AJ945">
        <v>0</v>
      </c>
      <c r="AK945">
        <v>41</v>
      </c>
      <c r="AL945" t="s">
        <v>1463</v>
      </c>
      <c r="AM945" t="s">
        <v>1464</v>
      </c>
      <c r="AN945" t="s">
        <v>1465</v>
      </c>
      <c r="AO945" t="s">
        <v>11295</v>
      </c>
      <c r="AP945" t="s">
        <v>11296</v>
      </c>
      <c r="AQ945" t="s">
        <v>74</v>
      </c>
      <c r="AR945" t="s">
        <v>11297</v>
      </c>
      <c r="AS945" t="s">
        <v>11298</v>
      </c>
      <c r="AT945" t="s">
        <v>74</v>
      </c>
      <c r="AU945">
        <v>2014</v>
      </c>
      <c r="AV945">
        <v>14</v>
      </c>
      <c r="AW945">
        <v>19</v>
      </c>
      <c r="AX945" t="s">
        <v>74</v>
      </c>
      <c r="AY945" t="s">
        <v>74</v>
      </c>
      <c r="AZ945" t="s">
        <v>74</v>
      </c>
      <c r="BA945" t="s">
        <v>74</v>
      </c>
      <c r="BB945">
        <v>10431</v>
      </c>
      <c r="BC945">
        <v>10438</v>
      </c>
      <c r="BD945" t="s">
        <v>74</v>
      </c>
      <c r="BE945" t="s">
        <v>17141</v>
      </c>
      <c r="BF945" t="str">
        <f>HYPERLINK("http://dx.doi.org/10.5194/acp-14-10431-2014","http://dx.doi.org/10.5194/acp-14-10431-2014")</f>
        <v>http://dx.doi.org/10.5194/acp-14-10431-2014</v>
      </c>
      <c r="BG945" t="s">
        <v>74</v>
      </c>
      <c r="BH945" t="s">
        <v>74</v>
      </c>
      <c r="BI945">
        <v>8</v>
      </c>
      <c r="BJ945" t="s">
        <v>3817</v>
      </c>
      <c r="BK945" t="s">
        <v>101</v>
      </c>
      <c r="BL945" t="s">
        <v>1081</v>
      </c>
      <c r="BM945" t="s">
        <v>17142</v>
      </c>
      <c r="BN945" t="s">
        <v>74</v>
      </c>
      <c r="BO945" t="s">
        <v>2178</v>
      </c>
      <c r="BP945" t="s">
        <v>74</v>
      </c>
      <c r="BQ945" t="s">
        <v>74</v>
      </c>
      <c r="BR945" t="s">
        <v>104</v>
      </c>
      <c r="BS945" t="s">
        <v>17143</v>
      </c>
      <c r="BT945" t="str">
        <f>HYPERLINK("https%3A%2F%2Fwww.webofscience.com%2Fwos%2Fwoscc%2Ffull-record%2FWOS:000344164800003","View Full Record in Web of Science")</f>
        <v>View Full Record in Web of Science</v>
      </c>
    </row>
    <row r="946" spans="1:72" x14ac:dyDescent="0.15">
      <c r="A946" t="s">
        <v>72</v>
      </c>
      <c r="B946" t="s">
        <v>17144</v>
      </c>
      <c r="C946" t="s">
        <v>74</v>
      </c>
      <c r="D946" t="s">
        <v>74</v>
      </c>
      <c r="E946" t="s">
        <v>74</v>
      </c>
      <c r="F946" t="s">
        <v>17145</v>
      </c>
      <c r="G946" t="s">
        <v>74</v>
      </c>
      <c r="H946" t="s">
        <v>74</v>
      </c>
      <c r="I946" t="s">
        <v>17146</v>
      </c>
      <c r="J946" t="s">
        <v>11283</v>
      </c>
      <c r="K946" t="s">
        <v>74</v>
      </c>
      <c r="L946" t="s">
        <v>74</v>
      </c>
      <c r="M946" t="s">
        <v>78</v>
      </c>
      <c r="N946" t="s">
        <v>79</v>
      </c>
      <c r="O946" t="s">
        <v>74</v>
      </c>
      <c r="P946" t="s">
        <v>74</v>
      </c>
      <c r="Q946" t="s">
        <v>74</v>
      </c>
      <c r="R946" t="s">
        <v>74</v>
      </c>
      <c r="S946" t="s">
        <v>74</v>
      </c>
      <c r="T946" t="s">
        <v>74</v>
      </c>
      <c r="U946" t="s">
        <v>17147</v>
      </c>
      <c r="V946" t="s">
        <v>17148</v>
      </c>
      <c r="W946" t="s">
        <v>17149</v>
      </c>
      <c r="X946" t="s">
        <v>773</v>
      </c>
      <c r="Y946" t="s">
        <v>17150</v>
      </c>
      <c r="Z946" t="s">
        <v>17151</v>
      </c>
      <c r="AA946" t="s">
        <v>17152</v>
      </c>
      <c r="AB946" t="s">
        <v>17153</v>
      </c>
      <c r="AC946" t="s">
        <v>17154</v>
      </c>
      <c r="AD946" t="s">
        <v>17155</v>
      </c>
      <c r="AE946" t="s">
        <v>17156</v>
      </c>
      <c r="AF946" t="s">
        <v>74</v>
      </c>
      <c r="AG946">
        <v>27</v>
      </c>
      <c r="AH946">
        <v>10</v>
      </c>
      <c r="AI946">
        <v>11</v>
      </c>
      <c r="AJ946">
        <v>0</v>
      </c>
      <c r="AK946">
        <v>15</v>
      </c>
      <c r="AL946" t="s">
        <v>1463</v>
      </c>
      <c r="AM946" t="s">
        <v>1464</v>
      </c>
      <c r="AN946" t="s">
        <v>1465</v>
      </c>
      <c r="AO946" t="s">
        <v>11295</v>
      </c>
      <c r="AP946" t="s">
        <v>11296</v>
      </c>
      <c r="AQ946" t="s">
        <v>74</v>
      </c>
      <c r="AR946" t="s">
        <v>11297</v>
      </c>
      <c r="AS946" t="s">
        <v>11298</v>
      </c>
      <c r="AT946" t="s">
        <v>74</v>
      </c>
      <c r="AU946">
        <v>2014</v>
      </c>
      <c r="AV946">
        <v>14</v>
      </c>
      <c r="AW946">
        <v>21</v>
      </c>
      <c r="AX946" t="s">
        <v>74</v>
      </c>
      <c r="AY946" t="s">
        <v>74</v>
      </c>
      <c r="AZ946" t="s">
        <v>74</v>
      </c>
      <c r="BA946" t="s">
        <v>74</v>
      </c>
      <c r="BB946">
        <v>11843</v>
      </c>
      <c r="BC946">
        <v>11851</v>
      </c>
      <c r="BD946" t="s">
        <v>74</v>
      </c>
      <c r="BE946" t="s">
        <v>17157</v>
      </c>
      <c r="BF946" t="str">
        <f>HYPERLINK("http://dx.doi.org/10.5194/acp-14-11843-2014","http://dx.doi.org/10.5194/acp-14-11843-2014")</f>
        <v>http://dx.doi.org/10.5194/acp-14-11843-2014</v>
      </c>
      <c r="BG946" t="s">
        <v>74</v>
      </c>
      <c r="BH946" t="s">
        <v>74</v>
      </c>
      <c r="BI946">
        <v>9</v>
      </c>
      <c r="BJ946" t="s">
        <v>3817</v>
      </c>
      <c r="BK946" t="s">
        <v>101</v>
      </c>
      <c r="BL946" t="s">
        <v>1081</v>
      </c>
      <c r="BM946" t="s">
        <v>17158</v>
      </c>
      <c r="BN946" t="s">
        <v>74</v>
      </c>
      <c r="BO946" t="s">
        <v>11522</v>
      </c>
      <c r="BP946" t="s">
        <v>74</v>
      </c>
      <c r="BQ946" t="s">
        <v>74</v>
      </c>
      <c r="BR946" t="s">
        <v>104</v>
      </c>
      <c r="BS946" t="s">
        <v>17159</v>
      </c>
      <c r="BT946" t="str">
        <f>HYPERLINK("https%3A%2F%2Fwww.webofscience.com%2Fwos%2Fwoscc%2Ffull-record%2FWOS:000344985700017","View Full Record in Web of Science")</f>
        <v>View Full Record in Web of Science</v>
      </c>
    </row>
    <row r="947" spans="1:72" x14ac:dyDescent="0.15">
      <c r="A947" t="s">
        <v>72</v>
      </c>
      <c r="B947" t="s">
        <v>17160</v>
      </c>
      <c r="C947" t="s">
        <v>74</v>
      </c>
      <c r="D947" t="s">
        <v>74</v>
      </c>
      <c r="E947" t="s">
        <v>74</v>
      </c>
      <c r="F947" t="s">
        <v>17161</v>
      </c>
      <c r="G947" t="s">
        <v>74</v>
      </c>
      <c r="H947" t="s">
        <v>74</v>
      </c>
      <c r="I947" t="s">
        <v>17162</v>
      </c>
      <c r="J947" t="s">
        <v>11283</v>
      </c>
      <c r="K947" t="s">
        <v>74</v>
      </c>
      <c r="L947" t="s">
        <v>74</v>
      </c>
      <c r="M947" t="s">
        <v>78</v>
      </c>
      <c r="N947" t="s">
        <v>79</v>
      </c>
      <c r="O947" t="s">
        <v>74</v>
      </c>
      <c r="P947" t="s">
        <v>74</v>
      </c>
      <c r="Q947" t="s">
        <v>74</v>
      </c>
      <c r="R947" t="s">
        <v>74</v>
      </c>
      <c r="S947" t="s">
        <v>74</v>
      </c>
      <c r="T947" t="s">
        <v>74</v>
      </c>
      <c r="U947" t="s">
        <v>17163</v>
      </c>
      <c r="V947" t="s">
        <v>17164</v>
      </c>
      <c r="W947" t="s">
        <v>17165</v>
      </c>
      <c r="X947" t="s">
        <v>17166</v>
      </c>
      <c r="Y947" t="s">
        <v>17167</v>
      </c>
      <c r="Z947" t="s">
        <v>17168</v>
      </c>
      <c r="AA947" t="s">
        <v>17169</v>
      </c>
      <c r="AB947" t="s">
        <v>17170</v>
      </c>
      <c r="AC947" t="s">
        <v>17171</v>
      </c>
      <c r="AD947" t="s">
        <v>17172</v>
      </c>
      <c r="AE947" t="s">
        <v>17173</v>
      </c>
      <c r="AF947" t="s">
        <v>74</v>
      </c>
      <c r="AG947">
        <v>57</v>
      </c>
      <c r="AH947">
        <v>35</v>
      </c>
      <c r="AI947">
        <v>36</v>
      </c>
      <c r="AJ947">
        <v>7</v>
      </c>
      <c r="AK947">
        <v>45</v>
      </c>
      <c r="AL947" t="s">
        <v>1463</v>
      </c>
      <c r="AM947" t="s">
        <v>1464</v>
      </c>
      <c r="AN947" t="s">
        <v>1465</v>
      </c>
      <c r="AO947" t="s">
        <v>11295</v>
      </c>
      <c r="AP947" t="s">
        <v>11296</v>
      </c>
      <c r="AQ947" t="s">
        <v>74</v>
      </c>
      <c r="AR947" t="s">
        <v>11297</v>
      </c>
      <c r="AS947" t="s">
        <v>11298</v>
      </c>
      <c r="AT947" t="s">
        <v>74</v>
      </c>
      <c r="AU947">
        <v>2014</v>
      </c>
      <c r="AV947">
        <v>14</v>
      </c>
      <c r="AW947">
        <v>22</v>
      </c>
      <c r="AX947" t="s">
        <v>74</v>
      </c>
      <c r="AY947" t="s">
        <v>74</v>
      </c>
      <c r="AZ947" t="s">
        <v>74</v>
      </c>
      <c r="BA947" t="s">
        <v>74</v>
      </c>
      <c r="BB947">
        <v>12373</v>
      </c>
      <c r="BC947">
        <v>12392</v>
      </c>
      <c r="BD947" t="s">
        <v>74</v>
      </c>
      <c r="BE947" t="s">
        <v>17174</v>
      </c>
      <c r="BF947" t="str">
        <f>HYPERLINK("http://dx.doi.org/10.5194/acp-14-12373-2014","http://dx.doi.org/10.5194/acp-14-12373-2014")</f>
        <v>http://dx.doi.org/10.5194/acp-14-12373-2014</v>
      </c>
      <c r="BG947" t="s">
        <v>74</v>
      </c>
      <c r="BH947" t="s">
        <v>74</v>
      </c>
      <c r="BI947">
        <v>20</v>
      </c>
      <c r="BJ947" t="s">
        <v>3817</v>
      </c>
      <c r="BK947" t="s">
        <v>101</v>
      </c>
      <c r="BL947" t="s">
        <v>1081</v>
      </c>
      <c r="BM947" t="s">
        <v>17175</v>
      </c>
      <c r="BN947" t="s">
        <v>74</v>
      </c>
      <c r="BO947" t="s">
        <v>11909</v>
      </c>
      <c r="BP947" t="s">
        <v>74</v>
      </c>
      <c r="BQ947" t="s">
        <v>74</v>
      </c>
      <c r="BR947" t="s">
        <v>104</v>
      </c>
      <c r="BS947" t="s">
        <v>17176</v>
      </c>
      <c r="BT947" t="str">
        <f>HYPERLINK("https%3A%2F%2Fwww.webofscience.com%2Fwos%2Fwoscc%2Ffull-record%2FWOS:000345290700024","View Full Record in Web of Science")</f>
        <v>View Full Record in Web of Science</v>
      </c>
    </row>
    <row r="948" spans="1:72" x14ac:dyDescent="0.15">
      <c r="A948" t="s">
        <v>72</v>
      </c>
      <c r="B948" t="s">
        <v>17177</v>
      </c>
      <c r="C948" t="s">
        <v>74</v>
      </c>
      <c r="D948" t="s">
        <v>74</v>
      </c>
      <c r="E948" t="s">
        <v>74</v>
      </c>
      <c r="F948" t="s">
        <v>17178</v>
      </c>
      <c r="G948" t="s">
        <v>74</v>
      </c>
      <c r="H948" t="s">
        <v>74</v>
      </c>
      <c r="I948" t="s">
        <v>17179</v>
      </c>
      <c r="J948" t="s">
        <v>11283</v>
      </c>
      <c r="K948" t="s">
        <v>74</v>
      </c>
      <c r="L948" t="s">
        <v>74</v>
      </c>
      <c r="M948" t="s">
        <v>78</v>
      </c>
      <c r="N948" t="s">
        <v>79</v>
      </c>
      <c r="O948" t="s">
        <v>74</v>
      </c>
      <c r="P948" t="s">
        <v>74</v>
      </c>
      <c r="Q948" t="s">
        <v>74</v>
      </c>
      <c r="R948" t="s">
        <v>74</v>
      </c>
      <c r="S948" t="s">
        <v>74</v>
      </c>
      <c r="T948" t="s">
        <v>74</v>
      </c>
      <c r="U948" t="s">
        <v>17180</v>
      </c>
      <c r="V948" t="s">
        <v>17181</v>
      </c>
      <c r="W948" t="s">
        <v>17182</v>
      </c>
      <c r="X948" t="s">
        <v>17183</v>
      </c>
      <c r="Y948" t="s">
        <v>17184</v>
      </c>
      <c r="Z948" t="s">
        <v>17185</v>
      </c>
      <c r="AA948" t="s">
        <v>17186</v>
      </c>
      <c r="AB948" t="s">
        <v>17187</v>
      </c>
      <c r="AC948" t="s">
        <v>17188</v>
      </c>
      <c r="AD948" t="s">
        <v>17189</v>
      </c>
      <c r="AE948" t="s">
        <v>17190</v>
      </c>
      <c r="AF948" t="s">
        <v>74</v>
      </c>
      <c r="AG948">
        <v>47</v>
      </c>
      <c r="AH948">
        <v>44</v>
      </c>
      <c r="AI948">
        <v>46</v>
      </c>
      <c r="AJ948">
        <v>1</v>
      </c>
      <c r="AK948">
        <v>23</v>
      </c>
      <c r="AL948" t="s">
        <v>1463</v>
      </c>
      <c r="AM948" t="s">
        <v>1464</v>
      </c>
      <c r="AN948" t="s">
        <v>1465</v>
      </c>
      <c r="AO948" t="s">
        <v>11295</v>
      </c>
      <c r="AP948" t="s">
        <v>11296</v>
      </c>
      <c r="AQ948" t="s">
        <v>74</v>
      </c>
      <c r="AR948" t="s">
        <v>11297</v>
      </c>
      <c r="AS948" t="s">
        <v>11298</v>
      </c>
      <c r="AT948" t="s">
        <v>74</v>
      </c>
      <c r="AU948">
        <v>2014</v>
      </c>
      <c r="AV948">
        <v>14</v>
      </c>
      <c r="AW948">
        <v>24</v>
      </c>
      <c r="AX948" t="s">
        <v>74</v>
      </c>
      <c r="AY948" t="s">
        <v>74</v>
      </c>
      <c r="AZ948" t="s">
        <v>74</v>
      </c>
      <c r="BA948" t="s">
        <v>74</v>
      </c>
      <c r="BB948">
        <v>13705</v>
      </c>
      <c r="BC948">
        <v>13717</v>
      </c>
      <c r="BD948" t="s">
        <v>74</v>
      </c>
      <c r="BE948" t="s">
        <v>17191</v>
      </c>
      <c r="BF948" t="str">
        <f>HYPERLINK("http://dx.doi.org/10.5194/acp-14-13705-2014","http://dx.doi.org/10.5194/acp-14-13705-2014")</f>
        <v>http://dx.doi.org/10.5194/acp-14-13705-2014</v>
      </c>
      <c r="BG948" t="s">
        <v>74</v>
      </c>
      <c r="BH948" t="s">
        <v>74</v>
      </c>
      <c r="BI948">
        <v>13</v>
      </c>
      <c r="BJ948" t="s">
        <v>3817</v>
      </c>
      <c r="BK948" t="s">
        <v>101</v>
      </c>
      <c r="BL948" t="s">
        <v>1081</v>
      </c>
      <c r="BM948" t="s">
        <v>17192</v>
      </c>
      <c r="BN948" t="s">
        <v>74</v>
      </c>
      <c r="BO948" t="s">
        <v>17193</v>
      </c>
      <c r="BP948" t="s">
        <v>74</v>
      </c>
      <c r="BQ948" t="s">
        <v>74</v>
      </c>
      <c r="BR948" t="s">
        <v>104</v>
      </c>
      <c r="BS948" t="s">
        <v>17194</v>
      </c>
      <c r="BT948" t="str">
        <f>HYPERLINK("https%3A%2F%2Fwww.webofscience.com%2Fwos%2Fwoscc%2Ffull-record%2FWOS:000347957100015","View Full Record in Web of Science")</f>
        <v>View Full Record in Web of Science</v>
      </c>
    </row>
    <row r="949" spans="1:72" x14ac:dyDescent="0.15">
      <c r="A949" t="s">
        <v>72</v>
      </c>
      <c r="B949" t="s">
        <v>17195</v>
      </c>
      <c r="C949" t="s">
        <v>74</v>
      </c>
      <c r="D949" t="s">
        <v>74</v>
      </c>
      <c r="E949" t="s">
        <v>74</v>
      </c>
      <c r="F949" t="s">
        <v>17196</v>
      </c>
      <c r="G949" t="s">
        <v>74</v>
      </c>
      <c r="H949" t="s">
        <v>74</v>
      </c>
      <c r="I949" t="s">
        <v>17197</v>
      </c>
      <c r="J949" t="s">
        <v>11504</v>
      </c>
      <c r="K949" t="s">
        <v>74</v>
      </c>
      <c r="L949" t="s">
        <v>74</v>
      </c>
      <c r="M949" t="s">
        <v>78</v>
      </c>
      <c r="N949" t="s">
        <v>79</v>
      </c>
      <c r="O949" t="s">
        <v>74</v>
      </c>
      <c r="P949" t="s">
        <v>74</v>
      </c>
      <c r="Q949" t="s">
        <v>74</v>
      </c>
      <c r="R949" t="s">
        <v>74</v>
      </c>
      <c r="S949" t="s">
        <v>74</v>
      </c>
      <c r="T949" t="s">
        <v>74</v>
      </c>
      <c r="U949" t="s">
        <v>17198</v>
      </c>
      <c r="V949" t="s">
        <v>17199</v>
      </c>
      <c r="W949" t="s">
        <v>17200</v>
      </c>
      <c r="X949" t="s">
        <v>14788</v>
      </c>
      <c r="Y949" t="s">
        <v>17201</v>
      </c>
      <c r="Z949" t="s">
        <v>17202</v>
      </c>
      <c r="AA949" t="s">
        <v>17203</v>
      </c>
      <c r="AB949" t="s">
        <v>17204</v>
      </c>
      <c r="AC949" t="s">
        <v>17205</v>
      </c>
      <c r="AD949" t="s">
        <v>17206</v>
      </c>
      <c r="AE949" t="s">
        <v>17207</v>
      </c>
      <c r="AF949" t="s">
        <v>74</v>
      </c>
      <c r="AG949">
        <v>63</v>
      </c>
      <c r="AH949">
        <v>20</v>
      </c>
      <c r="AI949">
        <v>22</v>
      </c>
      <c r="AJ949">
        <v>1</v>
      </c>
      <c r="AK949">
        <v>20</v>
      </c>
      <c r="AL949" t="s">
        <v>1463</v>
      </c>
      <c r="AM949" t="s">
        <v>1464</v>
      </c>
      <c r="AN949" t="s">
        <v>1465</v>
      </c>
      <c r="AO949" t="s">
        <v>11516</v>
      </c>
      <c r="AP949" t="s">
        <v>11517</v>
      </c>
      <c r="AQ949" t="s">
        <v>74</v>
      </c>
      <c r="AR949" t="s">
        <v>11518</v>
      </c>
      <c r="AS949" t="s">
        <v>11519</v>
      </c>
      <c r="AT949" t="s">
        <v>74</v>
      </c>
      <c r="AU949">
        <v>2014</v>
      </c>
      <c r="AV949">
        <v>7</v>
      </c>
      <c r="AW949">
        <v>8</v>
      </c>
      <c r="AX949" t="s">
        <v>74</v>
      </c>
      <c r="AY949" t="s">
        <v>74</v>
      </c>
      <c r="AZ949" t="s">
        <v>74</v>
      </c>
      <c r="BA949" t="s">
        <v>74</v>
      </c>
      <c r="BB949">
        <v>2645</v>
      </c>
      <c r="BC949">
        <v>2665</v>
      </c>
      <c r="BD949" t="s">
        <v>74</v>
      </c>
      <c r="BE949" t="s">
        <v>17208</v>
      </c>
      <c r="BF949" t="str">
        <f>HYPERLINK("http://dx.doi.org/10.5194/amt-7-2645-2014","http://dx.doi.org/10.5194/amt-7-2645-2014")</f>
        <v>http://dx.doi.org/10.5194/amt-7-2645-2014</v>
      </c>
      <c r="BG949" t="s">
        <v>74</v>
      </c>
      <c r="BH949" t="s">
        <v>74</v>
      </c>
      <c r="BI949">
        <v>21</v>
      </c>
      <c r="BJ949" t="s">
        <v>1391</v>
      </c>
      <c r="BK949" t="s">
        <v>101</v>
      </c>
      <c r="BL949" t="s">
        <v>1391</v>
      </c>
      <c r="BM949" t="s">
        <v>12043</v>
      </c>
      <c r="BN949" t="s">
        <v>74</v>
      </c>
      <c r="BO949" t="s">
        <v>1933</v>
      </c>
      <c r="BP949" t="s">
        <v>74</v>
      </c>
      <c r="BQ949" t="s">
        <v>74</v>
      </c>
      <c r="BR949" t="s">
        <v>104</v>
      </c>
      <c r="BS949" t="s">
        <v>17209</v>
      </c>
      <c r="BT949" t="str">
        <f>HYPERLINK("https%3A%2F%2Fwww.webofscience.com%2Fwos%2Fwoscc%2Ffull-record%2FWOS:000341605200017","View Full Record in Web of Science")</f>
        <v>View Full Record in Web of Science</v>
      </c>
    </row>
    <row r="950" spans="1:72" x14ac:dyDescent="0.15">
      <c r="A950" t="s">
        <v>72</v>
      </c>
      <c r="B950" t="s">
        <v>17210</v>
      </c>
      <c r="C950" t="s">
        <v>74</v>
      </c>
      <c r="D950" t="s">
        <v>74</v>
      </c>
      <c r="E950" t="s">
        <v>74</v>
      </c>
      <c r="F950" t="s">
        <v>17211</v>
      </c>
      <c r="G950" t="s">
        <v>74</v>
      </c>
      <c r="H950" t="s">
        <v>74</v>
      </c>
      <c r="I950" t="s">
        <v>17212</v>
      </c>
      <c r="J950" t="s">
        <v>17213</v>
      </c>
      <c r="K950" t="s">
        <v>74</v>
      </c>
      <c r="L950" t="s">
        <v>74</v>
      </c>
      <c r="M950" t="s">
        <v>78</v>
      </c>
      <c r="N950" t="s">
        <v>79</v>
      </c>
      <c r="O950" t="s">
        <v>74</v>
      </c>
      <c r="P950" t="s">
        <v>74</v>
      </c>
      <c r="Q950" t="s">
        <v>74</v>
      </c>
      <c r="R950" t="s">
        <v>74</v>
      </c>
      <c r="S950" t="s">
        <v>74</v>
      </c>
      <c r="T950" t="s">
        <v>17214</v>
      </c>
      <c r="U950" t="s">
        <v>17215</v>
      </c>
      <c r="V950" t="s">
        <v>17216</v>
      </c>
      <c r="W950" t="s">
        <v>17217</v>
      </c>
      <c r="X950" t="s">
        <v>17218</v>
      </c>
      <c r="Y950" t="s">
        <v>17219</v>
      </c>
      <c r="Z950" t="s">
        <v>17220</v>
      </c>
      <c r="AA950" t="s">
        <v>17221</v>
      </c>
      <c r="AB950" t="s">
        <v>17222</v>
      </c>
      <c r="AC950" t="s">
        <v>17223</v>
      </c>
      <c r="AD950" t="s">
        <v>17224</v>
      </c>
      <c r="AE950" t="s">
        <v>17225</v>
      </c>
      <c r="AF950" t="s">
        <v>74</v>
      </c>
      <c r="AG950">
        <v>33</v>
      </c>
      <c r="AH950">
        <v>15</v>
      </c>
      <c r="AI950">
        <v>19</v>
      </c>
      <c r="AJ950">
        <v>0</v>
      </c>
      <c r="AK950">
        <v>24</v>
      </c>
      <c r="AL950" t="s">
        <v>2996</v>
      </c>
      <c r="AM950" t="s">
        <v>404</v>
      </c>
      <c r="AN950" t="s">
        <v>405</v>
      </c>
      <c r="AO950" t="s">
        <v>17226</v>
      </c>
      <c r="AP950" t="s">
        <v>74</v>
      </c>
      <c r="AQ950" t="s">
        <v>74</v>
      </c>
      <c r="AR950" t="s">
        <v>17227</v>
      </c>
      <c r="AS950" t="s">
        <v>17228</v>
      </c>
      <c r="AT950" t="s">
        <v>13186</v>
      </c>
      <c r="AU950">
        <v>2014</v>
      </c>
      <c r="AV950">
        <v>15</v>
      </c>
      <c r="AW950">
        <v>1</v>
      </c>
      <c r="AX950" t="s">
        <v>74</v>
      </c>
      <c r="AY950" t="s">
        <v>74</v>
      </c>
      <c r="AZ950" t="s">
        <v>74</v>
      </c>
      <c r="BA950" t="s">
        <v>74</v>
      </c>
      <c r="BB950">
        <v>29</v>
      </c>
      <c r="BC950">
        <v>36</v>
      </c>
      <c r="BD950" t="s">
        <v>74</v>
      </c>
      <c r="BE950" t="s">
        <v>17229</v>
      </c>
      <c r="BF950" t="str">
        <f>HYPERLINK("http://dx.doi.org/10.1002/asl2.458","http://dx.doi.org/10.1002/asl2.458")</f>
        <v>http://dx.doi.org/10.1002/asl2.458</v>
      </c>
      <c r="BG950" t="s">
        <v>74</v>
      </c>
      <c r="BH950" t="s">
        <v>74</v>
      </c>
      <c r="BI950">
        <v>8</v>
      </c>
      <c r="BJ950" t="s">
        <v>3241</v>
      </c>
      <c r="BK950" t="s">
        <v>101</v>
      </c>
      <c r="BL950" t="s">
        <v>3241</v>
      </c>
      <c r="BM950" t="s">
        <v>17230</v>
      </c>
      <c r="BN950" t="s">
        <v>74</v>
      </c>
      <c r="BO950" t="s">
        <v>74</v>
      </c>
      <c r="BP950" t="s">
        <v>74</v>
      </c>
      <c r="BQ950" t="s">
        <v>74</v>
      </c>
      <c r="BR950" t="s">
        <v>104</v>
      </c>
      <c r="BS950" t="s">
        <v>17231</v>
      </c>
      <c r="BT950" t="str">
        <f>HYPERLINK("https%3A%2F%2Fwww.webofscience.com%2Fwos%2Fwoscc%2Ffull-record%2FWOS:000329924000005","View Full Record in Web of Science")</f>
        <v>View Full Record in Web of Science</v>
      </c>
    </row>
    <row r="951" spans="1:72" x14ac:dyDescent="0.15">
      <c r="A951" t="s">
        <v>72</v>
      </c>
      <c r="B951" t="s">
        <v>10761</v>
      </c>
      <c r="C951" t="s">
        <v>74</v>
      </c>
      <c r="D951" t="s">
        <v>74</v>
      </c>
      <c r="E951" t="s">
        <v>74</v>
      </c>
      <c r="F951" t="s">
        <v>10762</v>
      </c>
      <c r="G951" t="s">
        <v>74</v>
      </c>
      <c r="H951" t="s">
        <v>74</v>
      </c>
      <c r="I951" t="s">
        <v>17232</v>
      </c>
      <c r="J951" t="s">
        <v>17233</v>
      </c>
      <c r="K951" t="s">
        <v>74</v>
      </c>
      <c r="L951" t="s">
        <v>74</v>
      </c>
      <c r="M951" t="s">
        <v>78</v>
      </c>
      <c r="N951" t="s">
        <v>79</v>
      </c>
      <c r="O951" t="s">
        <v>74</v>
      </c>
      <c r="P951" t="s">
        <v>74</v>
      </c>
      <c r="Q951" t="s">
        <v>74</v>
      </c>
      <c r="R951" t="s">
        <v>74</v>
      </c>
      <c r="S951" t="s">
        <v>74</v>
      </c>
      <c r="T951" t="s">
        <v>17234</v>
      </c>
      <c r="U951" t="s">
        <v>17235</v>
      </c>
      <c r="V951" t="s">
        <v>17236</v>
      </c>
      <c r="W951" t="s">
        <v>17237</v>
      </c>
      <c r="X951" t="s">
        <v>17238</v>
      </c>
      <c r="Y951" t="s">
        <v>17239</v>
      </c>
      <c r="Z951" t="s">
        <v>17240</v>
      </c>
      <c r="AA951" t="s">
        <v>17241</v>
      </c>
      <c r="AB951" t="s">
        <v>17242</v>
      </c>
      <c r="AC951" t="s">
        <v>17243</v>
      </c>
      <c r="AD951" t="s">
        <v>17244</v>
      </c>
      <c r="AE951" t="s">
        <v>17245</v>
      </c>
      <c r="AF951" t="s">
        <v>74</v>
      </c>
      <c r="AG951">
        <v>71</v>
      </c>
      <c r="AH951">
        <v>11</v>
      </c>
      <c r="AI951">
        <v>12</v>
      </c>
      <c r="AJ951">
        <v>0</v>
      </c>
      <c r="AK951">
        <v>0</v>
      </c>
      <c r="AL951" t="s">
        <v>17246</v>
      </c>
      <c r="AM951" t="s">
        <v>17247</v>
      </c>
      <c r="AN951" t="s">
        <v>17248</v>
      </c>
      <c r="AO951" t="s">
        <v>17249</v>
      </c>
      <c r="AP951" t="s">
        <v>74</v>
      </c>
      <c r="AQ951" t="s">
        <v>74</v>
      </c>
      <c r="AR951" t="s">
        <v>17250</v>
      </c>
      <c r="AS951" t="s">
        <v>17251</v>
      </c>
      <c r="AT951" t="s">
        <v>74</v>
      </c>
      <c r="AU951">
        <v>2014</v>
      </c>
      <c r="AV951">
        <v>20</v>
      </c>
      <c r="AW951">
        <v>2</v>
      </c>
      <c r="AX951" t="s">
        <v>74</v>
      </c>
      <c r="AY951" t="s">
        <v>74</v>
      </c>
      <c r="AZ951" t="s">
        <v>74</v>
      </c>
      <c r="BA951" t="s">
        <v>74</v>
      </c>
      <c r="BB951">
        <v>286</v>
      </c>
      <c r="BC951">
        <v>324</v>
      </c>
      <c r="BD951" t="s">
        <v>74</v>
      </c>
      <c r="BE951" t="s">
        <v>74</v>
      </c>
      <c r="BF951" t="s">
        <v>74</v>
      </c>
      <c r="BG951" t="s">
        <v>74</v>
      </c>
      <c r="BH951" t="s">
        <v>74</v>
      </c>
      <c r="BI951">
        <v>39</v>
      </c>
      <c r="BJ951" t="s">
        <v>9852</v>
      </c>
      <c r="BK951" t="s">
        <v>975</v>
      </c>
      <c r="BL951" t="s">
        <v>9853</v>
      </c>
      <c r="BM951" t="s">
        <v>17252</v>
      </c>
      <c r="BN951" t="s">
        <v>74</v>
      </c>
      <c r="BO951" t="s">
        <v>74</v>
      </c>
      <c r="BP951" t="s">
        <v>74</v>
      </c>
      <c r="BQ951" t="s">
        <v>74</v>
      </c>
      <c r="BR951" t="s">
        <v>104</v>
      </c>
      <c r="BS951" t="s">
        <v>17253</v>
      </c>
      <c r="BT951" t="str">
        <f>HYPERLINK("https%3A%2F%2Fwww.webofscience.com%2Fwos%2Fwoscc%2Ffull-record%2FWOS:000213552500004","View Full Record in Web of Science")</f>
        <v>View Full Record in Web of Science</v>
      </c>
    </row>
    <row r="952" spans="1:72" x14ac:dyDescent="0.15">
      <c r="A952" t="s">
        <v>72</v>
      </c>
      <c r="B952" t="s">
        <v>17254</v>
      </c>
      <c r="C952" t="s">
        <v>74</v>
      </c>
      <c r="D952" t="s">
        <v>74</v>
      </c>
      <c r="E952" t="s">
        <v>74</v>
      </c>
      <c r="F952" t="s">
        <v>17255</v>
      </c>
      <c r="G952" t="s">
        <v>74</v>
      </c>
      <c r="H952" t="s">
        <v>74</v>
      </c>
      <c r="I952" t="s">
        <v>17256</v>
      </c>
      <c r="J952" t="s">
        <v>17257</v>
      </c>
      <c r="K952" t="s">
        <v>74</v>
      </c>
      <c r="L952" t="s">
        <v>74</v>
      </c>
      <c r="M952" t="s">
        <v>78</v>
      </c>
      <c r="N952" t="s">
        <v>79</v>
      </c>
      <c r="O952" t="s">
        <v>74</v>
      </c>
      <c r="P952" t="s">
        <v>74</v>
      </c>
      <c r="Q952" t="s">
        <v>74</v>
      </c>
      <c r="R952" t="s">
        <v>74</v>
      </c>
      <c r="S952" t="s">
        <v>74</v>
      </c>
      <c r="T952" t="s">
        <v>17258</v>
      </c>
      <c r="U952" t="s">
        <v>17259</v>
      </c>
      <c r="V952" t="s">
        <v>17260</v>
      </c>
      <c r="W952" t="s">
        <v>17261</v>
      </c>
      <c r="X952" t="s">
        <v>17262</v>
      </c>
      <c r="Y952" t="s">
        <v>17263</v>
      </c>
      <c r="Z952" t="s">
        <v>17264</v>
      </c>
      <c r="AA952" t="s">
        <v>74</v>
      </c>
      <c r="AB952" t="s">
        <v>17265</v>
      </c>
      <c r="AC952" t="s">
        <v>17266</v>
      </c>
      <c r="AD952" t="s">
        <v>17267</v>
      </c>
      <c r="AE952" t="s">
        <v>17268</v>
      </c>
      <c r="AF952" t="s">
        <v>74</v>
      </c>
      <c r="AG952">
        <v>47</v>
      </c>
      <c r="AH952">
        <v>27</v>
      </c>
      <c r="AI952">
        <v>29</v>
      </c>
      <c r="AJ952">
        <v>1</v>
      </c>
      <c r="AK952">
        <v>70</v>
      </c>
      <c r="AL952" t="s">
        <v>17269</v>
      </c>
      <c r="AM952" t="s">
        <v>17270</v>
      </c>
      <c r="AN952" t="s">
        <v>17271</v>
      </c>
      <c r="AO952" t="s">
        <v>17272</v>
      </c>
      <c r="AP952" t="s">
        <v>17273</v>
      </c>
      <c r="AQ952" t="s">
        <v>74</v>
      </c>
      <c r="AR952" t="s">
        <v>17257</v>
      </c>
      <c r="AS952" t="s">
        <v>17274</v>
      </c>
      <c r="AT952" t="s">
        <v>74</v>
      </c>
      <c r="AU952">
        <v>2014</v>
      </c>
      <c r="AV952">
        <v>151</v>
      </c>
      <c r="AW952">
        <v>5</v>
      </c>
      <c r="AX952" t="s">
        <v>74</v>
      </c>
      <c r="AY952" t="s">
        <v>74</v>
      </c>
      <c r="AZ952" t="s">
        <v>74</v>
      </c>
      <c r="BA952" t="s">
        <v>74</v>
      </c>
      <c r="BB952">
        <v>683</v>
      </c>
      <c r="BC952">
        <v>701</v>
      </c>
      <c r="BD952" t="s">
        <v>74</v>
      </c>
      <c r="BE952" t="s">
        <v>17275</v>
      </c>
      <c r="BF952" t="str">
        <f>HYPERLINK("http://dx.doi.org/10.1163/1568539X-00003163","http://dx.doi.org/10.1163/1568539X-00003163")</f>
        <v>http://dx.doi.org/10.1163/1568539X-00003163</v>
      </c>
      <c r="BG952" t="s">
        <v>74</v>
      </c>
      <c r="BH952" t="s">
        <v>74</v>
      </c>
      <c r="BI952">
        <v>19</v>
      </c>
      <c r="BJ952" t="s">
        <v>17276</v>
      </c>
      <c r="BK952" t="s">
        <v>101</v>
      </c>
      <c r="BL952" t="s">
        <v>17276</v>
      </c>
      <c r="BM952" t="s">
        <v>17277</v>
      </c>
      <c r="BN952" t="s">
        <v>74</v>
      </c>
      <c r="BO952" t="s">
        <v>252</v>
      </c>
      <c r="BP952" t="s">
        <v>74</v>
      </c>
      <c r="BQ952" t="s">
        <v>74</v>
      </c>
      <c r="BR952" t="s">
        <v>104</v>
      </c>
      <c r="BS952" t="s">
        <v>17278</v>
      </c>
      <c r="BT952" t="str">
        <f>HYPERLINK("https%3A%2F%2Fwww.webofscience.com%2Fwos%2Fwoscc%2Ffull-record%2FWOS:000333546700008","View Full Record in Web of Science")</f>
        <v>View Full Record in Web of Science</v>
      </c>
    </row>
    <row r="953" spans="1:72" x14ac:dyDescent="0.15">
      <c r="A953" t="s">
        <v>72</v>
      </c>
      <c r="B953" t="s">
        <v>17279</v>
      </c>
      <c r="C953" t="s">
        <v>74</v>
      </c>
      <c r="D953" t="s">
        <v>74</v>
      </c>
      <c r="E953" t="s">
        <v>74</v>
      </c>
      <c r="F953" t="s">
        <v>17280</v>
      </c>
      <c r="G953" t="s">
        <v>74</v>
      </c>
      <c r="H953" t="s">
        <v>74</v>
      </c>
      <c r="I953" t="s">
        <v>17281</v>
      </c>
      <c r="J953" t="s">
        <v>11305</v>
      </c>
      <c r="K953" t="s">
        <v>74</v>
      </c>
      <c r="L953" t="s">
        <v>74</v>
      </c>
      <c r="M953" t="s">
        <v>78</v>
      </c>
      <c r="N953" t="s">
        <v>79</v>
      </c>
      <c r="O953" t="s">
        <v>74</v>
      </c>
      <c r="P953" t="s">
        <v>74</v>
      </c>
      <c r="Q953" t="s">
        <v>74</v>
      </c>
      <c r="R953" t="s">
        <v>74</v>
      </c>
      <c r="S953" t="s">
        <v>74</v>
      </c>
      <c r="T953" t="s">
        <v>74</v>
      </c>
      <c r="U953" t="s">
        <v>17282</v>
      </c>
      <c r="V953" t="s">
        <v>17283</v>
      </c>
      <c r="W953" t="s">
        <v>17284</v>
      </c>
      <c r="X953" t="s">
        <v>17285</v>
      </c>
      <c r="Y953" t="s">
        <v>17286</v>
      </c>
      <c r="Z953" t="s">
        <v>17287</v>
      </c>
      <c r="AA953" t="s">
        <v>17288</v>
      </c>
      <c r="AB953" t="s">
        <v>17289</v>
      </c>
      <c r="AC953" t="s">
        <v>17290</v>
      </c>
      <c r="AD953" t="s">
        <v>17291</v>
      </c>
      <c r="AE953" t="s">
        <v>17292</v>
      </c>
      <c r="AF953" t="s">
        <v>74</v>
      </c>
      <c r="AG953">
        <v>79</v>
      </c>
      <c r="AH953">
        <v>33</v>
      </c>
      <c r="AI953">
        <v>42</v>
      </c>
      <c r="AJ953">
        <v>0</v>
      </c>
      <c r="AK953">
        <v>89</v>
      </c>
      <c r="AL953" t="s">
        <v>1463</v>
      </c>
      <c r="AM953" t="s">
        <v>1464</v>
      </c>
      <c r="AN953" t="s">
        <v>1465</v>
      </c>
      <c r="AO953" t="s">
        <v>11316</v>
      </c>
      <c r="AP953" t="s">
        <v>11317</v>
      </c>
      <c r="AQ953" t="s">
        <v>74</v>
      </c>
      <c r="AR953" t="s">
        <v>11305</v>
      </c>
      <c r="AS953" t="s">
        <v>11318</v>
      </c>
      <c r="AT953" t="s">
        <v>74</v>
      </c>
      <c r="AU953">
        <v>2014</v>
      </c>
      <c r="AV953">
        <v>11</v>
      </c>
      <c r="AW953">
        <v>1</v>
      </c>
      <c r="AX953" t="s">
        <v>74</v>
      </c>
      <c r="AY953" t="s">
        <v>74</v>
      </c>
      <c r="AZ953" t="s">
        <v>74</v>
      </c>
      <c r="BA953" t="s">
        <v>74</v>
      </c>
      <c r="BB953">
        <v>1</v>
      </c>
      <c r="BC953">
        <v>15</v>
      </c>
      <c r="BD953" t="s">
        <v>74</v>
      </c>
      <c r="BE953" t="s">
        <v>17293</v>
      </c>
      <c r="BF953" t="str">
        <f>HYPERLINK("http://dx.doi.org/10.5194/bg-11-1-2014","http://dx.doi.org/10.5194/bg-11-1-2014")</f>
        <v>http://dx.doi.org/10.5194/bg-11-1-2014</v>
      </c>
      <c r="BG953" t="s">
        <v>74</v>
      </c>
      <c r="BH953" t="s">
        <v>74</v>
      </c>
      <c r="BI953">
        <v>15</v>
      </c>
      <c r="BJ953" t="s">
        <v>2923</v>
      </c>
      <c r="BK953" t="s">
        <v>101</v>
      </c>
      <c r="BL953" t="s">
        <v>357</v>
      </c>
      <c r="BM953" t="s">
        <v>15416</v>
      </c>
      <c r="BN953" t="s">
        <v>74</v>
      </c>
      <c r="BO953" t="s">
        <v>6156</v>
      </c>
      <c r="BP953" t="s">
        <v>74</v>
      </c>
      <c r="BQ953" t="s">
        <v>74</v>
      </c>
      <c r="BR953" t="s">
        <v>104</v>
      </c>
      <c r="BS953" t="s">
        <v>17294</v>
      </c>
      <c r="BT953" t="str">
        <f>HYPERLINK("https%3A%2F%2Fwww.webofscience.com%2Fwos%2Fwoscc%2Ffull-record%2FWOS:000329930700001","View Full Record in Web of Science")</f>
        <v>View Full Record in Web of Science</v>
      </c>
    </row>
    <row r="954" spans="1:72" x14ac:dyDescent="0.15">
      <c r="A954" t="s">
        <v>72</v>
      </c>
      <c r="B954" t="s">
        <v>17295</v>
      </c>
      <c r="C954" t="s">
        <v>74</v>
      </c>
      <c r="D954" t="s">
        <v>74</v>
      </c>
      <c r="E954" t="s">
        <v>74</v>
      </c>
      <c r="F954" t="s">
        <v>17296</v>
      </c>
      <c r="G954" t="s">
        <v>74</v>
      </c>
      <c r="H954" t="s">
        <v>74</v>
      </c>
      <c r="I954" t="s">
        <v>17297</v>
      </c>
      <c r="J954" t="s">
        <v>11305</v>
      </c>
      <c r="K954" t="s">
        <v>74</v>
      </c>
      <c r="L954" t="s">
        <v>74</v>
      </c>
      <c r="M954" t="s">
        <v>78</v>
      </c>
      <c r="N954" t="s">
        <v>79</v>
      </c>
      <c r="O954" t="s">
        <v>74</v>
      </c>
      <c r="P954" t="s">
        <v>74</v>
      </c>
      <c r="Q954" t="s">
        <v>74</v>
      </c>
      <c r="R954" t="s">
        <v>74</v>
      </c>
      <c r="S954" t="s">
        <v>74</v>
      </c>
      <c r="T954" t="s">
        <v>74</v>
      </c>
      <c r="U954" t="s">
        <v>17298</v>
      </c>
      <c r="V954" t="s">
        <v>17299</v>
      </c>
      <c r="W954" t="s">
        <v>17300</v>
      </c>
      <c r="X954" t="s">
        <v>17301</v>
      </c>
      <c r="Y954" t="s">
        <v>17302</v>
      </c>
      <c r="Z954" t="s">
        <v>17303</v>
      </c>
      <c r="AA954" t="s">
        <v>17304</v>
      </c>
      <c r="AB954" t="s">
        <v>17305</v>
      </c>
      <c r="AC954" t="s">
        <v>17306</v>
      </c>
      <c r="AD954" t="s">
        <v>17307</v>
      </c>
      <c r="AE954" t="s">
        <v>17308</v>
      </c>
      <c r="AF954" t="s">
        <v>74</v>
      </c>
      <c r="AG954">
        <v>89</v>
      </c>
      <c r="AH954">
        <v>40</v>
      </c>
      <c r="AI954">
        <v>42</v>
      </c>
      <c r="AJ954">
        <v>1</v>
      </c>
      <c r="AK954">
        <v>56</v>
      </c>
      <c r="AL954" t="s">
        <v>1463</v>
      </c>
      <c r="AM954" t="s">
        <v>1464</v>
      </c>
      <c r="AN954" t="s">
        <v>1465</v>
      </c>
      <c r="AO954" t="s">
        <v>11316</v>
      </c>
      <c r="AP954" t="s">
        <v>11317</v>
      </c>
      <c r="AQ954" t="s">
        <v>74</v>
      </c>
      <c r="AR954" t="s">
        <v>11305</v>
      </c>
      <c r="AS954" t="s">
        <v>11318</v>
      </c>
      <c r="AT954" t="s">
        <v>74</v>
      </c>
      <c r="AU954">
        <v>2014</v>
      </c>
      <c r="AV954">
        <v>11</v>
      </c>
      <c r="AW954">
        <v>2</v>
      </c>
      <c r="AX954" t="s">
        <v>74</v>
      </c>
      <c r="AY954" t="s">
        <v>74</v>
      </c>
      <c r="AZ954" t="s">
        <v>74</v>
      </c>
      <c r="BA954" t="s">
        <v>74</v>
      </c>
      <c r="BB954">
        <v>463</v>
      </c>
      <c r="BC954">
        <v>479</v>
      </c>
      <c r="BD954" t="s">
        <v>74</v>
      </c>
      <c r="BE954" t="s">
        <v>17309</v>
      </c>
      <c r="BF954" t="str">
        <f>HYPERLINK("http://dx.doi.org/10.5194/bg-11-463-2014","http://dx.doi.org/10.5194/bg-11-463-2014")</f>
        <v>http://dx.doi.org/10.5194/bg-11-463-2014</v>
      </c>
      <c r="BG954" t="s">
        <v>74</v>
      </c>
      <c r="BH954" t="s">
        <v>74</v>
      </c>
      <c r="BI954">
        <v>17</v>
      </c>
      <c r="BJ954" t="s">
        <v>2923</v>
      </c>
      <c r="BK954" t="s">
        <v>101</v>
      </c>
      <c r="BL954" t="s">
        <v>357</v>
      </c>
      <c r="BM954" t="s">
        <v>17310</v>
      </c>
      <c r="BN954" t="s">
        <v>74</v>
      </c>
      <c r="BO954" t="s">
        <v>1472</v>
      </c>
      <c r="BP954" t="s">
        <v>74</v>
      </c>
      <c r="BQ954" t="s">
        <v>74</v>
      </c>
      <c r="BR954" t="s">
        <v>104</v>
      </c>
      <c r="BS954" t="s">
        <v>17311</v>
      </c>
      <c r="BT954" t="str">
        <f>HYPERLINK("https%3A%2F%2Fwww.webofscience.com%2Fwos%2Fwoscc%2Ffull-record%2FWOS:000331260900019","View Full Record in Web of Science")</f>
        <v>View Full Record in Web of Science</v>
      </c>
    </row>
    <row r="955" spans="1:72" x14ac:dyDescent="0.15">
      <c r="A955" t="s">
        <v>72</v>
      </c>
      <c r="B955" t="s">
        <v>17312</v>
      </c>
      <c r="C955" t="s">
        <v>74</v>
      </c>
      <c r="D955" t="s">
        <v>74</v>
      </c>
      <c r="E955" t="s">
        <v>74</v>
      </c>
      <c r="F955" t="s">
        <v>17313</v>
      </c>
      <c r="G955" t="s">
        <v>74</v>
      </c>
      <c r="H955" t="s">
        <v>74</v>
      </c>
      <c r="I955" t="s">
        <v>17314</v>
      </c>
      <c r="J955" t="s">
        <v>11305</v>
      </c>
      <c r="K955" t="s">
        <v>74</v>
      </c>
      <c r="L955" t="s">
        <v>74</v>
      </c>
      <c r="M955" t="s">
        <v>78</v>
      </c>
      <c r="N955" t="s">
        <v>79</v>
      </c>
      <c r="O955" t="s">
        <v>74</v>
      </c>
      <c r="P955" t="s">
        <v>74</v>
      </c>
      <c r="Q955" t="s">
        <v>74</v>
      </c>
      <c r="R955" t="s">
        <v>74</v>
      </c>
      <c r="S955" t="s">
        <v>74</v>
      </c>
      <c r="T955" t="s">
        <v>74</v>
      </c>
      <c r="U955" t="s">
        <v>17315</v>
      </c>
      <c r="V955" t="s">
        <v>17316</v>
      </c>
      <c r="W955" t="s">
        <v>17317</v>
      </c>
      <c r="X955" t="s">
        <v>17318</v>
      </c>
      <c r="Y955" t="s">
        <v>17319</v>
      </c>
      <c r="Z955" t="s">
        <v>17320</v>
      </c>
      <c r="AA955" t="s">
        <v>17321</v>
      </c>
      <c r="AB955" t="s">
        <v>17322</v>
      </c>
      <c r="AC955" t="s">
        <v>17323</v>
      </c>
      <c r="AD955" t="s">
        <v>17324</v>
      </c>
      <c r="AE955" t="s">
        <v>17325</v>
      </c>
      <c r="AF955" t="s">
        <v>74</v>
      </c>
      <c r="AG955">
        <v>46</v>
      </c>
      <c r="AH955">
        <v>69</v>
      </c>
      <c r="AI955">
        <v>70</v>
      </c>
      <c r="AJ955">
        <v>2</v>
      </c>
      <c r="AK955">
        <v>53</v>
      </c>
      <c r="AL955" t="s">
        <v>1463</v>
      </c>
      <c r="AM955" t="s">
        <v>1464</v>
      </c>
      <c r="AN955" t="s">
        <v>1465</v>
      </c>
      <c r="AO955" t="s">
        <v>11316</v>
      </c>
      <c r="AP955" t="s">
        <v>11317</v>
      </c>
      <c r="AQ955" t="s">
        <v>74</v>
      </c>
      <c r="AR955" t="s">
        <v>11305</v>
      </c>
      <c r="AS955" t="s">
        <v>11318</v>
      </c>
      <c r="AT955" t="s">
        <v>74</v>
      </c>
      <c r="AU955">
        <v>2014</v>
      </c>
      <c r="AV955">
        <v>11</v>
      </c>
      <c r="AW955">
        <v>8</v>
      </c>
      <c r="AX955" t="s">
        <v>74</v>
      </c>
      <c r="AY955" t="s">
        <v>74</v>
      </c>
      <c r="AZ955" t="s">
        <v>74</v>
      </c>
      <c r="BA955" t="s">
        <v>74</v>
      </c>
      <c r="BB955">
        <v>2263</v>
      </c>
      <c r="BC955">
        <v>2279</v>
      </c>
      <c r="BD955" t="s">
        <v>74</v>
      </c>
      <c r="BE955" t="s">
        <v>17326</v>
      </c>
      <c r="BF955" t="str">
        <f>HYPERLINK("http://dx.doi.org/10.5194/bg-11-2263-2014","http://dx.doi.org/10.5194/bg-11-2263-2014")</f>
        <v>http://dx.doi.org/10.5194/bg-11-2263-2014</v>
      </c>
      <c r="BG955" t="s">
        <v>74</v>
      </c>
      <c r="BH955" t="s">
        <v>74</v>
      </c>
      <c r="BI955">
        <v>17</v>
      </c>
      <c r="BJ955" t="s">
        <v>2923</v>
      </c>
      <c r="BK955" t="s">
        <v>101</v>
      </c>
      <c r="BL955" t="s">
        <v>357</v>
      </c>
      <c r="BM955" t="s">
        <v>17327</v>
      </c>
      <c r="BN955" t="s">
        <v>74</v>
      </c>
      <c r="BO955" t="s">
        <v>1933</v>
      </c>
      <c r="BP955" t="s">
        <v>74</v>
      </c>
      <c r="BQ955" t="s">
        <v>74</v>
      </c>
      <c r="BR955" t="s">
        <v>104</v>
      </c>
      <c r="BS955" t="s">
        <v>17328</v>
      </c>
      <c r="BT955" t="str">
        <f>HYPERLINK("https%3A%2F%2Fwww.webofscience.com%2Fwos%2Fwoscc%2Ffull-record%2FWOS:000335374200010","View Full Record in Web of Science")</f>
        <v>View Full Record in Web of Science</v>
      </c>
    </row>
    <row r="956" spans="1:72" x14ac:dyDescent="0.15">
      <c r="A956" t="s">
        <v>72</v>
      </c>
      <c r="B956" t="s">
        <v>17329</v>
      </c>
      <c r="C956" t="s">
        <v>74</v>
      </c>
      <c r="D956" t="s">
        <v>74</v>
      </c>
      <c r="E956" t="s">
        <v>74</v>
      </c>
      <c r="F956" t="s">
        <v>17330</v>
      </c>
      <c r="G956" t="s">
        <v>74</v>
      </c>
      <c r="H956" t="s">
        <v>74</v>
      </c>
      <c r="I956" t="s">
        <v>17331</v>
      </c>
      <c r="J956" t="s">
        <v>11305</v>
      </c>
      <c r="K956" t="s">
        <v>74</v>
      </c>
      <c r="L956" t="s">
        <v>74</v>
      </c>
      <c r="M956" t="s">
        <v>78</v>
      </c>
      <c r="N956" t="s">
        <v>79</v>
      </c>
      <c r="O956" t="s">
        <v>74</v>
      </c>
      <c r="P956" t="s">
        <v>74</v>
      </c>
      <c r="Q956" t="s">
        <v>74</v>
      </c>
      <c r="R956" t="s">
        <v>74</v>
      </c>
      <c r="S956" t="s">
        <v>74</v>
      </c>
      <c r="T956" t="s">
        <v>74</v>
      </c>
      <c r="U956" t="s">
        <v>17332</v>
      </c>
      <c r="V956" t="s">
        <v>17333</v>
      </c>
      <c r="W956" t="s">
        <v>17334</v>
      </c>
      <c r="X956" t="s">
        <v>17335</v>
      </c>
      <c r="Y956" t="s">
        <v>17336</v>
      </c>
      <c r="Z956" t="s">
        <v>17337</v>
      </c>
      <c r="AA956" t="s">
        <v>17338</v>
      </c>
      <c r="AB956" t="s">
        <v>17339</v>
      </c>
      <c r="AC956" t="s">
        <v>17340</v>
      </c>
      <c r="AD956" t="s">
        <v>17341</v>
      </c>
      <c r="AE956" t="s">
        <v>17342</v>
      </c>
      <c r="AF956" t="s">
        <v>74</v>
      </c>
      <c r="AG956">
        <v>61</v>
      </c>
      <c r="AH956">
        <v>79</v>
      </c>
      <c r="AI956">
        <v>85</v>
      </c>
      <c r="AJ956">
        <v>1</v>
      </c>
      <c r="AK956">
        <v>53</v>
      </c>
      <c r="AL956" t="s">
        <v>1463</v>
      </c>
      <c r="AM956" t="s">
        <v>1464</v>
      </c>
      <c r="AN956" t="s">
        <v>1465</v>
      </c>
      <c r="AO956" t="s">
        <v>11316</v>
      </c>
      <c r="AP956" t="s">
        <v>11317</v>
      </c>
      <c r="AQ956" t="s">
        <v>74</v>
      </c>
      <c r="AR956" t="s">
        <v>11305</v>
      </c>
      <c r="AS956" t="s">
        <v>11318</v>
      </c>
      <c r="AT956" t="s">
        <v>74</v>
      </c>
      <c r="AU956">
        <v>2014</v>
      </c>
      <c r="AV956">
        <v>11</v>
      </c>
      <c r="AW956">
        <v>10</v>
      </c>
      <c r="AX956" t="s">
        <v>74</v>
      </c>
      <c r="AY956" t="s">
        <v>74</v>
      </c>
      <c r="AZ956" t="s">
        <v>74</v>
      </c>
      <c r="BA956" t="s">
        <v>74</v>
      </c>
      <c r="BB956">
        <v>2635</v>
      </c>
      <c r="BC956">
        <v>2643</v>
      </c>
      <c r="BD956" t="s">
        <v>74</v>
      </c>
      <c r="BE956" t="s">
        <v>17343</v>
      </c>
      <c r="BF956" t="str">
        <f>HYPERLINK("http://dx.doi.org/10.5194/bg-11-2635-2014","http://dx.doi.org/10.5194/bg-11-2635-2014")</f>
        <v>http://dx.doi.org/10.5194/bg-11-2635-2014</v>
      </c>
      <c r="BG956" t="s">
        <v>74</v>
      </c>
      <c r="BH956" t="s">
        <v>74</v>
      </c>
      <c r="BI956">
        <v>9</v>
      </c>
      <c r="BJ956" t="s">
        <v>2923</v>
      </c>
      <c r="BK956" t="s">
        <v>101</v>
      </c>
      <c r="BL956" t="s">
        <v>357</v>
      </c>
      <c r="BM956" t="s">
        <v>13173</v>
      </c>
      <c r="BN956" t="s">
        <v>74</v>
      </c>
      <c r="BO956" t="s">
        <v>9228</v>
      </c>
      <c r="BP956" t="s">
        <v>74</v>
      </c>
      <c r="BQ956" t="s">
        <v>74</v>
      </c>
      <c r="BR956" t="s">
        <v>104</v>
      </c>
      <c r="BS956" t="s">
        <v>17344</v>
      </c>
      <c r="BT956" t="str">
        <f>HYPERLINK("https%3A%2F%2Fwww.webofscience.com%2Fwos%2Fwoscc%2Ffull-record%2FWOS:000337947500006","View Full Record in Web of Science")</f>
        <v>View Full Record in Web of Science</v>
      </c>
    </row>
    <row r="957" spans="1:72" x14ac:dyDescent="0.15">
      <c r="A957" t="s">
        <v>72</v>
      </c>
      <c r="B957" t="s">
        <v>17345</v>
      </c>
      <c r="C957" t="s">
        <v>74</v>
      </c>
      <c r="D957" t="s">
        <v>74</v>
      </c>
      <c r="E957" t="s">
        <v>74</v>
      </c>
      <c r="F957" t="s">
        <v>17346</v>
      </c>
      <c r="G957" t="s">
        <v>74</v>
      </c>
      <c r="H957" t="s">
        <v>74</v>
      </c>
      <c r="I957" t="s">
        <v>17347</v>
      </c>
      <c r="J957" t="s">
        <v>11305</v>
      </c>
      <c r="K957" t="s">
        <v>74</v>
      </c>
      <c r="L957" t="s">
        <v>74</v>
      </c>
      <c r="M957" t="s">
        <v>78</v>
      </c>
      <c r="N957" t="s">
        <v>79</v>
      </c>
      <c r="O957" t="s">
        <v>74</v>
      </c>
      <c r="P957" t="s">
        <v>74</v>
      </c>
      <c r="Q957" t="s">
        <v>74</v>
      </c>
      <c r="R957" t="s">
        <v>74</v>
      </c>
      <c r="S957" t="s">
        <v>74</v>
      </c>
      <c r="T957" t="s">
        <v>74</v>
      </c>
      <c r="U957" t="s">
        <v>17348</v>
      </c>
      <c r="V957" t="s">
        <v>17349</v>
      </c>
      <c r="W957" t="s">
        <v>17350</v>
      </c>
      <c r="X957" t="s">
        <v>17351</v>
      </c>
      <c r="Y957" t="s">
        <v>17352</v>
      </c>
      <c r="Z957" t="s">
        <v>17353</v>
      </c>
      <c r="AA957" t="s">
        <v>17354</v>
      </c>
      <c r="AB957" t="s">
        <v>17355</v>
      </c>
      <c r="AC957" t="s">
        <v>17356</v>
      </c>
      <c r="AD957" t="s">
        <v>17357</v>
      </c>
      <c r="AE957" t="s">
        <v>17358</v>
      </c>
      <c r="AF957" t="s">
        <v>74</v>
      </c>
      <c r="AG957">
        <v>67</v>
      </c>
      <c r="AH957">
        <v>47</v>
      </c>
      <c r="AI957">
        <v>50</v>
      </c>
      <c r="AJ957">
        <v>2</v>
      </c>
      <c r="AK957">
        <v>48</v>
      </c>
      <c r="AL957" t="s">
        <v>1463</v>
      </c>
      <c r="AM957" t="s">
        <v>1464</v>
      </c>
      <c r="AN957" t="s">
        <v>1465</v>
      </c>
      <c r="AO957" t="s">
        <v>11316</v>
      </c>
      <c r="AP957" t="s">
        <v>11317</v>
      </c>
      <c r="AQ957" t="s">
        <v>74</v>
      </c>
      <c r="AR957" t="s">
        <v>11305</v>
      </c>
      <c r="AS957" t="s">
        <v>11318</v>
      </c>
      <c r="AT957" t="s">
        <v>74</v>
      </c>
      <c r="AU957">
        <v>2014</v>
      </c>
      <c r="AV957">
        <v>11</v>
      </c>
      <c r="AW957">
        <v>15</v>
      </c>
      <c r="AX957" t="s">
        <v>74</v>
      </c>
      <c r="AY957" t="s">
        <v>74</v>
      </c>
      <c r="AZ957" t="s">
        <v>74</v>
      </c>
      <c r="BA957" t="s">
        <v>74</v>
      </c>
      <c r="BB957">
        <v>4057</v>
      </c>
      <c r="BC957">
        <v>4075</v>
      </c>
      <c r="BD957" t="s">
        <v>74</v>
      </c>
      <c r="BE957" t="s">
        <v>17359</v>
      </c>
      <c r="BF957" t="str">
        <f>HYPERLINK("http://dx.doi.org/10.5194/bg-11-4057-2014","http://dx.doi.org/10.5194/bg-11-4057-2014")</f>
        <v>http://dx.doi.org/10.5194/bg-11-4057-2014</v>
      </c>
      <c r="BG957" t="s">
        <v>74</v>
      </c>
      <c r="BH957" t="s">
        <v>74</v>
      </c>
      <c r="BI957">
        <v>19</v>
      </c>
      <c r="BJ957" t="s">
        <v>2923</v>
      </c>
      <c r="BK957" t="s">
        <v>101</v>
      </c>
      <c r="BL957" t="s">
        <v>357</v>
      </c>
      <c r="BM957" t="s">
        <v>17360</v>
      </c>
      <c r="BN957" t="s">
        <v>74</v>
      </c>
      <c r="BO957" t="s">
        <v>17061</v>
      </c>
      <c r="BP957" t="s">
        <v>74</v>
      </c>
      <c r="BQ957" t="s">
        <v>74</v>
      </c>
      <c r="BR957" t="s">
        <v>104</v>
      </c>
      <c r="BS957" t="s">
        <v>17361</v>
      </c>
      <c r="BT957" t="str">
        <f>HYPERLINK("https%3A%2F%2Fwww.webofscience.com%2Fwos%2Fwoscc%2Ffull-record%2FWOS:000341104400002","View Full Record in Web of Science")</f>
        <v>View Full Record in Web of Science</v>
      </c>
    </row>
    <row r="958" spans="1:72" x14ac:dyDescent="0.15">
      <c r="A958" t="s">
        <v>72</v>
      </c>
      <c r="B958" t="s">
        <v>17362</v>
      </c>
      <c r="C958" t="s">
        <v>74</v>
      </c>
      <c r="D958" t="s">
        <v>74</v>
      </c>
      <c r="E958" t="s">
        <v>74</v>
      </c>
      <c r="F958" t="s">
        <v>17363</v>
      </c>
      <c r="G958" t="s">
        <v>74</v>
      </c>
      <c r="H958" t="s">
        <v>74</v>
      </c>
      <c r="I958" t="s">
        <v>17364</v>
      </c>
      <c r="J958" t="s">
        <v>11305</v>
      </c>
      <c r="K958" t="s">
        <v>74</v>
      </c>
      <c r="L958" t="s">
        <v>74</v>
      </c>
      <c r="M958" t="s">
        <v>78</v>
      </c>
      <c r="N958" t="s">
        <v>79</v>
      </c>
      <c r="O958" t="s">
        <v>74</v>
      </c>
      <c r="P958" t="s">
        <v>74</v>
      </c>
      <c r="Q958" t="s">
        <v>74</v>
      </c>
      <c r="R958" t="s">
        <v>74</v>
      </c>
      <c r="S958" t="s">
        <v>74</v>
      </c>
      <c r="T958" t="s">
        <v>74</v>
      </c>
      <c r="U958" t="s">
        <v>17365</v>
      </c>
      <c r="V958" t="s">
        <v>17366</v>
      </c>
      <c r="W958" t="s">
        <v>17367</v>
      </c>
      <c r="X958" t="s">
        <v>17368</v>
      </c>
      <c r="Y958" t="s">
        <v>17369</v>
      </c>
      <c r="Z958" t="s">
        <v>17370</v>
      </c>
      <c r="AA958" t="s">
        <v>17371</v>
      </c>
      <c r="AB958" t="s">
        <v>17372</v>
      </c>
      <c r="AC958" t="s">
        <v>17373</v>
      </c>
      <c r="AD958" t="s">
        <v>17374</v>
      </c>
      <c r="AE958" t="s">
        <v>17375</v>
      </c>
      <c r="AF958" t="s">
        <v>74</v>
      </c>
      <c r="AG958">
        <v>89</v>
      </c>
      <c r="AH958">
        <v>122</v>
      </c>
      <c r="AI958">
        <v>134</v>
      </c>
      <c r="AJ958">
        <v>15</v>
      </c>
      <c r="AK958">
        <v>184</v>
      </c>
      <c r="AL958" t="s">
        <v>1463</v>
      </c>
      <c r="AM958" t="s">
        <v>1464</v>
      </c>
      <c r="AN958" t="s">
        <v>1465</v>
      </c>
      <c r="AO958" t="s">
        <v>11316</v>
      </c>
      <c r="AP958" t="s">
        <v>11317</v>
      </c>
      <c r="AQ958" t="s">
        <v>74</v>
      </c>
      <c r="AR958" t="s">
        <v>11305</v>
      </c>
      <c r="AS958" t="s">
        <v>11318</v>
      </c>
      <c r="AT958" t="s">
        <v>74</v>
      </c>
      <c r="AU958">
        <v>2014</v>
      </c>
      <c r="AV958">
        <v>11</v>
      </c>
      <c r="AW958">
        <v>15</v>
      </c>
      <c r="AX958" t="s">
        <v>74</v>
      </c>
      <c r="AY958" t="s">
        <v>74</v>
      </c>
      <c r="AZ958" t="s">
        <v>74</v>
      </c>
      <c r="BA958" t="s">
        <v>74</v>
      </c>
      <c r="BB958">
        <v>4173</v>
      </c>
      <c r="BC958">
        <v>4190</v>
      </c>
      <c r="BD958" t="s">
        <v>74</v>
      </c>
      <c r="BE958" t="s">
        <v>17376</v>
      </c>
      <c r="BF958" t="str">
        <f>HYPERLINK("http://dx.doi.org/10.5194/bg-11-4173-2014","http://dx.doi.org/10.5194/bg-11-4173-2014")</f>
        <v>http://dx.doi.org/10.5194/bg-11-4173-2014</v>
      </c>
      <c r="BG958" t="s">
        <v>74</v>
      </c>
      <c r="BH958" t="s">
        <v>74</v>
      </c>
      <c r="BI958">
        <v>18</v>
      </c>
      <c r="BJ958" t="s">
        <v>2923</v>
      </c>
      <c r="BK958" t="s">
        <v>101</v>
      </c>
      <c r="BL958" t="s">
        <v>357</v>
      </c>
      <c r="BM958" t="s">
        <v>17360</v>
      </c>
      <c r="BN958" t="s">
        <v>74</v>
      </c>
      <c r="BO958" t="s">
        <v>6156</v>
      </c>
      <c r="BP958" t="s">
        <v>74</v>
      </c>
      <c r="BQ958" t="s">
        <v>74</v>
      </c>
      <c r="BR958" t="s">
        <v>104</v>
      </c>
      <c r="BS958" t="s">
        <v>17377</v>
      </c>
      <c r="BT958" t="str">
        <f>HYPERLINK("https%3A%2F%2Fwww.webofscience.com%2Fwos%2Fwoscc%2Ffull-record%2FWOS:000341104400009","View Full Record in Web of Science")</f>
        <v>View Full Record in Web of Science</v>
      </c>
    </row>
    <row r="959" spans="1:72" x14ac:dyDescent="0.15">
      <c r="A959" t="s">
        <v>72</v>
      </c>
      <c r="B959" t="s">
        <v>17378</v>
      </c>
      <c r="C959" t="s">
        <v>74</v>
      </c>
      <c r="D959" t="s">
        <v>74</v>
      </c>
      <c r="E959" t="s">
        <v>74</v>
      </c>
      <c r="F959" t="s">
        <v>17379</v>
      </c>
      <c r="G959" t="s">
        <v>74</v>
      </c>
      <c r="H959" t="s">
        <v>74</v>
      </c>
      <c r="I959" t="s">
        <v>17380</v>
      </c>
      <c r="J959" t="s">
        <v>11305</v>
      </c>
      <c r="K959" t="s">
        <v>74</v>
      </c>
      <c r="L959" t="s">
        <v>74</v>
      </c>
      <c r="M959" t="s">
        <v>78</v>
      </c>
      <c r="N959" t="s">
        <v>79</v>
      </c>
      <c r="O959" t="s">
        <v>74</v>
      </c>
      <c r="P959" t="s">
        <v>74</v>
      </c>
      <c r="Q959" t="s">
        <v>74</v>
      </c>
      <c r="R959" t="s">
        <v>74</v>
      </c>
      <c r="S959" t="s">
        <v>74</v>
      </c>
      <c r="T959" t="s">
        <v>74</v>
      </c>
      <c r="U959" t="s">
        <v>17381</v>
      </c>
      <c r="V959" t="s">
        <v>17382</v>
      </c>
      <c r="W959" t="s">
        <v>17383</v>
      </c>
      <c r="X959" t="s">
        <v>17384</v>
      </c>
      <c r="Y959" t="s">
        <v>17385</v>
      </c>
      <c r="Z959" t="s">
        <v>17386</v>
      </c>
      <c r="AA959" t="s">
        <v>17387</v>
      </c>
      <c r="AB959" t="s">
        <v>17388</v>
      </c>
      <c r="AC959" t="s">
        <v>17389</v>
      </c>
      <c r="AD959" t="s">
        <v>17390</v>
      </c>
      <c r="AE959" t="s">
        <v>17391</v>
      </c>
      <c r="AF959" t="s">
        <v>74</v>
      </c>
      <c r="AG959">
        <v>53</v>
      </c>
      <c r="AH959">
        <v>26</v>
      </c>
      <c r="AI959">
        <v>30</v>
      </c>
      <c r="AJ959">
        <v>0</v>
      </c>
      <c r="AK959">
        <v>23</v>
      </c>
      <c r="AL959" t="s">
        <v>1463</v>
      </c>
      <c r="AM959" t="s">
        <v>1464</v>
      </c>
      <c r="AN959" t="s">
        <v>1465</v>
      </c>
      <c r="AO959" t="s">
        <v>11316</v>
      </c>
      <c r="AP959" t="s">
        <v>11317</v>
      </c>
      <c r="AQ959" t="s">
        <v>74</v>
      </c>
      <c r="AR959" t="s">
        <v>11305</v>
      </c>
      <c r="AS959" t="s">
        <v>11318</v>
      </c>
      <c r="AT959" t="s">
        <v>74</v>
      </c>
      <c r="AU959">
        <v>2014</v>
      </c>
      <c r="AV959">
        <v>11</v>
      </c>
      <c r="AW959">
        <v>15</v>
      </c>
      <c r="AX959" t="s">
        <v>74</v>
      </c>
      <c r="AY959" t="s">
        <v>74</v>
      </c>
      <c r="AZ959" t="s">
        <v>74</v>
      </c>
      <c r="BA959" t="s">
        <v>74</v>
      </c>
      <c r="BB959">
        <v>4191</v>
      </c>
      <c r="BC959">
        <v>4210</v>
      </c>
      <c r="BD959" t="s">
        <v>74</v>
      </c>
      <c r="BE959" t="s">
        <v>17392</v>
      </c>
      <c r="BF959" t="str">
        <f>HYPERLINK("http://dx.doi.org/10.5194/bg-11-4191-2014","http://dx.doi.org/10.5194/bg-11-4191-2014")</f>
        <v>http://dx.doi.org/10.5194/bg-11-4191-2014</v>
      </c>
      <c r="BG959" t="s">
        <v>74</v>
      </c>
      <c r="BH959" t="s">
        <v>74</v>
      </c>
      <c r="BI959">
        <v>20</v>
      </c>
      <c r="BJ959" t="s">
        <v>2923</v>
      </c>
      <c r="BK959" t="s">
        <v>101</v>
      </c>
      <c r="BL959" t="s">
        <v>357</v>
      </c>
      <c r="BM959" t="s">
        <v>17360</v>
      </c>
      <c r="BN959" t="s">
        <v>74</v>
      </c>
      <c r="BO959" t="s">
        <v>11909</v>
      </c>
      <c r="BP959" t="s">
        <v>74</v>
      </c>
      <c r="BQ959" t="s">
        <v>74</v>
      </c>
      <c r="BR959" t="s">
        <v>104</v>
      </c>
      <c r="BS959" t="s">
        <v>17393</v>
      </c>
      <c r="BT959" t="str">
        <f>HYPERLINK("https%3A%2F%2Fwww.webofscience.com%2Fwos%2Fwoscc%2Ffull-record%2FWOS:000341104400010","View Full Record in Web of Science")</f>
        <v>View Full Record in Web of Science</v>
      </c>
    </row>
    <row r="960" spans="1:72" x14ac:dyDescent="0.15">
      <c r="A960" t="s">
        <v>72</v>
      </c>
      <c r="B960" t="s">
        <v>17394</v>
      </c>
      <c r="C960" t="s">
        <v>74</v>
      </c>
      <c r="D960" t="s">
        <v>74</v>
      </c>
      <c r="E960" t="s">
        <v>74</v>
      </c>
      <c r="F960" t="s">
        <v>17395</v>
      </c>
      <c r="G960" t="s">
        <v>74</v>
      </c>
      <c r="H960" t="s">
        <v>74</v>
      </c>
      <c r="I960" t="s">
        <v>17396</v>
      </c>
      <c r="J960" t="s">
        <v>11305</v>
      </c>
      <c r="K960" t="s">
        <v>74</v>
      </c>
      <c r="L960" t="s">
        <v>74</v>
      </c>
      <c r="M960" t="s">
        <v>78</v>
      </c>
      <c r="N960" t="s">
        <v>79</v>
      </c>
      <c r="O960" t="s">
        <v>74</v>
      </c>
      <c r="P960" t="s">
        <v>74</v>
      </c>
      <c r="Q960" t="s">
        <v>74</v>
      </c>
      <c r="R960" t="s">
        <v>74</v>
      </c>
      <c r="S960" t="s">
        <v>74</v>
      </c>
      <c r="T960" t="s">
        <v>74</v>
      </c>
      <c r="U960" t="s">
        <v>17397</v>
      </c>
      <c r="V960" t="s">
        <v>17398</v>
      </c>
      <c r="W960" t="s">
        <v>17399</v>
      </c>
      <c r="X960" t="s">
        <v>17400</v>
      </c>
      <c r="Y960" t="s">
        <v>17401</v>
      </c>
      <c r="Z960" t="s">
        <v>17402</v>
      </c>
      <c r="AA960" t="s">
        <v>17403</v>
      </c>
      <c r="AB960" t="s">
        <v>17404</v>
      </c>
      <c r="AC960" t="s">
        <v>17405</v>
      </c>
      <c r="AD960" t="s">
        <v>17406</v>
      </c>
      <c r="AE960" t="s">
        <v>17407</v>
      </c>
      <c r="AF960" t="s">
        <v>74</v>
      </c>
      <c r="AG960">
        <v>78</v>
      </c>
      <c r="AH960">
        <v>66</v>
      </c>
      <c r="AI960">
        <v>75</v>
      </c>
      <c r="AJ960">
        <v>4</v>
      </c>
      <c r="AK960">
        <v>86</v>
      </c>
      <c r="AL960" t="s">
        <v>1463</v>
      </c>
      <c r="AM960" t="s">
        <v>1464</v>
      </c>
      <c r="AN960" t="s">
        <v>1465</v>
      </c>
      <c r="AO960" t="s">
        <v>11316</v>
      </c>
      <c r="AP960" t="s">
        <v>11317</v>
      </c>
      <c r="AQ960" t="s">
        <v>74</v>
      </c>
      <c r="AR960" t="s">
        <v>11305</v>
      </c>
      <c r="AS960" t="s">
        <v>11318</v>
      </c>
      <c r="AT960" t="s">
        <v>74</v>
      </c>
      <c r="AU960">
        <v>2014</v>
      </c>
      <c r="AV960">
        <v>11</v>
      </c>
      <c r="AW960">
        <v>17</v>
      </c>
      <c r="AX960" t="s">
        <v>74</v>
      </c>
      <c r="AY960" t="s">
        <v>74</v>
      </c>
      <c r="AZ960" t="s">
        <v>74</v>
      </c>
      <c r="BA960" t="s">
        <v>74</v>
      </c>
      <c r="BB960">
        <v>4713</v>
      </c>
      <c r="BC960">
        <v>4731</v>
      </c>
      <c r="BD960" t="s">
        <v>74</v>
      </c>
      <c r="BE960" t="s">
        <v>17408</v>
      </c>
      <c r="BF960" t="str">
        <f>HYPERLINK("http://dx.doi.org/10.5194/bg-11-4713-2014","http://dx.doi.org/10.5194/bg-11-4713-2014")</f>
        <v>http://dx.doi.org/10.5194/bg-11-4713-2014</v>
      </c>
      <c r="BG960" t="s">
        <v>74</v>
      </c>
      <c r="BH960" t="s">
        <v>74</v>
      </c>
      <c r="BI960">
        <v>19</v>
      </c>
      <c r="BJ960" t="s">
        <v>2923</v>
      </c>
      <c r="BK960" t="s">
        <v>101</v>
      </c>
      <c r="BL960" t="s">
        <v>357</v>
      </c>
      <c r="BM960" t="s">
        <v>17409</v>
      </c>
      <c r="BN960" t="s">
        <v>74</v>
      </c>
      <c r="BO960" t="s">
        <v>9228</v>
      </c>
      <c r="BP960" t="s">
        <v>74</v>
      </c>
      <c r="BQ960" t="s">
        <v>74</v>
      </c>
      <c r="BR960" t="s">
        <v>104</v>
      </c>
      <c r="BS960" t="s">
        <v>17410</v>
      </c>
      <c r="BT960" t="str">
        <f>HYPERLINK("https%3A%2F%2Fwww.webofscience.com%2Fwos%2Fwoscc%2Ffull-record%2FWOS:000342116000011","View Full Record in Web of Science")</f>
        <v>View Full Record in Web of Science</v>
      </c>
    </row>
    <row r="961" spans="1:72" x14ac:dyDescent="0.15">
      <c r="A961" t="s">
        <v>72</v>
      </c>
      <c r="B961" t="s">
        <v>17411</v>
      </c>
      <c r="C961" t="s">
        <v>74</v>
      </c>
      <c r="D961" t="s">
        <v>74</v>
      </c>
      <c r="E961" t="s">
        <v>74</v>
      </c>
      <c r="F961" t="s">
        <v>17412</v>
      </c>
      <c r="G961" t="s">
        <v>74</v>
      </c>
      <c r="H961" t="s">
        <v>74</v>
      </c>
      <c r="I961" t="s">
        <v>17413</v>
      </c>
      <c r="J961" t="s">
        <v>11305</v>
      </c>
      <c r="K961" t="s">
        <v>74</v>
      </c>
      <c r="L961" t="s">
        <v>74</v>
      </c>
      <c r="M961" t="s">
        <v>78</v>
      </c>
      <c r="N961" t="s">
        <v>79</v>
      </c>
      <c r="O961" t="s">
        <v>74</v>
      </c>
      <c r="P961" t="s">
        <v>74</v>
      </c>
      <c r="Q961" t="s">
        <v>74</v>
      </c>
      <c r="R961" t="s">
        <v>74</v>
      </c>
      <c r="S961" t="s">
        <v>74</v>
      </c>
      <c r="T961" t="s">
        <v>74</v>
      </c>
      <c r="U961" t="s">
        <v>17414</v>
      </c>
      <c r="V961" t="s">
        <v>17415</v>
      </c>
      <c r="W961" t="s">
        <v>17416</v>
      </c>
      <c r="X961" t="s">
        <v>17417</v>
      </c>
      <c r="Y961" t="s">
        <v>17418</v>
      </c>
      <c r="Z961" t="s">
        <v>17419</v>
      </c>
      <c r="AA961" t="s">
        <v>17420</v>
      </c>
      <c r="AB961" t="s">
        <v>17421</v>
      </c>
      <c r="AC961" t="s">
        <v>74</v>
      </c>
      <c r="AD961" t="s">
        <v>74</v>
      </c>
      <c r="AE961" t="s">
        <v>74</v>
      </c>
      <c r="AF961" t="s">
        <v>74</v>
      </c>
      <c r="AG961">
        <v>38</v>
      </c>
      <c r="AH961">
        <v>20</v>
      </c>
      <c r="AI961">
        <v>20</v>
      </c>
      <c r="AJ961">
        <v>0</v>
      </c>
      <c r="AK961">
        <v>19</v>
      </c>
      <c r="AL961" t="s">
        <v>1463</v>
      </c>
      <c r="AM961" t="s">
        <v>1464</v>
      </c>
      <c r="AN961" t="s">
        <v>1465</v>
      </c>
      <c r="AO961" t="s">
        <v>11316</v>
      </c>
      <c r="AP961" t="s">
        <v>11317</v>
      </c>
      <c r="AQ961" t="s">
        <v>74</v>
      </c>
      <c r="AR961" t="s">
        <v>11305</v>
      </c>
      <c r="AS961" t="s">
        <v>11318</v>
      </c>
      <c r="AT961" t="s">
        <v>74</v>
      </c>
      <c r="AU961">
        <v>2014</v>
      </c>
      <c r="AV961">
        <v>11</v>
      </c>
      <c r="AW961">
        <v>21</v>
      </c>
      <c r="AX961" t="s">
        <v>74</v>
      </c>
      <c r="AY961" t="s">
        <v>74</v>
      </c>
      <c r="AZ961" t="s">
        <v>74</v>
      </c>
      <c r="BA961" t="s">
        <v>74</v>
      </c>
      <c r="BB961">
        <v>6107</v>
      </c>
      <c r="BC961">
        <v>6117</v>
      </c>
      <c r="BD961" t="s">
        <v>74</v>
      </c>
      <c r="BE961" t="s">
        <v>17422</v>
      </c>
      <c r="BF961" t="str">
        <f>HYPERLINK("http://dx.doi.org/10.5194/bg-11-6107-2014","http://dx.doi.org/10.5194/bg-11-6107-2014")</f>
        <v>http://dx.doi.org/10.5194/bg-11-6107-2014</v>
      </c>
      <c r="BG961" t="s">
        <v>74</v>
      </c>
      <c r="BH961" t="s">
        <v>74</v>
      </c>
      <c r="BI961">
        <v>11</v>
      </c>
      <c r="BJ961" t="s">
        <v>2923</v>
      </c>
      <c r="BK961" t="s">
        <v>101</v>
      </c>
      <c r="BL961" t="s">
        <v>357</v>
      </c>
      <c r="BM961" t="s">
        <v>17423</v>
      </c>
      <c r="BN961" t="s">
        <v>74</v>
      </c>
      <c r="BO961" t="s">
        <v>6156</v>
      </c>
      <c r="BP961" t="s">
        <v>74</v>
      </c>
      <c r="BQ961" t="s">
        <v>74</v>
      </c>
      <c r="BR961" t="s">
        <v>104</v>
      </c>
      <c r="BS961" t="s">
        <v>17424</v>
      </c>
      <c r="BT961" t="str">
        <f>HYPERLINK("https%3A%2F%2Fwww.webofscience.com%2Fwos%2Fwoscc%2Ffull-record%2FWOS:000344649700008","View Full Record in Web of Science")</f>
        <v>View Full Record in Web of Science</v>
      </c>
    </row>
    <row r="962" spans="1:72" x14ac:dyDescent="0.15">
      <c r="A962" t="s">
        <v>72</v>
      </c>
      <c r="B962" t="s">
        <v>17425</v>
      </c>
      <c r="C962" t="s">
        <v>74</v>
      </c>
      <c r="D962" t="s">
        <v>74</v>
      </c>
      <c r="E962" t="s">
        <v>74</v>
      </c>
      <c r="F962" t="s">
        <v>17426</v>
      </c>
      <c r="G962" t="s">
        <v>74</v>
      </c>
      <c r="H962" t="s">
        <v>74</v>
      </c>
      <c r="I962" t="s">
        <v>17427</v>
      </c>
      <c r="J962" t="s">
        <v>3719</v>
      </c>
      <c r="K962" t="s">
        <v>74</v>
      </c>
      <c r="L962" t="s">
        <v>74</v>
      </c>
      <c r="M962" t="s">
        <v>78</v>
      </c>
      <c r="N962" t="s">
        <v>79</v>
      </c>
      <c r="O962" t="s">
        <v>74</v>
      </c>
      <c r="P962" t="s">
        <v>74</v>
      </c>
      <c r="Q962" t="s">
        <v>74</v>
      </c>
      <c r="R962" t="s">
        <v>74</v>
      </c>
      <c r="S962" t="s">
        <v>74</v>
      </c>
      <c r="T962" t="s">
        <v>17428</v>
      </c>
      <c r="U962" t="s">
        <v>17429</v>
      </c>
      <c r="V962" t="s">
        <v>17430</v>
      </c>
      <c r="W962" t="s">
        <v>17431</v>
      </c>
      <c r="X962" t="s">
        <v>17432</v>
      </c>
      <c r="Y962" t="s">
        <v>6764</v>
      </c>
      <c r="Z962" t="s">
        <v>6765</v>
      </c>
      <c r="AA962" t="s">
        <v>17433</v>
      </c>
      <c r="AB962" t="s">
        <v>17434</v>
      </c>
      <c r="AC962" t="s">
        <v>17435</v>
      </c>
      <c r="AD962" t="s">
        <v>17435</v>
      </c>
      <c r="AE962" t="s">
        <v>17436</v>
      </c>
      <c r="AF962" t="s">
        <v>74</v>
      </c>
      <c r="AG962">
        <v>72</v>
      </c>
      <c r="AH962">
        <v>26</v>
      </c>
      <c r="AI962">
        <v>30</v>
      </c>
      <c r="AJ962">
        <v>0</v>
      </c>
      <c r="AK962">
        <v>15</v>
      </c>
      <c r="AL962" t="s">
        <v>521</v>
      </c>
      <c r="AM962" t="s">
        <v>522</v>
      </c>
      <c r="AN962" t="s">
        <v>523</v>
      </c>
      <c r="AO962" t="s">
        <v>3732</v>
      </c>
      <c r="AP962" t="s">
        <v>3733</v>
      </c>
      <c r="AQ962" t="s">
        <v>74</v>
      </c>
      <c r="AR962" t="s">
        <v>3734</v>
      </c>
      <c r="AS962" t="s">
        <v>3735</v>
      </c>
      <c r="AT962" t="s">
        <v>13186</v>
      </c>
      <c r="AU962">
        <v>2014</v>
      </c>
      <c r="AV962">
        <v>169</v>
      </c>
      <c r="AW962" t="s">
        <v>74</v>
      </c>
      <c r="AX962" t="s">
        <v>74</v>
      </c>
      <c r="AY962" t="s">
        <v>74</v>
      </c>
      <c r="AZ962" t="s">
        <v>74</v>
      </c>
      <c r="BA962" t="s">
        <v>74</v>
      </c>
      <c r="BB962">
        <v>319</v>
      </c>
      <c r="BC962">
        <v>333</v>
      </c>
      <c r="BD962" t="s">
        <v>74</v>
      </c>
      <c r="BE962" t="s">
        <v>17437</v>
      </c>
      <c r="BF962" t="str">
        <f>HYPERLINK("http://dx.doi.org/10.1016/j.biocon.2013.12.002","http://dx.doi.org/10.1016/j.biocon.2013.12.002")</f>
        <v>http://dx.doi.org/10.1016/j.biocon.2013.12.002</v>
      </c>
      <c r="BG962" t="s">
        <v>74</v>
      </c>
      <c r="BH962" t="s">
        <v>74</v>
      </c>
      <c r="BI962">
        <v>15</v>
      </c>
      <c r="BJ962" t="s">
        <v>411</v>
      </c>
      <c r="BK962" t="s">
        <v>101</v>
      </c>
      <c r="BL962" t="s">
        <v>412</v>
      </c>
      <c r="BM962" t="s">
        <v>17438</v>
      </c>
      <c r="BN962" t="s">
        <v>74</v>
      </c>
      <c r="BO962" t="s">
        <v>74</v>
      </c>
      <c r="BP962" t="s">
        <v>74</v>
      </c>
      <c r="BQ962" t="s">
        <v>74</v>
      </c>
      <c r="BR962" t="s">
        <v>104</v>
      </c>
      <c r="BS962" t="s">
        <v>17439</v>
      </c>
      <c r="BT962" t="str">
        <f>HYPERLINK("https%3A%2F%2Fwww.webofscience.com%2Fwos%2Fwoscc%2Ffull-record%2FWOS:000333574400036","View Full Record in Web of Science")</f>
        <v>View Full Record in Web of Science</v>
      </c>
    </row>
    <row r="963" spans="1:72" x14ac:dyDescent="0.15">
      <c r="A963" t="s">
        <v>72</v>
      </c>
      <c r="B963" t="s">
        <v>17440</v>
      </c>
      <c r="C963" t="s">
        <v>74</v>
      </c>
      <c r="D963" t="s">
        <v>74</v>
      </c>
      <c r="E963" t="s">
        <v>74</v>
      </c>
      <c r="F963" t="s">
        <v>17441</v>
      </c>
      <c r="G963" t="s">
        <v>74</v>
      </c>
      <c r="H963" t="s">
        <v>74</v>
      </c>
      <c r="I963" t="s">
        <v>17442</v>
      </c>
      <c r="J963" t="s">
        <v>13232</v>
      </c>
      <c r="K963" t="s">
        <v>74</v>
      </c>
      <c r="L963" t="s">
        <v>74</v>
      </c>
      <c r="M963" t="s">
        <v>78</v>
      </c>
      <c r="N963" t="s">
        <v>79</v>
      </c>
      <c r="O963" t="s">
        <v>74</v>
      </c>
      <c r="P963" t="s">
        <v>74</v>
      </c>
      <c r="Q963" t="s">
        <v>74</v>
      </c>
      <c r="R963" t="s">
        <v>74</v>
      </c>
      <c r="S963" t="s">
        <v>74</v>
      </c>
      <c r="T963" t="s">
        <v>74</v>
      </c>
      <c r="U963" t="s">
        <v>17443</v>
      </c>
      <c r="V963" t="s">
        <v>17444</v>
      </c>
      <c r="W963" t="s">
        <v>17445</v>
      </c>
      <c r="X963" t="s">
        <v>15366</v>
      </c>
      <c r="Y963" t="s">
        <v>17446</v>
      </c>
      <c r="Z963" t="s">
        <v>17447</v>
      </c>
      <c r="AA963" t="s">
        <v>17448</v>
      </c>
      <c r="AB963" t="s">
        <v>15370</v>
      </c>
      <c r="AC963" t="s">
        <v>17449</v>
      </c>
      <c r="AD963" t="s">
        <v>15372</v>
      </c>
      <c r="AE963" t="s">
        <v>17450</v>
      </c>
      <c r="AF963" t="s">
        <v>74</v>
      </c>
      <c r="AG963">
        <v>30</v>
      </c>
      <c r="AH963">
        <v>9</v>
      </c>
      <c r="AI963">
        <v>10</v>
      </c>
      <c r="AJ963">
        <v>2</v>
      </c>
      <c r="AK963">
        <v>42</v>
      </c>
      <c r="AL963" t="s">
        <v>12368</v>
      </c>
      <c r="AM963" t="s">
        <v>704</v>
      </c>
      <c r="AN963" t="s">
        <v>12369</v>
      </c>
      <c r="AO963" t="s">
        <v>13244</v>
      </c>
      <c r="AP963" t="s">
        <v>13245</v>
      </c>
      <c r="AQ963" t="s">
        <v>74</v>
      </c>
      <c r="AR963" t="s">
        <v>13246</v>
      </c>
      <c r="AS963" t="s">
        <v>13247</v>
      </c>
      <c r="AT963" t="s">
        <v>74</v>
      </c>
      <c r="AU963">
        <v>2014</v>
      </c>
      <c r="AV963">
        <v>2014</v>
      </c>
      <c r="AW963" t="s">
        <v>74</v>
      </c>
      <c r="AX963" t="s">
        <v>74</v>
      </c>
      <c r="AY963" t="s">
        <v>74</v>
      </c>
      <c r="AZ963" t="s">
        <v>74</v>
      </c>
      <c r="BA963" t="s">
        <v>74</v>
      </c>
      <c r="BB963" t="s">
        <v>74</v>
      </c>
      <c r="BC963" t="s">
        <v>74</v>
      </c>
      <c r="BD963">
        <v>246871</v>
      </c>
      <c r="BE963" t="s">
        <v>17451</v>
      </c>
      <c r="BF963" t="str">
        <f>HYPERLINK("http://dx.doi.org/10.1155/2014/246871","http://dx.doi.org/10.1155/2014/246871")</f>
        <v>http://dx.doi.org/10.1155/2014/246871</v>
      </c>
      <c r="BG963" t="s">
        <v>74</v>
      </c>
      <c r="BH963" t="s">
        <v>74</v>
      </c>
      <c r="BI963">
        <v>6</v>
      </c>
      <c r="BJ963" t="s">
        <v>13249</v>
      </c>
      <c r="BK963" t="s">
        <v>101</v>
      </c>
      <c r="BL963" t="s">
        <v>13250</v>
      </c>
      <c r="BM963" t="s">
        <v>17452</v>
      </c>
      <c r="BN963">
        <v>25110664</v>
      </c>
      <c r="BO963" t="s">
        <v>1270</v>
      </c>
      <c r="BP963" t="s">
        <v>74</v>
      </c>
      <c r="BQ963" t="s">
        <v>74</v>
      </c>
      <c r="BR963" t="s">
        <v>104</v>
      </c>
      <c r="BS963" t="s">
        <v>17453</v>
      </c>
      <c r="BT963" t="str">
        <f>HYPERLINK("https%3A%2F%2Fwww.webofscience.com%2Fwos%2Fwoscc%2Ffull-record%2FWOS:000339312300001","View Full Record in Web of Science")</f>
        <v>View Full Record in Web of Science</v>
      </c>
    </row>
    <row r="964" spans="1:72" x14ac:dyDescent="0.15">
      <c r="A964" t="s">
        <v>72</v>
      </c>
      <c r="B964" t="s">
        <v>17454</v>
      </c>
      <c r="C964" t="s">
        <v>74</v>
      </c>
      <c r="D964" t="s">
        <v>74</v>
      </c>
      <c r="E964" t="s">
        <v>74</v>
      </c>
      <c r="F964" t="s">
        <v>17455</v>
      </c>
      <c r="G964" t="s">
        <v>74</v>
      </c>
      <c r="H964" t="s">
        <v>74</v>
      </c>
      <c r="I964" t="s">
        <v>17456</v>
      </c>
      <c r="J964" t="s">
        <v>17457</v>
      </c>
      <c r="K964" t="s">
        <v>74</v>
      </c>
      <c r="L964" t="s">
        <v>74</v>
      </c>
      <c r="M964" t="s">
        <v>78</v>
      </c>
      <c r="N964" t="s">
        <v>79</v>
      </c>
      <c r="O964" t="s">
        <v>74</v>
      </c>
      <c r="P964" t="s">
        <v>74</v>
      </c>
      <c r="Q964" t="s">
        <v>74</v>
      </c>
      <c r="R964" t="s">
        <v>74</v>
      </c>
      <c r="S964" t="s">
        <v>74</v>
      </c>
      <c r="T964" t="s">
        <v>17458</v>
      </c>
      <c r="U964" t="s">
        <v>17459</v>
      </c>
      <c r="V964" t="s">
        <v>17460</v>
      </c>
      <c r="W964" t="s">
        <v>17461</v>
      </c>
      <c r="X964" t="s">
        <v>17462</v>
      </c>
      <c r="Y964" t="s">
        <v>17463</v>
      </c>
      <c r="Z964" t="s">
        <v>17464</v>
      </c>
      <c r="AA964" t="s">
        <v>17465</v>
      </c>
      <c r="AB964" t="s">
        <v>17466</v>
      </c>
      <c r="AC964" t="s">
        <v>17467</v>
      </c>
      <c r="AD964" t="s">
        <v>17468</v>
      </c>
      <c r="AE964" t="s">
        <v>17469</v>
      </c>
      <c r="AF964" t="s">
        <v>74</v>
      </c>
      <c r="AG964">
        <v>93</v>
      </c>
      <c r="AH964">
        <v>26</v>
      </c>
      <c r="AI964">
        <v>30</v>
      </c>
      <c r="AJ964">
        <v>1</v>
      </c>
      <c r="AK964">
        <v>31</v>
      </c>
      <c r="AL964" t="s">
        <v>145</v>
      </c>
      <c r="AM964" t="s">
        <v>146</v>
      </c>
      <c r="AN964" t="s">
        <v>147</v>
      </c>
      <c r="AO964" t="s">
        <v>17470</v>
      </c>
      <c r="AP964" t="s">
        <v>17471</v>
      </c>
      <c r="AQ964" t="s">
        <v>74</v>
      </c>
      <c r="AR964" t="s">
        <v>17472</v>
      </c>
      <c r="AS964" t="s">
        <v>17473</v>
      </c>
      <c r="AT964" t="s">
        <v>13186</v>
      </c>
      <c r="AU964">
        <v>2014</v>
      </c>
      <c r="AV964">
        <v>19</v>
      </c>
      <c r="AW964">
        <v>1</v>
      </c>
      <c r="AX964" t="s">
        <v>74</v>
      </c>
      <c r="AY964" t="s">
        <v>74</v>
      </c>
      <c r="AZ964" t="s">
        <v>74</v>
      </c>
      <c r="BA964" t="s">
        <v>74</v>
      </c>
      <c r="BB964">
        <v>15</v>
      </c>
      <c r="BC964">
        <v>32</v>
      </c>
      <c r="BD964" t="s">
        <v>74</v>
      </c>
      <c r="BE964" t="s">
        <v>17474</v>
      </c>
      <c r="BF964" t="str">
        <f>HYPERLINK("http://dx.doi.org/10.1007/s12192-013-0431-1","http://dx.doi.org/10.1007/s12192-013-0431-1")</f>
        <v>http://dx.doi.org/10.1007/s12192-013-0431-1</v>
      </c>
      <c r="BG964" t="s">
        <v>74</v>
      </c>
      <c r="BH964" t="s">
        <v>74</v>
      </c>
      <c r="BI964">
        <v>18</v>
      </c>
      <c r="BJ964" t="s">
        <v>17475</v>
      </c>
      <c r="BK964" t="s">
        <v>101</v>
      </c>
      <c r="BL964" t="s">
        <v>17475</v>
      </c>
      <c r="BM964" t="s">
        <v>17476</v>
      </c>
      <c r="BN964">
        <v>23666709</v>
      </c>
      <c r="BO964" t="s">
        <v>17477</v>
      </c>
      <c r="BP964" t="s">
        <v>74</v>
      </c>
      <c r="BQ964" t="s">
        <v>74</v>
      </c>
      <c r="BR964" t="s">
        <v>104</v>
      </c>
      <c r="BS964" t="s">
        <v>17478</v>
      </c>
      <c r="BT964" t="str">
        <f>HYPERLINK("https%3A%2F%2Fwww.webofscience.com%2Fwos%2Fwoscc%2Ffull-record%2FWOS:000328211500002","View Full Record in Web of Science")</f>
        <v>View Full Record in Web of Science</v>
      </c>
    </row>
    <row r="965" spans="1:72" x14ac:dyDescent="0.15">
      <c r="A965" t="s">
        <v>72</v>
      </c>
      <c r="B965" t="s">
        <v>17479</v>
      </c>
      <c r="C965" t="s">
        <v>74</v>
      </c>
      <c r="D965" t="s">
        <v>74</v>
      </c>
      <c r="E965" t="s">
        <v>74</v>
      </c>
      <c r="F965" t="s">
        <v>17480</v>
      </c>
      <c r="G965" t="s">
        <v>74</v>
      </c>
      <c r="H965" t="s">
        <v>74</v>
      </c>
      <c r="I965" t="s">
        <v>17481</v>
      </c>
      <c r="J965" t="s">
        <v>17482</v>
      </c>
      <c r="K965" t="s">
        <v>74</v>
      </c>
      <c r="L965" t="s">
        <v>74</v>
      </c>
      <c r="M965" t="s">
        <v>78</v>
      </c>
      <c r="N965" t="s">
        <v>79</v>
      </c>
      <c r="O965" t="s">
        <v>74</v>
      </c>
      <c r="P965" t="s">
        <v>74</v>
      </c>
      <c r="Q965" t="s">
        <v>74</v>
      </c>
      <c r="R965" t="s">
        <v>74</v>
      </c>
      <c r="S965" t="s">
        <v>74</v>
      </c>
      <c r="T965" t="s">
        <v>17483</v>
      </c>
      <c r="U965" t="s">
        <v>17484</v>
      </c>
      <c r="V965" t="s">
        <v>17485</v>
      </c>
      <c r="W965" t="s">
        <v>17486</v>
      </c>
      <c r="X965" t="s">
        <v>17487</v>
      </c>
      <c r="Y965" t="s">
        <v>17488</v>
      </c>
      <c r="Z965" t="s">
        <v>17489</v>
      </c>
      <c r="AA965" t="s">
        <v>17490</v>
      </c>
      <c r="AB965" t="s">
        <v>17491</v>
      </c>
      <c r="AC965" t="s">
        <v>17492</v>
      </c>
      <c r="AD965" t="s">
        <v>17493</v>
      </c>
      <c r="AE965" t="s">
        <v>17494</v>
      </c>
      <c r="AF965" t="s">
        <v>74</v>
      </c>
      <c r="AG965">
        <v>96</v>
      </c>
      <c r="AH965">
        <v>13</v>
      </c>
      <c r="AI965">
        <v>19</v>
      </c>
      <c r="AJ965">
        <v>0</v>
      </c>
      <c r="AK965">
        <v>67</v>
      </c>
      <c r="AL965" t="s">
        <v>2795</v>
      </c>
      <c r="AM965" t="s">
        <v>2796</v>
      </c>
      <c r="AN965" t="s">
        <v>17495</v>
      </c>
      <c r="AO965" t="s">
        <v>17496</v>
      </c>
      <c r="AP965" t="s">
        <v>17497</v>
      </c>
      <c r="AQ965" t="s">
        <v>74</v>
      </c>
      <c r="AR965" t="s">
        <v>17498</v>
      </c>
      <c r="AS965" t="s">
        <v>17499</v>
      </c>
      <c r="AT965" t="s">
        <v>13186</v>
      </c>
      <c r="AU965">
        <v>2014</v>
      </c>
      <c r="AV965">
        <v>32</v>
      </c>
      <c r="AW965">
        <v>1</v>
      </c>
      <c r="AX965" t="s">
        <v>74</v>
      </c>
      <c r="AY965" t="s">
        <v>74</v>
      </c>
      <c r="AZ965" t="s">
        <v>74</v>
      </c>
      <c r="BA965" t="s">
        <v>74</v>
      </c>
      <c r="BB965">
        <v>187</v>
      </c>
      <c r="BC965">
        <v>200</v>
      </c>
      <c r="BD965" t="s">
        <v>74</v>
      </c>
      <c r="BE965" t="s">
        <v>17500</v>
      </c>
      <c r="BF965" t="str">
        <f>HYPERLINK("http://dx.doi.org/10.1007/s00343-014-3073-y","http://dx.doi.org/10.1007/s00343-014-3073-y")</f>
        <v>http://dx.doi.org/10.1007/s00343-014-3073-y</v>
      </c>
      <c r="BG965" t="s">
        <v>74</v>
      </c>
      <c r="BH965" t="s">
        <v>74</v>
      </c>
      <c r="BI965">
        <v>14</v>
      </c>
      <c r="BJ965" t="s">
        <v>2400</v>
      </c>
      <c r="BK965" t="s">
        <v>101</v>
      </c>
      <c r="BL965" t="s">
        <v>909</v>
      </c>
      <c r="BM965" t="s">
        <v>17501</v>
      </c>
      <c r="BN965" t="s">
        <v>74</v>
      </c>
      <c r="BO965" t="s">
        <v>74</v>
      </c>
      <c r="BP965" t="s">
        <v>74</v>
      </c>
      <c r="BQ965" t="s">
        <v>74</v>
      </c>
      <c r="BR965" t="s">
        <v>104</v>
      </c>
      <c r="BS965" t="s">
        <v>17502</v>
      </c>
      <c r="BT965" t="str">
        <f>HYPERLINK("https%3A%2F%2Fwww.webofscience.com%2Fwos%2Fwoscc%2Ffull-record%2FWOS:000332003500021","View Full Record in Web of Science")</f>
        <v>View Full Record in Web of Science</v>
      </c>
    </row>
    <row r="966" spans="1:72" x14ac:dyDescent="0.15">
      <c r="A966" t="s">
        <v>8803</v>
      </c>
      <c r="B966" t="s">
        <v>17503</v>
      </c>
      <c r="C966" t="s">
        <v>74</v>
      </c>
      <c r="D966" t="s">
        <v>17504</v>
      </c>
      <c r="E966" t="s">
        <v>74</v>
      </c>
      <c r="F966" t="s">
        <v>17505</v>
      </c>
      <c r="G966" t="s">
        <v>74</v>
      </c>
      <c r="H966" t="s">
        <v>74</v>
      </c>
      <c r="I966" t="s">
        <v>17506</v>
      </c>
      <c r="J966" t="s">
        <v>17507</v>
      </c>
      <c r="K966" t="s">
        <v>74</v>
      </c>
      <c r="L966" t="s">
        <v>74</v>
      </c>
      <c r="M966" t="s">
        <v>78</v>
      </c>
      <c r="N966" t="s">
        <v>8809</v>
      </c>
      <c r="O966" t="s">
        <v>74</v>
      </c>
      <c r="P966" t="s">
        <v>74</v>
      </c>
      <c r="Q966" t="s">
        <v>74</v>
      </c>
      <c r="R966" t="s">
        <v>74</v>
      </c>
      <c r="S966" t="s">
        <v>74</v>
      </c>
      <c r="T966" t="s">
        <v>74</v>
      </c>
      <c r="U966" t="s">
        <v>17508</v>
      </c>
      <c r="V966" t="s">
        <v>17509</v>
      </c>
      <c r="W966" t="s">
        <v>17510</v>
      </c>
      <c r="X966" t="s">
        <v>11746</v>
      </c>
      <c r="Y966" t="s">
        <v>17511</v>
      </c>
      <c r="Z966" t="s">
        <v>17512</v>
      </c>
      <c r="AA966" t="s">
        <v>11749</v>
      </c>
      <c r="AB966" t="s">
        <v>17513</v>
      </c>
      <c r="AC966" t="s">
        <v>74</v>
      </c>
      <c r="AD966" t="s">
        <v>74</v>
      </c>
      <c r="AE966" t="s">
        <v>74</v>
      </c>
      <c r="AF966" t="s">
        <v>74</v>
      </c>
      <c r="AG966">
        <v>105</v>
      </c>
      <c r="AH966">
        <v>6</v>
      </c>
      <c r="AI966">
        <v>7</v>
      </c>
      <c r="AJ966">
        <v>0</v>
      </c>
      <c r="AK966">
        <v>0</v>
      </c>
      <c r="AL966" t="s">
        <v>17514</v>
      </c>
      <c r="AM966" t="s">
        <v>12456</v>
      </c>
      <c r="AN966" t="s">
        <v>17515</v>
      </c>
      <c r="AO966" t="s">
        <v>74</v>
      </c>
      <c r="AP966" t="s">
        <v>74</v>
      </c>
      <c r="AQ966" t="s">
        <v>17516</v>
      </c>
      <c r="AR966" t="s">
        <v>74</v>
      </c>
      <c r="AS966" t="s">
        <v>74</v>
      </c>
      <c r="AT966" t="s">
        <v>74</v>
      </c>
      <c r="AU966">
        <v>2014</v>
      </c>
      <c r="AV966" t="s">
        <v>74</v>
      </c>
      <c r="AW966" t="s">
        <v>74</v>
      </c>
      <c r="AX966" t="s">
        <v>74</v>
      </c>
      <c r="AY966" t="s">
        <v>74</v>
      </c>
      <c r="AZ966" t="s">
        <v>74</v>
      </c>
      <c r="BA966" t="s">
        <v>74</v>
      </c>
      <c r="BB966">
        <v>95</v>
      </c>
      <c r="BC966">
        <v>118</v>
      </c>
      <c r="BD966" t="s">
        <v>74</v>
      </c>
      <c r="BE966" t="s">
        <v>74</v>
      </c>
      <c r="BF966" t="s">
        <v>74</v>
      </c>
      <c r="BG966" t="s">
        <v>74</v>
      </c>
      <c r="BH966" t="s">
        <v>74</v>
      </c>
      <c r="BI966">
        <v>24</v>
      </c>
      <c r="BJ966" t="s">
        <v>17517</v>
      </c>
      <c r="BK966" t="s">
        <v>8850</v>
      </c>
      <c r="BL966" t="s">
        <v>17517</v>
      </c>
      <c r="BM966" t="s">
        <v>17518</v>
      </c>
      <c r="BN966" t="s">
        <v>74</v>
      </c>
      <c r="BO966" t="s">
        <v>74</v>
      </c>
      <c r="BP966" t="s">
        <v>74</v>
      </c>
      <c r="BQ966" t="s">
        <v>74</v>
      </c>
      <c r="BR966" t="s">
        <v>104</v>
      </c>
      <c r="BS966" t="s">
        <v>17519</v>
      </c>
      <c r="BT966" t="str">
        <f>HYPERLINK("https%3A%2F%2Fwww.webofscience.com%2Fwos%2Fwoscc%2Ffull-record%2FWOS:000467821700006","View Full Record in Web of Science")</f>
        <v>View Full Record in Web of Science</v>
      </c>
    </row>
    <row r="967" spans="1:72" x14ac:dyDescent="0.15">
      <c r="A967" t="s">
        <v>8803</v>
      </c>
      <c r="B967" t="s">
        <v>8804</v>
      </c>
      <c r="C967" t="s">
        <v>74</v>
      </c>
      <c r="D967" t="s">
        <v>74</v>
      </c>
      <c r="E967" t="s">
        <v>74</v>
      </c>
      <c r="F967" t="s">
        <v>17520</v>
      </c>
      <c r="G967" t="s">
        <v>74</v>
      </c>
      <c r="H967" t="s">
        <v>74</v>
      </c>
      <c r="I967" t="s">
        <v>17521</v>
      </c>
      <c r="J967" t="s">
        <v>8807</v>
      </c>
      <c r="K967" t="s">
        <v>8808</v>
      </c>
      <c r="L967" t="s">
        <v>74</v>
      </c>
      <c r="M967" t="s">
        <v>78</v>
      </c>
      <c r="N967" t="s">
        <v>9460</v>
      </c>
      <c r="O967" t="s">
        <v>74</v>
      </c>
      <c r="P967" t="s">
        <v>74</v>
      </c>
      <c r="Q967" t="s">
        <v>74</v>
      </c>
      <c r="R967" t="s">
        <v>74</v>
      </c>
      <c r="S967" t="s">
        <v>74</v>
      </c>
      <c r="T967" t="s">
        <v>74</v>
      </c>
      <c r="U967" t="s">
        <v>74</v>
      </c>
      <c r="V967" t="s">
        <v>74</v>
      </c>
      <c r="W967" t="s">
        <v>74</v>
      </c>
      <c r="X967" t="s">
        <v>74</v>
      </c>
      <c r="Y967" t="s">
        <v>74</v>
      </c>
      <c r="Z967" t="s">
        <v>74</v>
      </c>
      <c r="AA967" t="s">
        <v>74</v>
      </c>
      <c r="AB967" t="s">
        <v>74</v>
      </c>
      <c r="AC967" t="s">
        <v>74</v>
      </c>
      <c r="AD967" t="s">
        <v>74</v>
      </c>
      <c r="AE967" t="s">
        <v>74</v>
      </c>
      <c r="AF967" t="s">
        <v>74</v>
      </c>
      <c r="AG967">
        <v>138</v>
      </c>
      <c r="AH967">
        <v>18</v>
      </c>
      <c r="AI967">
        <v>19</v>
      </c>
      <c r="AJ967">
        <v>0</v>
      </c>
      <c r="AK967">
        <v>0</v>
      </c>
      <c r="AL967" t="s">
        <v>8810</v>
      </c>
      <c r="AM967" t="s">
        <v>704</v>
      </c>
      <c r="AN967" t="s">
        <v>8811</v>
      </c>
      <c r="AO967" t="s">
        <v>74</v>
      </c>
      <c r="AP967" t="s">
        <v>74</v>
      </c>
      <c r="AQ967" t="s">
        <v>8812</v>
      </c>
      <c r="AR967" t="s">
        <v>8813</v>
      </c>
      <c r="AS967" t="s">
        <v>74</v>
      </c>
      <c r="AT967" t="s">
        <v>74</v>
      </c>
      <c r="AU967">
        <v>2014</v>
      </c>
      <c r="AV967" t="s">
        <v>74</v>
      </c>
      <c r="AW967">
        <v>24</v>
      </c>
      <c r="AX967" t="s">
        <v>74</v>
      </c>
      <c r="AY967" t="s">
        <v>74</v>
      </c>
      <c r="AZ967" t="s">
        <v>74</v>
      </c>
      <c r="BA967" t="s">
        <v>74</v>
      </c>
      <c r="BB967">
        <v>1</v>
      </c>
      <c r="BC967">
        <v>247</v>
      </c>
      <c r="BD967" t="s">
        <v>74</v>
      </c>
      <c r="BE967" t="s">
        <v>74</v>
      </c>
      <c r="BF967" t="s">
        <v>74</v>
      </c>
      <c r="BG967" t="s">
        <v>74</v>
      </c>
      <c r="BH967" t="s">
        <v>74</v>
      </c>
      <c r="BI967">
        <v>247</v>
      </c>
      <c r="BJ967" t="s">
        <v>8814</v>
      </c>
      <c r="BK967" t="s">
        <v>8815</v>
      </c>
      <c r="BL967" t="s">
        <v>8814</v>
      </c>
      <c r="BM967" t="s">
        <v>8816</v>
      </c>
      <c r="BN967" t="s">
        <v>74</v>
      </c>
      <c r="BO967" t="s">
        <v>74</v>
      </c>
      <c r="BP967" t="s">
        <v>74</v>
      </c>
      <c r="BQ967" t="s">
        <v>74</v>
      </c>
      <c r="BR967" t="s">
        <v>104</v>
      </c>
      <c r="BS967" t="s">
        <v>17522</v>
      </c>
      <c r="BT967" t="str">
        <f>HYPERLINK("https%3A%2F%2Fwww.webofscience.com%2Fwos%2Fwoscc%2Ffull-record%2FWOS:000363723700014","View Full Record in Web of Science")</f>
        <v>View Full Record in Web of Science</v>
      </c>
    </row>
    <row r="968" spans="1:72" x14ac:dyDescent="0.15">
      <c r="A968" t="s">
        <v>8803</v>
      </c>
      <c r="B968" t="s">
        <v>8804</v>
      </c>
      <c r="C968" t="s">
        <v>8804</v>
      </c>
      <c r="D968" t="s">
        <v>74</v>
      </c>
      <c r="E968" t="s">
        <v>74</v>
      </c>
      <c r="F968" t="s">
        <v>8805</v>
      </c>
      <c r="G968" t="s">
        <v>8804</v>
      </c>
      <c r="H968" t="s">
        <v>74</v>
      </c>
      <c r="I968" t="s">
        <v>17523</v>
      </c>
      <c r="J968" t="s">
        <v>8807</v>
      </c>
      <c r="K968" t="s">
        <v>8808</v>
      </c>
      <c r="L968" t="s">
        <v>74</v>
      </c>
      <c r="M968" t="s">
        <v>78</v>
      </c>
      <c r="N968" t="s">
        <v>16877</v>
      </c>
      <c r="O968" t="s">
        <v>74</v>
      </c>
      <c r="P968" t="s">
        <v>74</v>
      </c>
      <c r="Q968" t="s">
        <v>74</v>
      </c>
      <c r="R968" t="s">
        <v>74</v>
      </c>
      <c r="S968" t="s">
        <v>74</v>
      </c>
      <c r="T968" t="s">
        <v>74</v>
      </c>
      <c r="U968" t="s">
        <v>74</v>
      </c>
      <c r="V968" t="s">
        <v>74</v>
      </c>
      <c r="W968" t="s">
        <v>74</v>
      </c>
      <c r="X968" t="s">
        <v>74</v>
      </c>
      <c r="Y968" t="s">
        <v>74</v>
      </c>
      <c r="Z968" t="s">
        <v>74</v>
      </c>
      <c r="AA968" t="s">
        <v>74</v>
      </c>
      <c r="AB968" t="s">
        <v>74</v>
      </c>
      <c r="AC968" t="s">
        <v>74</v>
      </c>
      <c r="AD968" t="s">
        <v>74</v>
      </c>
      <c r="AE968" t="s">
        <v>74</v>
      </c>
      <c r="AF968" t="s">
        <v>74</v>
      </c>
      <c r="AG968">
        <v>0</v>
      </c>
      <c r="AH968">
        <v>0</v>
      </c>
      <c r="AI968">
        <v>0</v>
      </c>
      <c r="AJ968">
        <v>0</v>
      </c>
      <c r="AK968">
        <v>0</v>
      </c>
      <c r="AL968" t="s">
        <v>8810</v>
      </c>
      <c r="AM968" t="s">
        <v>704</v>
      </c>
      <c r="AN968" t="s">
        <v>8811</v>
      </c>
      <c r="AO968" t="s">
        <v>74</v>
      </c>
      <c r="AP968" t="s">
        <v>74</v>
      </c>
      <c r="AQ968" t="s">
        <v>8812</v>
      </c>
      <c r="AR968" t="s">
        <v>8813</v>
      </c>
      <c r="AS968" t="s">
        <v>74</v>
      </c>
      <c r="AT968" t="s">
        <v>74</v>
      </c>
      <c r="AU968">
        <v>2014</v>
      </c>
      <c r="AV968" t="s">
        <v>74</v>
      </c>
      <c r="AW968">
        <v>24</v>
      </c>
      <c r="AX968" t="s">
        <v>74</v>
      </c>
      <c r="AY968" t="s">
        <v>74</v>
      </c>
      <c r="AZ968" t="s">
        <v>74</v>
      </c>
      <c r="BA968" t="s">
        <v>74</v>
      </c>
      <c r="BB968">
        <v>1</v>
      </c>
      <c r="BC968" t="s">
        <v>5223</v>
      </c>
      <c r="BD968" t="s">
        <v>74</v>
      </c>
      <c r="BE968" t="s">
        <v>74</v>
      </c>
      <c r="BF968" t="s">
        <v>74</v>
      </c>
      <c r="BG968" t="s">
        <v>74</v>
      </c>
      <c r="BH968" t="s">
        <v>74</v>
      </c>
      <c r="BI968">
        <v>17</v>
      </c>
      <c r="BJ968" t="s">
        <v>8814</v>
      </c>
      <c r="BK968" t="s">
        <v>8815</v>
      </c>
      <c r="BL968" t="s">
        <v>8814</v>
      </c>
      <c r="BM968" t="s">
        <v>8816</v>
      </c>
      <c r="BN968" t="s">
        <v>74</v>
      </c>
      <c r="BO968" t="s">
        <v>74</v>
      </c>
      <c r="BP968" t="s">
        <v>74</v>
      </c>
      <c r="BQ968" t="s">
        <v>74</v>
      </c>
      <c r="BR968" t="s">
        <v>104</v>
      </c>
      <c r="BS968" t="s">
        <v>17524</v>
      </c>
      <c r="BT968" t="str">
        <f>HYPERLINK("https%3A%2F%2Fwww.webofscience.com%2Fwos%2Fwoscc%2Ffull-record%2FWOS:000363723700001","View Full Record in Web of Science")</f>
        <v>View Full Record in Web of Science</v>
      </c>
    </row>
    <row r="969" spans="1:72" x14ac:dyDescent="0.15">
      <c r="A969" t="s">
        <v>8803</v>
      </c>
      <c r="B969" t="s">
        <v>8804</v>
      </c>
      <c r="C969" t="s">
        <v>8804</v>
      </c>
      <c r="D969" t="s">
        <v>74</v>
      </c>
      <c r="E969" t="s">
        <v>74</v>
      </c>
      <c r="F969" t="s">
        <v>8805</v>
      </c>
      <c r="G969" t="s">
        <v>8804</v>
      </c>
      <c r="H969" t="s">
        <v>74</v>
      </c>
      <c r="I969" t="s">
        <v>17525</v>
      </c>
      <c r="J969" t="s">
        <v>8807</v>
      </c>
      <c r="K969" t="s">
        <v>8808</v>
      </c>
      <c r="L969" t="s">
        <v>74</v>
      </c>
      <c r="M969" t="s">
        <v>78</v>
      </c>
      <c r="N969" t="s">
        <v>16877</v>
      </c>
      <c r="O969" t="s">
        <v>74</v>
      </c>
      <c r="P969" t="s">
        <v>74</v>
      </c>
      <c r="Q969" t="s">
        <v>74</v>
      </c>
      <c r="R969" t="s">
        <v>74</v>
      </c>
      <c r="S969" t="s">
        <v>74</v>
      </c>
      <c r="T969" t="s">
        <v>74</v>
      </c>
      <c r="U969" t="s">
        <v>74</v>
      </c>
      <c r="V969" t="s">
        <v>74</v>
      </c>
      <c r="W969" t="s">
        <v>74</v>
      </c>
      <c r="X969" t="s">
        <v>74</v>
      </c>
      <c r="Y969" t="s">
        <v>74</v>
      </c>
      <c r="Z969" t="s">
        <v>74</v>
      </c>
      <c r="AA969" t="s">
        <v>74</v>
      </c>
      <c r="AB969" t="s">
        <v>74</v>
      </c>
      <c r="AC969" t="s">
        <v>74</v>
      </c>
      <c r="AD969" t="s">
        <v>74</v>
      </c>
      <c r="AE969" t="s">
        <v>74</v>
      </c>
      <c r="AF969" t="s">
        <v>74</v>
      </c>
      <c r="AG969">
        <v>0</v>
      </c>
      <c r="AH969">
        <v>0</v>
      </c>
      <c r="AI969">
        <v>0</v>
      </c>
      <c r="AJ969">
        <v>0</v>
      </c>
      <c r="AK969">
        <v>0</v>
      </c>
      <c r="AL969" t="s">
        <v>8810</v>
      </c>
      <c r="AM969" t="s">
        <v>704</v>
      </c>
      <c r="AN969" t="s">
        <v>8811</v>
      </c>
      <c r="AO969" t="s">
        <v>74</v>
      </c>
      <c r="AP969" t="s">
        <v>74</v>
      </c>
      <c r="AQ969" t="s">
        <v>8812</v>
      </c>
      <c r="AR969" t="s">
        <v>8813</v>
      </c>
      <c r="AS969" t="s">
        <v>74</v>
      </c>
      <c r="AT969" t="s">
        <v>74</v>
      </c>
      <c r="AU969">
        <v>2014</v>
      </c>
      <c r="AV969" t="s">
        <v>74</v>
      </c>
      <c r="AW969">
        <v>24</v>
      </c>
      <c r="AX969" t="s">
        <v>74</v>
      </c>
      <c r="AY969" t="s">
        <v>74</v>
      </c>
      <c r="AZ969" t="s">
        <v>74</v>
      </c>
      <c r="BA969" t="s">
        <v>74</v>
      </c>
      <c r="BB969">
        <v>193</v>
      </c>
      <c r="BC969" t="s">
        <v>5223</v>
      </c>
      <c r="BD969" t="s">
        <v>74</v>
      </c>
      <c r="BE969" t="s">
        <v>74</v>
      </c>
      <c r="BF969" t="s">
        <v>74</v>
      </c>
      <c r="BG969" t="s">
        <v>74</v>
      </c>
      <c r="BH969" t="s">
        <v>74</v>
      </c>
      <c r="BI969">
        <v>7</v>
      </c>
      <c r="BJ969" t="s">
        <v>8814</v>
      </c>
      <c r="BK969" t="s">
        <v>8815</v>
      </c>
      <c r="BL969" t="s">
        <v>8814</v>
      </c>
      <c r="BM969" t="s">
        <v>8816</v>
      </c>
      <c r="BN969" t="s">
        <v>74</v>
      </c>
      <c r="BO969" t="s">
        <v>74</v>
      </c>
      <c r="BP969" t="s">
        <v>74</v>
      </c>
      <c r="BQ969" t="s">
        <v>74</v>
      </c>
      <c r="BR969" t="s">
        <v>104</v>
      </c>
      <c r="BS969" t="s">
        <v>17526</v>
      </c>
      <c r="BT969" t="str">
        <f>HYPERLINK("https%3A%2F%2Fwww.webofscience.com%2Fwos%2Fwoscc%2Ffull-record%2FWOS:000363723700013","View Full Record in Web of Science")</f>
        <v>View Full Record in Web of Science</v>
      </c>
    </row>
    <row r="970" spans="1:72" x14ac:dyDescent="0.15">
      <c r="A970" t="s">
        <v>8803</v>
      </c>
      <c r="B970" t="s">
        <v>17527</v>
      </c>
      <c r="C970" t="s">
        <v>74</v>
      </c>
      <c r="D970" t="s">
        <v>17528</v>
      </c>
      <c r="E970" t="s">
        <v>74</v>
      </c>
      <c r="F970" t="s">
        <v>17529</v>
      </c>
      <c r="G970" t="s">
        <v>74</v>
      </c>
      <c r="H970" t="s">
        <v>74</v>
      </c>
      <c r="I970" t="s">
        <v>17530</v>
      </c>
      <c r="J970" t="s">
        <v>17531</v>
      </c>
      <c r="K970" t="s">
        <v>74</v>
      </c>
      <c r="L970" t="s">
        <v>74</v>
      </c>
      <c r="M970" t="s">
        <v>78</v>
      </c>
      <c r="N970" t="s">
        <v>8809</v>
      </c>
      <c r="O970" t="s">
        <v>74</v>
      </c>
      <c r="P970" t="s">
        <v>74</v>
      </c>
      <c r="Q970" t="s">
        <v>74</v>
      </c>
      <c r="R970" t="s">
        <v>74</v>
      </c>
      <c r="S970" t="s">
        <v>74</v>
      </c>
      <c r="T970" t="s">
        <v>74</v>
      </c>
      <c r="U970" t="s">
        <v>17532</v>
      </c>
      <c r="V970" t="s">
        <v>74</v>
      </c>
      <c r="W970" t="s">
        <v>74</v>
      </c>
      <c r="X970" t="s">
        <v>74</v>
      </c>
      <c r="Y970" t="s">
        <v>74</v>
      </c>
      <c r="Z970" t="s">
        <v>74</v>
      </c>
      <c r="AA970" t="s">
        <v>17533</v>
      </c>
      <c r="AB970" t="s">
        <v>17534</v>
      </c>
      <c r="AC970" t="s">
        <v>74</v>
      </c>
      <c r="AD970" t="s">
        <v>74</v>
      </c>
      <c r="AE970" t="s">
        <v>74</v>
      </c>
      <c r="AF970" t="s">
        <v>74</v>
      </c>
      <c r="AG970">
        <v>410</v>
      </c>
      <c r="AH970">
        <v>350</v>
      </c>
      <c r="AI970">
        <v>377</v>
      </c>
      <c r="AJ970">
        <v>0</v>
      </c>
      <c r="AK970">
        <v>0</v>
      </c>
      <c r="AL970" t="s">
        <v>91</v>
      </c>
      <c r="AM970" t="s">
        <v>1948</v>
      </c>
      <c r="AN970" t="s">
        <v>12300</v>
      </c>
      <c r="AO970" t="s">
        <v>74</v>
      </c>
      <c r="AP970" t="s">
        <v>74</v>
      </c>
      <c r="AQ970" t="s">
        <v>17535</v>
      </c>
      <c r="AR970" t="s">
        <v>74</v>
      </c>
      <c r="AS970" t="s">
        <v>74</v>
      </c>
      <c r="AT970" t="s">
        <v>74</v>
      </c>
      <c r="AU970">
        <v>2014</v>
      </c>
      <c r="AV970" t="s">
        <v>74</v>
      </c>
      <c r="AW970" t="s">
        <v>74</v>
      </c>
      <c r="AX970" t="s">
        <v>74</v>
      </c>
      <c r="AY970" t="s">
        <v>74</v>
      </c>
      <c r="AZ970" t="s">
        <v>74</v>
      </c>
      <c r="BA970" t="s">
        <v>74</v>
      </c>
      <c r="BB970">
        <v>255</v>
      </c>
      <c r="BC970">
        <v>315</v>
      </c>
      <c r="BD970" t="s">
        <v>74</v>
      </c>
      <c r="BE970" t="s">
        <v>74</v>
      </c>
      <c r="BF970" t="s">
        <v>74</v>
      </c>
      <c r="BG970" t="s">
        <v>74</v>
      </c>
      <c r="BH970" t="s">
        <v>74</v>
      </c>
      <c r="BI970">
        <v>61</v>
      </c>
      <c r="BJ970" t="s">
        <v>17536</v>
      </c>
      <c r="BK970" t="s">
        <v>13929</v>
      </c>
      <c r="BL970" t="s">
        <v>357</v>
      </c>
      <c r="BM970" t="s">
        <v>17537</v>
      </c>
      <c r="BN970" t="s">
        <v>74</v>
      </c>
      <c r="BO970" t="s">
        <v>74</v>
      </c>
      <c r="BP970" t="s">
        <v>74</v>
      </c>
      <c r="BQ970" t="s">
        <v>74</v>
      </c>
      <c r="BR970" t="s">
        <v>104</v>
      </c>
      <c r="BS970" t="s">
        <v>17538</v>
      </c>
      <c r="BT970" t="str">
        <f>HYPERLINK("https%3A%2F%2Fwww.webofscience.com%2Fwos%2Fwoscc%2Ffull-record%2FWOS:000368114000007","View Full Record in Web of Science")</f>
        <v>View Full Record in Web of Science</v>
      </c>
    </row>
    <row r="971" spans="1:72" x14ac:dyDescent="0.15">
      <c r="A971" t="s">
        <v>8803</v>
      </c>
      <c r="B971" t="s">
        <v>17539</v>
      </c>
      <c r="C971" t="s">
        <v>74</v>
      </c>
      <c r="D971" t="s">
        <v>17528</v>
      </c>
      <c r="E971" t="s">
        <v>74</v>
      </c>
      <c r="F971" t="s">
        <v>17540</v>
      </c>
      <c r="G971" t="s">
        <v>74</v>
      </c>
      <c r="H971" t="s">
        <v>74</v>
      </c>
      <c r="I971" t="s">
        <v>17541</v>
      </c>
      <c r="J971" t="s">
        <v>17531</v>
      </c>
      <c r="K971" t="s">
        <v>74</v>
      </c>
      <c r="L971" t="s">
        <v>74</v>
      </c>
      <c r="M971" t="s">
        <v>78</v>
      </c>
      <c r="N971" t="s">
        <v>8809</v>
      </c>
      <c r="O971" t="s">
        <v>74</v>
      </c>
      <c r="P971" t="s">
        <v>74</v>
      </c>
      <c r="Q971" t="s">
        <v>74</v>
      </c>
      <c r="R971" t="s">
        <v>74</v>
      </c>
      <c r="S971" t="s">
        <v>74</v>
      </c>
      <c r="T971" t="s">
        <v>74</v>
      </c>
      <c r="U971" t="s">
        <v>17542</v>
      </c>
      <c r="V971" t="s">
        <v>74</v>
      </c>
      <c r="W971" t="s">
        <v>74</v>
      </c>
      <c r="X971" t="s">
        <v>74</v>
      </c>
      <c r="Y971" t="s">
        <v>74</v>
      </c>
      <c r="Z971" t="s">
        <v>74</v>
      </c>
      <c r="AA971" t="s">
        <v>17543</v>
      </c>
      <c r="AB971" t="s">
        <v>17544</v>
      </c>
      <c r="AC971" t="s">
        <v>74</v>
      </c>
      <c r="AD971" t="s">
        <v>74</v>
      </c>
      <c r="AE971" t="s">
        <v>74</v>
      </c>
      <c r="AF971" t="s">
        <v>74</v>
      </c>
      <c r="AG971">
        <v>550</v>
      </c>
      <c r="AH971">
        <v>397</v>
      </c>
      <c r="AI971">
        <v>443</v>
      </c>
      <c r="AJ971">
        <v>3</v>
      </c>
      <c r="AK971">
        <v>4</v>
      </c>
      <c r="AL971" t="s">
        <v>91</v>
      </c>
      <c r="AM971" t="s">
        <v>1948</v>
      </c>
      <c r="AN971" t="s">
        <v>12300</v>
      </c>
      <c r="AO971" t="s">
        <v>74</v>
      </c>
      <c r="AP971" t="s">
        <v>74</v>
      </c>
      <c r="AQ971" t="s">
        <v>17535</v>
      </c>
      <c r="AR971" t="s">
        <v>74</v>
      </c>
      <c r="AS971" t="s">
        <v>74</v>
      </c>
      <c r="AT971" t="s">
        <v>74</v>
      </c>
      <c r="AU971">
        <v>2014</v>
      </c>
      <c r="AV971" t="s">
        <v>74</v>
      </c>
      <c r="AW971" t="s">
        <v>74</v>
      </c>
      <c r="AX971" t="s">
        <v>74</v>
      </c>
      <c r="AY971" t="s">
        <v>74</v>
      </c>
      <c r="AZ971" t="s">
        <v>74</v>
      </c>
      <c r="BA971" t="s">
        <v>74</v>
      </c>
      <c r="BB971">
        <v>317</v>
      </c>
      <c r="BC971">
        <v>382</v>
      </c>
      <c r="BD971" t="s">
        <v>74</v>
      </c>
      <c r="BE971" t="s">
        <v>74</v>
      </c>
      <c r="BF971" t="s">
        <v>74</v>
      </c>
      <c r="BG971" t="s">
        <v>74</v>
      </c>
      <c r="BH971" t="s">
        <v>74</v>
      </c>
      <c r="BI971">
        <v>66</v>
      </c>
      <c r="BJ971" t="s">
        <v>17536</v>
      </c>
      <c r="BK971" t="s">
        <v>13929</v>
      </c>
      <c r="BL971" t="s">
        <v>357</v>
      </c>
      <c r="BM971" t="s">
        <v>17537</v>
      </c>
      <c r="BN971" t="s">
        <v>74</v>
      </c>
      <c r="BO971" t="s">
        <v>74</v>
      </c>
      <c r="BP971" t="s">
        <v>74</v>
      </c>
      <c r="BQ971" t="s">
        <v>74</v>
      </c>
      <c r="BR971" t="s">
        <v>104</v>
      </c>
      <c r="BS971" t="s">
        <v>17545</v>
      </c>
      <c r="BT971" t="str">
        <f>HYPERLINK("https%3A%2F%2Fwww.webofscience.com%2Fwos%2Fwoscc%2Ffull-record%2FWOS:000368114000008","View Full Record in Web of Science")</f>
        <v>View Full Record in Web of Science</v>
      </c>
    </row>
    <row r="972" spans="1:72" x14ac:dyDescent="0.15">
      <c r="A972" t="s">
        <v>8803</v>
      </c>
      <c r="B972" t="s">
        <v>17546</v>
      </c>
      <c r="C972" t="s">
        <v>74</v>
      </c>
      <c r="D972" t="s">
        <v>17528</v>
      </c>
      <c r="E972" t="s">
        <v>74</v>
      </c>
      <c r="F972" t="s">
        <v>17547</v>
      </c>
      <c r="G972" t="s">
        <v>74</v>
      </c>
      <c r="H972" t="s">
        <v>74</v>
      </c>
      <c r="I972" t="s">
        <v>17548</v>
      </c>
      <c r="J972" t="s">
        <v>17531</v>
      </c>
      <c r="K972" t="s">
        <v>74</v>
      </c>
      <c r="L972" t="s">
        <v>74</v>
      </c>
      <c r="M972" t="s">
        <v>78</v>
      </c>
      <c r="N972" t="s">
        <v>8809</v>
      </c>
      <c r="O972" t="s">
        <v>74</v>
      </c>
      <c r="P972" t="s">
        <v>74</v>
      </c>
      <c r="Q972" t="s">
        <v>74</v>
      </c>
      <c r="R972" t="s">
        <v>74</v>
      </c>
      <c r="S972" t="s">
        <v>74</v>
      </c>
      <c r="T972" t="s">
        <v>74</v>
      </c>
      <c r="U972" t="s">
        <v>17549</v>
      </c>
      <c r="V972" t="s">
        <v>74</v>
      </c>
      <c r="W972" t="s">
        <v>74</v>
      </c>
      <c r="X972" t="s">
        <v>74</v>
      </c>
      <c r="Y972" t="s">
        <v>74</v>
      </c>
      <c r="Z972" t="s">
        <v>74</v>
      </c>
      <c r="AA972" t="s">
        <v>17550</v>
      </c>
      <c r="AB972" t="s">
        <v>17551</v>
      </c>
      <c r="AC972" t="s">
        <v>74</v>
      </c>
      <c r="AD972" t="s">
        <v>74</v>
      </c>
      <c r="AE972" t="s">
        <v>74</v>
      </c>
      <c r="AF972" t="s">
        <v>74</v>
      </c>
      <c r="AG972">
        <v>1013</v>
      </c>
      <c r="AH972">
        <v>350</v>
      </c>
      <c r="AI972">
        <v>355</v>
      </c>
      <c r="AJ972">
        <v>0</v>
      </c>
      <c r="AK972">
        <v>22</v>
      </c>
      <c r="AL972" t="s">
        <v>91</v>
      </c>
      <c r="AM972" t="s">
        <v>1948</v>
      </c>
      <c r="AN972" t="s">
        <v>12300</v>
      </c>
      <c r="AO972" t="s">
        <v>74</v>
      </c>
      <c r="AP972" t="s">
        <v>74</v>
      </c>
      <c r="AQ972" t="s">
        <v>17535</v>
      </c>
      <c r="AR972" t="s">
        <v>74</v>
      </c>
      <c r="AS972" t="s">
        <v>74</v>
      </c>
      <c r="AT972" t="s">
        <v>74</v>
      </c>
      <c r="AU972">
        <v>2014</v>
      </c>
      <c r="AV972" t="s">
        <v>74</v>
      </c>
      <c r="AW972" t="s">
        <v>74</v>
      </c>
      <c r="AX972" t="s">
        <v>74</v>
      </c>
      <c r="AY972" t="s">
        <v>74</v>
      </c>
      <c r="AZ972" t="s">
        <v>74</v>
      </c>
      <c r="BA972" t="s">
        <v>74</v>
      </c>
      <c r="BB972">
        <v>383</v>
      </c>
      <c r="BC972">
        <v>464</v>
      </c>
      <c r="BD972" t="s">
        <v>74</v>
      </c>
      <c r="BE972" t="s">
        <v>74</v>
      </c>
      <c r="BF972" t="s">
        <v>74</v>
      </c>
      <c r="BG972" t="s">
        <v>74</v>
      </c>
      <c r="BH972" t="s">
        <v>74</v>
      </c>
      <c r="BI972">
        <v>82</v>
      </c>
      <c r="BJ972" t="s">
        <v>17536</v>
      </c>
      <c r="BK972" t="s">
        <v>13929</v>
      </c>
      <c r="BL972" t="s">
        <v>357</v>
      </c>
      <c r="BM972" t="s">
        <v>17537</v>
      </c>
      <c r="BN972" t="s">
        <v>74</v>
      </c>
      <c r="BO972" t="s">
        <v>74</v>
      </c>
      <c r="BP972" t="s">
        <v>74</v>
      </c>
      <c r="BQ972" t="s">
        <v>74</v>
      </c>
      <c r="BR972" t="s">
        <v>104</v>
      </c>
      <c r="BS972" t="s">
        <v>17552</v>
      </c>
      <c r="BT972" t="str">
        <f>HYPERLINK("https%3A%2F%2Fwww.webofscience.com%2Fwos%2Fwoscc%2Ffull-record%2FWOS:000368114000009","View Full Record in Web of Science")</f>
        <v>View Full Record in Web of Science</v>
      </c>
    </row>
    <row r="973" spans="1:72" x14ac:dyDescent="0.15">
      <c r="A973" t="s">
        <v>72</v>
      </c>
      <c r="B973" t="s">
        <v>17553</v>
      </c>
      <c r="C973" t="s">
        <v>74</v>
      </c>
      <c r="D973" t="s">
        <v>74</v>
      </c>
      <c r="E973" t="s">
        <v>74</v>
      </c>
      <c r="F973" t="s">
        <v>17554</v>
      </c>
      <c r="G973" t="s">
        <v>74</v>
      </c>
      <c r="H973" t="s">
        <v>74</v>
      </c>
      <c r="I973" t="s">
        <v>17555</v>
      </c>
      <c r="J973" t="s">
        <v>3427</v>
      </c>
      <c r="K973" t="s">
        <v>74</v>
      </c>
      <c r="L973" t="s">
        <v>74</v>
      </c>
      <c r="M973" t="s">
        <v>78</v>
      </c>
      <c r="N973" t="s">
        <v>79</v>
      </c>
      <c r="O973" t="s">
        <v>74</v>
      </c>
      <c r="P973" t="s">
        <v>74</v>
      </c>
      <c r="Q973" t="s">
        <v>74</v>
      </c>
      <c r="R973" t="s">
        <v>74</v>
      </c>
      <c r="S973" t="s">
        <v>74</v>
      </c>
      <c r="T973" t="s">
        <v>17556</v>
      </c>
      <c r="U973" t="s">
        <v>17557</v>
      </c>
      <c r="V973" t="s">
        <v>17558</v>
      </c>
      <c r="W973" t="s">
        <v>17559</v>
      </c>
      <c r="X973" t="s">
        <v>17560</v>
      </c>
      <c r="Y973" t="s">
        <v>17561</v>
      </c>
      <c r="Z973" t="s">
        <v>17562</v>
      </c>
      <c r="AA973" t="s">
        <v>17563</v>
      </c>
      <c r="AB973" t="s">
        <v>17564</v>
      </c>
      <c r="AC973" t="s">
        <v>17565</v>
      </c>
      <c r="AD973" t="s">
        <v>17566</v>
      </c>
      <c r="AE973" t="s">
        <v>17567</v>
      </c>
      <c r="AF973" t="s">
        <v>74</v>
      </c>
      <c r="AG973">
        <v>46</v>
      </c>
      <c r="AH973">
        <v>313</v>
      </c>
      <c r="AI973">
        <v>356</v>
      </c>
      <c r="AJ973">
        <v>18</v>
      </c>
      <c r="AK973">
        <v>211</v>
      </c>
      <c r="AL973" t="s">
        <v>145</v>
      </c>
      <c r="AM973" t="s">
        <v>92</v>
      </c>
      <c r="AN973" t="s">
        <v>3045</v>
      </c>
      <c r="AO973" t="s">
        <v>3438</v>
      </c>
      <c r="AP973" t="s">
        <v>3439</v>
      </c>
      <c r="AQ973" t="s">
        <v>74</v>
      </c>
      <c r="AR973" t="s">
        <v>3440</v>
      </c>
      <c r="AS973" t="s">
        <v>3441</v>
      </c>
      <c r="AT973" t="s">
        <v>13186</v>
      </c>
      <c r="AU973">
        <v>2014</v>
      </c>
      <c r="AV973">
        <v>42</v>
      </c>
      <c r="AW973" t="s">
        <v>1531</v>
      </c>
      <c r="AX973" t="s">
        <v>74</v>
      </c>
      <c r="AY973" t="s">
        <v>74</v>
      </c>
      <c r="AZ973" t="s">
        <v>74</v>
      </c>
      <c r="BA973" t="s">
        <v>74</v>
      </c>
      <c r="BB973">
        <v>37</v>
      </c>
      <c r="BC973">
        <v>58</v>
      </c>
      <c r="BD973" t="s">
        <v>74</v>
      </c>
      <c r="BE973" t="s">
        <v>17568</v>
      </c>
      <c r="BF973" t="str">
        <f>HYPERLINK("http://dx.doi.org/10.1007/s00382-013-1719-7","http://dx.doi.org/10.1007/s00382-013-1719-7")</f>
        <v>http://dx.doi.org/10.1007/s00382-013-1719-7</v>
      </c>
      <c r="BG973" t="s">
        <v>74</v>
      </c>
      <c r="BH973" t="s">
        <v>74</v>
      </c>
      <c r="BI973">
        <v>22</v>
      </c>
      <c r="BJ973" t="s">
        <v>1391</v>
      </c>
      <c r="BK973" t="s">
        <v>101</v>
      </c>
      <c r="BL973" t="s">
        <v>1391</v>
      </c>
      <c r="BM973" t="s">
        <v>15769</v>
      </c>
      <c r="BN973" t="s">
        <v>74</v>
      </c>
      <c r="BO973" t="s">
        <v>74</v>
      </c>
      <c r="BP973" t="s">
        <v>811</v>
      </c>
      <c r="BQ973" t="s">
        <v>812</v>
      </c>
      <c r="BR973" t="s">
        <v>104</v>
      </c>
      <c r="BS973" t="s">
        <v>17569</v>
      </c>
      <c r="BT973" t="str">
        <f>HYPERLINK("https%3A%2F%2Fwww.webofscience.com%2Fwos%2Fwoscc%2Ffull-record%2FWOS:000329238300003","View Full Record in Web of Science")</f>
        <v>View Full Record in Web of Science</v>
      </c>
    </row>
    <row r="974" spans="1:72" x14ac:dyDescent="0.15">
      <c r="A974" t="s">
        <v>72</v>
      </c>
      <c r="B974" t="s">
        <v>17570</v>
      </c>
      <c r="C974" t="s">
        <v>74</v>
      </c>
      <c r="D974" t="s">
        <v>74</v>
      </c>
      <c r="E974" t="s">
        <v>74</v>
      </c>
      <c r="F974" t="s">
        <v>17571</v>
      </c>
      <c r="G974" t="s">
        <v>74</v>
      </c>
      <c r="H974" t="s">
        <v>74</v>
      </c>
      <c r="I974" t="s">
        <v>17572</v>
      </c>
      <c r="J974" t="s">
        <v>10325</v>
      </c>
      <c r="K974" t="s">
        <v>74</v>
      </c>
      <c r="L974" t="s">
        <v>74</v>
      </c>
      <c r="M974" t="s">
        <v>78</v>
      </c>
      <c r="N974" t="s">
        <v>79</v>
      </c>
      <c r="O974" t="s">
        <v>74</v>
      </c>
      <c r="P974" t="s">
        <v>74</v>
      </c>
      <c r="Q974" t="s">
        <v>74</v>
      </c>
      <c r="R974" t="s">
        <v>74</v>
      </c>
      <c r="S974" t="s">
        <v>74</v>
      </c>
      <c r="T974" t="s">
        <v>74</v>
      </c>
      <c r="U974" t="s">
        <v>17573</v>
      </c>
      <c r="V974" t="s">
        <v>17574</v>
      </c>
      <c r="W974" t="s">
        <v>17575</v>
      </c>
      <c r="X974" t="s">
        <v>4561</v>
      </c>
      <c r="Y974" t="s">
        <v>17576</v>
      </c>
      <c r="Z974" t="s">
        <v>17577</v>
      </c>
      <c r="AA974" t="s">
        <v>17578</v>
      </c>
      <c r="AB974" t="s">
        <v>17579</v>
      </c>
      <c r="AC974" t="s">
        <v>17580</v>
      </c>
      <c r="AD974" t="s">
        <v>17581</v>
      </c>
      <c r="AE974" t="s">
        <v>17582</v>
      </c>
      <c r="AF974" t="s">
        <v>74</v>
      </c>
      <c r="AG974">
        <v>79</v>
      </c>
      <c r="AH974">
        <v>38</v>
      </c>
      <c r="AI974">
        <v>39</v>
      </c>
      <c r="AJ974">
        <v>0</v>
      </c>
      <c r="AK974">
        <v>36</v>
      </c>
      <c r="AL974" t="s">
        <v>1463</v>
      </c>
      <c r="AM974" t="s">
        <v>1464</v>
      </c>
      <c r="AN974" t="s">
        <v>1465</v>
      </c>
      <c r="AO974" t="s">
        <v>10336</v>
      </c>
      <c r="AP974" t="s">
        <v>10337</v>
      </c>
      <c r="AQ974" t="s">
        <v>74</v>
      </c>
      <c r="AR974" t="s">
        <v>10338</v>
      </c>
      <c r="AS974" t="s">
        <v>10339</v>
      </c>
      <c r="AT974" t="s">
        <v>74</v>
      </c>
      <c r="AU974">
        <v>2014</v>
      </c>
      <c r="AV974">
        <v>10</v>
      </c>
      <c r="AW974">
        <v>1</v>
      </c>
      <c r="AX974" t="s">
        <v>74</v>
      </c>
      <c r="AY974" t="s">
        <v>74</v>
      </c>
      <c r="AZ974" t="s">
        <v>74</v>
      </c>
      <c r="BA974" t="s">
        <v>74</v>
      </c>
      <c r="BB974">
        <v>293</v>
      </c>
      <c r="BC974">
        <v>303</v>
      </c>
      <c r="BD974" t="s">
        <v>74</v>
      </c>
      <c r="BE974" t="s">
        <v>17583</v>
      </c>
      <c r="BF974" t="str">
        <f>HYPERLINK("http://dx.doi.org/10.5194/cp-10-293-2014","http://dx.doi.org/10.5194/cp-10-293-2014")</f>
        <v>http://dx.doi.org/10.5194/cp-10-293-2014</v>
      </c>
      <c r="BG974" t="s">
        <v>74</v>
      </c>
      <c r="BH974" t="s">
        <v>74</v>
      </c>
      <c r="BI974">
        <v>11</v>
      </c>
      <c r="BJ974" t="s">
        <v>9225</v>
      </c>
      <c r="BK974" t="s">
        <v>101</v>
      </c>
      <c r="BL974" t="s">
        <v>9226</v>
      </c>
      <c r="BM974" t="s">
        <v>14420</v>
      </c>
      <c r="BN974" t="s">
        <v>74</v>
      </c>
      <c r="BO974" t="s">
        <v>6156</v>
      </c>
      <c r="BP974" t="s">
        <v>74</v>
      </c>
      <c r="BQ974" t="s">
        <v>74</v>
      </c>
      <c r="BR974" t="s">
        <v>104</v>
      </c>
      <c r="BS974" t="s">
        <v>17584</v>
      </c>
      <c r="BT974" t="str">
        <f>HYPERLINK("https%3A%2F%2Fwww.webofscience.com%2Fwos%2Fwoscc%2Ffull-record%2FWOS:000333837600020","View Full Record in Web of Science")</f>
        <v>View Full Record in Web of Science</v>
      </c>
    </row>
    <row r="975" spans="1:72" x14ac:dyDescent="0.15">
      <c r="A975" t="s">
        <v>72</v>
      </c>
      <c r="B975" t="s">
        <v>17585</v>
      </c>
      <c r="C975" t="s">
        <v>74</v>
      </c>
      <c r="D975" t="s">
        <v>74</v>
      </c>
      <c r="E975" t="s">
        <v>74</v>
      </c>
      <c r="F975" t="s">
        <v>17586</v>
      </c>
      <c r="G975" t="s">
        <v>74</v>
      </c>
      <c r="H975" t="s">
        <v>74</v>
      </c>
      <c r="I975" t="s">
        <v>17587</v>
      </c>
      <c r="J975" t="s">
        <v>10325</v>
      </c>
      <c r="K975" t="s">
        <v>74</v>
      </c>
      <c r="L975" t="s">
        <v>74</v>
      </c>
      <c r="M975" t="s">
        <v>78</v>
      </c>
      <c r="N975" t="s">
        <v>79</v>
      </c>
      <c r="O975" t="s">
        <v>74</v>
      </c>
      <c r="P975" t="s">
        <v>74</v>
      </c>
      <c r="Q975" t="s">
        <v>74</v>
      </c>
      <c r="R975" t="s">
        <v>74</v>
      </c>
      <c r="S975" t="s">
        <v>74</v>
      </c>
      <c r="T975" t="s">
        <v>74</v>
      </c>
      <c r="U975" t="s">
        <v>17588</v>
      </c>
      <c r="V975" t="s">
        <v>17589</v>
      </c>
      <c r="W975" t="s">
        <v>17590</v>
      </c>
      <c r="X975" t="s">
        <v>17591</v>
      </c>
      <c r="Y975" t="s">
        <v>17592</v>
      </c>
      <c r="Z975" t="s">
        <v>17593</v>
      </c>
      <c r="AA975" t="s">
        <v>17594</v>
      </c>
      <c r="AB975" t="s">
        <v>17595</v>
      </c>
      <c r="AC975" t="s">
        <v>17596</v>
      </c>
      <c r="AD975" t="s">
        <v>566</v>
      </c>
      <c r="AE975" t="s">
        <v>17597</v>
      </c>
      <c r="AF975" t="s">
        <v>74</v>
      </c>
      <c r="AG975">
        <v>66</v>
      </c>
      <c r="AH975">
        <v>29</v>
      </c>
      <c r="AI975">
        <v>30</v>
      </c>
      <c r="AJ975">
        <v>0</v>
      </c>
      <c r="AK975">
        <v>25</v>
      </c>
      <c r="AL975" t="s">
        <v>1463</v>
      </c>
      <c r="AM975" t="s">
        <v>1464</v>
      </c>
      <c r="AN975" t="s">
        <v>1465</v>
      </c>
      <c r="AO975" t="s">
        <v>10336</v>
      </c>
      <c r="AP975" t="s">
        <v>10337</v>
      </c>
      <c r="AQ975" t="s">
        <v>74</v>
      </c>
      <c r="AR975" t="s">
        <v>10338</v>
      </c>
      <c r="AS975" t="s">
        <v>10339</v>
      </c>
      <c r="AT975" t="s">
        <v>74</v>
      </c>
      <c r="AU975">
        <v>2014</v>
      </c>
      <c r="AV975">
        <v>10</v>
      </c>
      <c r="AW975">
        <v>2</v>
      </c>
      <c r="AX975" t="s">
        <v>74</v>
      </c>
      <c r="AY975" t="s">
        <v>74</v>
      </c>
      <c r="AZ975" t="s">
        <v>74</v>
      </c>
      <c r="BA975" t="s">
        <v>74</v>
      </c>
      <c r="BB975">
        <v>419</v>
      </c>
      <c r="BC975">
        <v>436</v>
      </c>
      <c r="BD975" t="s">
        <v>74</v>
      </c>
      <c r="BE975" t="s">
        <v>17598</v>
      </c>
      <c r="BF975" t="str">
        <f>HYPERLINK("http://dx.doi.org/10.5194/cp-10-419-2014","http://dx.doi.org/10.5194/cp-10-419-2014")</f>
        <v>http://dx.doi.org/10.5194/cp-10-419-2014</v>
      </c>
      <c r="BG975" t="s">
        <v>74</v>
      </c>
      <c r="BH975" t="s">
        <v>74</v>
      </c>
      <c r="BI975">
        <v>18</v>
      </c>
      <c r="BJ975" t="s">
        <v>9225</v>
      </c>
      <c r="BK975" t="s">
        <v>101</v>
      </c>
      <c r="BL975" t="s">
        <v>9226</v>
      </c>
      <c r="BM975" t="s">
        <v>14000</v>
      </c>
      <c r="BN975" t="s">
        <v>74</v>
      </c>
      <c r="BO975" t="s">
        <v>14049</v>
      </c>
      <c r="BP975" t="s">
        <v>74</v>
      </c>
      <c r="BQ975" t="s">
        <v>74</v>
      </c>
      <c r="BR975" t="s">
        <v>104</v>
      </c>
      <c r="BS975" t="s">
        <v>17599</v>
      </c>
      <c r="BT975" t="str">
        <f>HYPERLINK("https%3A%2F%2Fwww.webofscience.com%2Fwos%2Fwoscc%2Ffull-record%2FWOS:000335374600001","View Full Record in Web of Science")</f>
        <v>View Full Record in Web of Science</v>
      </c>
    </row>
    <row r="976" spans="1:72" x14ac:dyDescent="0.15">
      <c r="A976" t="s">
        <v>72</v>
      </c>
      <c r="B976" t="s">
        <v>17600</v>
      </c>
      <c r="C976" t="s">
        <v>74</v>
      </c>
      <c r="D976" t="s">
        <v>74</v>
      </c>
      <c r="E976" t="s">
        <v>74</v>
      </c>
      <c r="F976" t="s">
        <v>17601</v>
      </c>
      <c r="G976" t="s">
        <v>74</v>
      </c>
      <c r="H976" t="s">
        <v>74</v>
      </c>
      <c r="I976" t="s">
        <v>17602</v>
      </c>
      <c r="J976" t="s">
        <v>10325</v>
      </c>
      <c r="K976" t="s">
        <v>74</v>
      </c>
      <c r="L976" t="s">
        <v>74</v>
      </c>
      <c r="M976" t="s">
        <v>78</v>
      </c>
      <c r="N976" t="s">
        <v>79</v>
      </c>
      <c r="O976" t="s">
        <v>74</v>
      </c>
      <c r="P976" t="s">
        <v>74</v>
      </c>
      <c r="Q976" t="s">
        <v>74</v>
      </c>
      <c r="R976" t="s">
        <v>74</v>
      </c>
      <c r="S976" t="s">
        <v>74</v>
      </c>
      <c r="T976" t="s">
        <v>74</v>
      </c>
      <c r="U976" t="s">
        <v>17603</v>
      </c>
      <c r="V976" t="s">
        <v>17604</v>
      </c>
      <c r="W976" t="s">
        <v>17605</v>
      </c>
      <c r="X976" t="s">
        <v>17606</v>
      </c>
      <c r="Y976" t="s">
        <v>17607</v>
      </c>
      <c r="Z976" t="s">
        <v>17608</v>
      </c>
      <c r="AA976" t="s">
        <v>17609</v>
      </c>
      <c r="AB976" t="s">
        <v>17610</v>
      </c>
      <c r="AC976" t="s">
        <v>17611</v>
      </c>
      <c r="AD976" t="s">
        <v>17612</v>
      </c>
      <c r="AE976" t="s">
        <v>17613</v>
      </c>
      <c r="AF976" t="s">
        <v>74</v>
      </c>
      <c r="AG976">
        <v>73</v>
      </c>
      <c r="AH976">
        <v>51</v>
      </c>
      <c r="AI976">
        <v>53</v>
      </c>
      <c r="AJ976">
        <v>3</v>
      </c>
      <c r="AK976">
        <v>52</v>
      </c>
      <c r="AL976" t="s">
        <v>1463</v>
      </c>
      <c r="AM976" t="s">
        <v>1464</v>
      </c>
      <c r="AN976" t="s">
        <v>1465</v>
      </c>
      <c r="AO976" t="s">
        <v>10336</v>
      </c>
      <c r="AP976" t="s">
        <v>10337</v>
      </c>
      <c r="AQ976" t="s">
        <v>74</v>
      </c>
      <c r="AR976" t="s">
        <v>10338</v>
      </c>
      <c r="AS976" t="s">
        <v>10339</v>
      </c>
      <c r="AT976" t="s">
        <v>74</v>
      </c>
      <c r="AU976">
        <v>2014</v>
      </c>
      <c r="AV976">
        <v>10</v>
      </c>
      <c r="AW976">
        <v>2</v>
      </c>
      <c r="AX976" t="s">
        <v>74</v>
      </c>
      <c r="AY976" t="s">
        <v>74</v>
      </c>
      <c r="AZ976" t="s">
        <v>74</v>
      </c>
      <c r="BA976" t="s">
        <v>74</v>
      </c>
      <c r="BB976">
        <v>451</v>
      </c>
      <c r="BC976">
        <v>466</v>
      </c>
      <c r="BD976" t="s">
        <v>74</v>
      </c>
      <c r="BE976" t="s">
        <v>17614</v>
      </c>
      <c r="BF976" t="str">
        <f>HYPERLINK("http://dx.doi.org/10.5194/cp-10-451-2014","http://dx.doi.org/10.5194/cp-10-451-2014")</f>
        <v>http://dx.doi.org/10.5194/cp-10-451-2014</v>
      </c>
      <c r="BG976" t="s">
        <v>74</v>
      </c>
      <c r="BH976" t="s">
        <v>74</v>
      </c>
      <c r="BI976">
        <v>16</v>
      </c>
      <c r="BJ976" t="s">
        <v>9225</v>
      </c>
      <c r="BK976" t="s">
        <v>101</v>
      </c>
      <c r="BL976" t="s">
        <v>9226</v>
      </c>
      <c r="BM976" t="s">
        <v>14000</v>
      </c>
      <c r="BN976" t="s">
        <v>74</v>
      </c>
      <c r="BO976" t="s">
        <v>1472</v>
      </c>
      <c r="BP976" t="s">
        <v>74</v>
      </c>
      <c r="BQ976" t="s">
        <v>74</v>
      </c>
      <c r="BR976" t="s">
        <v>104</v>
      </c>
      <c r="BS976" t="s">
        <v>17615</v>
      </c>
      <c r="BT976" t="str">
        <f>HYPERLINK("https%3A%2F%2Fwww.webofscience.com%2Fwos%2Fwoscc%2Ffull-record%2FWOS:000335374600003","View Full Record in Web of Science")</f>
        <v>View Full Record in Web of Science</v>
      </c>
    </row>
    <row r="977" spans="1:72" x14ac:dyDescent="0.15">
      <c r="A977" t="s">
        <v>72</v>
      </c>
      <c r="B977" t="s">
        <v>17616</v>
      </c>
      <c r="C977" t="s">
        <v>74</v>
      </c>
      <c r="D977" t="s">
        <v>74</v>
      </c>
      <c r="E977" t="s">
        <v>74</v>
      </c>
      <c r="F977" t="s">
        <v>17617</v>
      </c>
      <c r="G977" t="s">
        <v>74</v>
      </c>
      <c r="H977" t="s">
        <v>74</v>
      </c>
      <c r="I977" t="s">
        <v>17618</v>
      </c>
      <c r="J977" t="s">
        <v>10325</v>
      </c>
      <c r="K977" t="s">
        <v>74</v>
      </c>
      <c r="L977" t="s">
        <v>74</v>
      </c>
      <c r="M977" t="s">
        <v>78</v>
      </c>
      <c r="N977" t="s">
        <v>79</v>
      </c>
      <c r="O977" t="s">
        <v>74</v>
      </c>
      <c r="P977" t="s">
        <v>74</v>
      </c>
      <c r="Q977" t="s">
        <v>74</v>
      </c>
      <c r="R977" t="s">
        <v>74</v>
      </c>
      <c r="S977" t="s">
        <v>74</v>
      </c>
      <c r="T977" t="s">
        <v>74</v>
      </c>
      <c r="U977" t="s">
        <v>17619</v>
      </c>
      <c r="V977" t="s">
        <v>17620</v>
      </c>
      <c r="W977" t="s">
        <v>17621</v>
      </c>
      <c r="X977" t="s">
        <v>17622</v>
      </c>
      <c r="Y977" t="s">
        <v>17623</v>
      </c>
      <c r="Z977" t="s">
        <v>17624</v>
      </c>
      <c r="AA977" t="s">
        <v>17625</v>
      </c>
      <c r="AB977" t="s">
        <v>17626</v>
      </c>
      <c r="AC977" t="s">
        <v>17627</v>
      </c>
      <c r="AD977" t="s">
        <v>17628</v>
      </c>
      <c r="AE977" t="s">
        <v>17629</v>
      </c>
      <c r="AF977" t="s">
        <v>74</v>
      </c>
      <c r="AG977">
        <v>93</v>
      </c>
      <c r="AH977">
        <v>87</v>
      </c>
      <c r="AI977">
        <v>99</v>
      </c>
      <c r="AJ977">
        <v>0</v>
      </c>
      <c r="AK977">
        <v>43</v>
      </c>
      <c r="AL977" t="s">
        <v>1463</v>
      </c>
      <c r="AM977" t="s">
        <v>1464</v>
      </c>
      <c r="AN977" t="s">
        <v>1465</v>
      </c>
      <c r="AO977" t="s">
        <v>10336</v>
      </c>
      <c r="AP977" t="s">
        <v>10337</v>
      </c>
      <c r="AQ977" t="s">
        <v>74</v>
      </c>
      <c r="AR977" t="s">
        <v>10338</v>
      </c>
      <c r="AS977" t="s">
        <v>10339</v>
      </c>
      <c r="AT977" t="s">
        <v>74</v>
      </c>
      <c r="AU977">
        <v>2014</v>
      </c>
      <c r="AV977">
        <v>10</v>
      </c>
      <c r="AW977">
        <v>2</v>
      </c>
      <c r="AX977" t="s">
        <v>74</v>
      </c>
      <c r="AY977" t="s">
        <v>74</v>
      </c>
      <c r="AZ977" t="s">
        <v>74</v>
      </c>
      <c r="BA977" t="s">
        <v>74</v>
      </c>
      <c r="BB977">
        <v>523</v>
      </c>
      <c r="BC977">
        <v>536</v>
      </c>
      <c r="BD977" t="s">
        <v>74</v>
      </c>
      <c r="BE977" t="s">
        <v>17630</v>
      </c>
      <c r="BF977" t="str">
        <f>HYPERLINK("http://dx.doi.org/10.5194/cp-10-523-2014","http://dx.doi.org/10.5194/cp-10-523-2014")</f>
        <v>http://dx.doi.org/10.5194/cp-10-523-2014</v>
      </c>
      <c r="BG977" t="s">
        <v>74</v>
      </c>
      <c r="BH977" t="s">
        <v>74</v>
      </c>
      <c r="BI977">
        <v>14</v>
      </c>
      <c r="BJ977" t="s">
        <v>9225</v>
      </c>
      <c r="BK977" t="s">
        <v>101</v>
      </c>
      <c r="BL977" t="s">
        <v>9226</v>
      </c>
      <c r="BM977" t="s">
        <v>14000</v>
      </c>
      <c r="BN977" t="s">
        <v>74</v>
      </c>
      <c r="BO977" t="s">
        <v>1933</v>
      </c>
      <c r="BP977" t="s">
        <v>74</v>
      </c>
      <c r="BQ977" t="s">
        <v>74</v>
      </c>
      <c r="BR977" t="s">
        <v>104</v>
      </c>
      <c r="BS977" t="s">
        <v>17631</v>
      </c>
      <c r="BT977" t="str">
        <f>HYPERLINK("https%3A%2F%2Fwww.webofscience.com%2Fwos%2Fwoscc%2Ffull-record%2FWOS:000335374600007","View Full Record in Web of Science")</f>
        <v>View Full Record in Web of Science</v>
      </c>
    </row>
    <row r="978" spans="1:72" x14ac:dyDescent="0.15">
      <c r="A978" t="s">
        <v>72</v>
      </c>
      <c r="B978" t="s">
        <v>17632</v>
      </c>
      <c r="C978" t="s">
        <v>74</v>
      </c>
      <c r="D978" t="s">
        <v>74</v>
      </c>
      <c r="E978" t="s">
        <v>74</v>
      </c>
      <c r="F978" t="s">
        <v>17633</v>
      </c>
      <c r="G978" t="s">
        <v>74</v>
      </c>
      <c r="H978" t="s">
        <v>74</v>
      </c>
      <c r="I978" t="s">
        <v>17634</v>
      </c>
      <c r="J978" t="s">
        <v>10325</v>
      </c>
      <c r="K978" t="s">
        <v>74</v>
      </c>
      <c r="L978" t="s">
        <v>74</v>
      </c>
      <c r="M978" t="s">
        <v>78</v>
      </c>
      <c r="N978" t="s">
        <v>79</v>
      </c>
      <c r="O978" t="s">
        <v>74</v>
      </c>
      <c r="P978" t="s">
        <v>74</v>
      </c>
      <c r="Q978" t="s">
        <v>74</v>
      </c>
      <c r="R978" t="s">
        <v>74</v>
      </c>
      <c r="S978" t="s">
        <v>74</v>
      </c>
      <c r="T978" t="s">
        <v>74</v>
      </c>
      <c r="U978" t="s">
        <v>17635</v>
      </c>
      <c r="V978" t="s">
        <v>17636</v>
      </c>
      <c r="W978" t="s">
        <v>17637</v>
      </c>
      <c r="X978" t="s">
        <v>17638</v>
      </c>
      <c r="Y978" t="s">
        <v>17639</v>
      </c>
      <c r="Z978" t="s">
        <v>17640</v>
      </c>
      <c r="AA978" t="s">
        <v>17641</v>
      </c>
      <c r="AB978" t="s">
        <v>17642</v>
      </c>
      <c r="AC978" t="s">
        <v>17643</v>
      </c>
      <c r="AD978" t="s">
        <v>17644</v>
      </c>
      <c r="AE978" t="s">
        <v>17645</v>
      </c>
      <c r="AF978" t="s">
        <v>74</v>
      </c>
      <c r="AG978">
        <v>85</v>
      </c>
      <c r="AH978">
        <v>52</v>
      </c>
      <c r="AI978">
        <v>54</v>
      </c>
      <c r="AJ978">
        <v>1</v>
      </c>
      <c r="AK978">
        <v>47</v>
      </c>
      <c r="AL978" t="s">
        <v>1463</v>
      </c>
      <c r="AM978" t="s">
        <v>1464</v>
      </c>
      <c r="AN978" t="s">
        <v>1465</v>
      </c>
      <c r="AO978" t="s">
        <v>10336</v>
      </c>
      <c r="AP978" t="s">
        <v>10337</v>
      </c>
      <c r="AQ978" t="s">
        <v>74</v>
      </c>
      <c r="AR978" t="s">
        <v>10338</v>
      </c>
      <c r="AS978" t="s">
        <v>10339</v>
      </c>
      <c r="AT978" t="s">
        <v>74</v>
      </c>
      <c r="AU978">
        <v>2014</v>
      </c>
      <c r="AV978">
        <v>10</v>
      </c>
      <c r="AW978">
        <v>2</v>
      </c>
      <c r="AX978" t="s">
        <v>74</v>
      </c>
      <c r="AY978" t="s">
        <v>74</v>
      </c>
      <c r="AZ978" t="s">
        <v>74</v>
      </c>
      <c r="BA978" t="s">
        <v>74</v>
      </c>
      <c r="BB978">
        <v>903</v>
      </c>
      <c r="BC978">
        <v>920</v>
      </c>
      <c r="BD978" t="s">
        <v>74</v>
      </c>
      <c r="BE978" t="s">
        <v>17646</v>
      </c>
      <c r="BF978" t="str">
        <f>HYPERLINK("http://dx.doi.org/10.5194/cp-10-903-2014","http://dx.doi.org/10.5194/cp-10-903-2014")</f>
        <v>http://dx.doi.org/10.5194/cp-10-903-2014</v>
      </c>
      <c r="BG978" t="s">
        <v>74</v>
      </c>
      <c r="BH978" t="s">
        <v>74</v>
      </c>
      <c r="BI978">
        <v>18</v>
      </c>
      <c r="BJ978" t="s">
        <v>9225</v>
      </c>
      <c r="BK978" t="s">
        <v>101</v>
      </c>
      <c r="BL978" t="s">
        <v>9226</v>
      </c>
      <c r="BM978" t="s">
        <v>14000</v>
      </c>
      <c r="BN978" t="s">
        <v>74</v>
      </c>
      <c r="BO978" t="s">
        <v>17647</v>
      </c>
      <c r="BP978" t="s">
        <v>74</v>
      </c>
      <c r="BQ978" t="s">
        <v>74</v>
      </c>
      <c r="BR978" t="s">
        <v>104</v>
      </c>
      <c r="BS978" t="s">
        <v>17648</v>
      </c>
      <c r="BT978" t="str">
        <f>HYPERLINK("https%3A%2F%2Fwww.webofscience.com%2Fwos%2Fwoscc%2Ffull-record%2FWOS:000335374600033","View Full Record in Web of Science")</f>
        <v>View Full Record in Web of Science</v>
      </c>
    </row>
    <row r="979" spans="1:72" x14ac:dyDescent="0.15">
      <c r="A979" t="s">
        <v>72</v>
      </c>
      <c r="B979" t="s">
        <v>17649</v>
      </c>
      <c r="C979" t="s">
        <v>74</v>
      </c>
      <c r="D979" t="s">
        <v>74</v>
      </c>
      <c r="E979" t="s">
        <v>74</v>
      </c>
      <c r="F979" t="s">
        <v>17650</v>
      </c>
      <c r="G979" t="s">
        <v>74</v>
      </c>
      <c r="H979" t="s">
        <v>74</v>
      </c>
      <c r="I979" t="s">
        <v>17651</v>
      </c>
      <c r="J979" t="s">
        <v>10325</v>
      </c>
      <c r="K979" t="s">
        <v>74</v>
      </c>
      <c r="L979" t="s">
        <v>74</v>
      </c>
      <c r="M979" t="s">
        <v>78</v>
      </c>
      <c r="N979" t="s">
        <v>79</v>
      </c>
      <c r="O979" t="s">
        <v>74</v>
      </c>
      <c r="P979" t="s">
        <v>74</v>
      </c>
      <c r="Q979" t="s">
        <v>74</v>
      </c>
      <c r="R979" t="s">
        <v>74</v>
      </c>
      <c r="S979" t="s">
        <v>74</v>
      </c>
      <c r="T979" t="s">
        <v>74</v>
      </c>
      <c r="U979" t="s">
        <v>17652</v>
      </c>
      <c r="V979" t="s">
        <v>17653</v>
      </c>
      <c r="W979" t="s">
        <v>17654</v>
      </c>
      <c r="X979" t="s">
        <v>17655</v>
      </c>
      <c r="Y979" t="s">
        <v>17656</v>
      </c>
      <c r="Z979" t="s">
        <v>17657</v>
      </c>
      <c r="AA979" t="s">
        <v>17658</v>
      </c>
      <c r="AB979" t="s">
        <v>17659</v>
      </c>
      <c r="AC979" t="s">
        <v>17660</v>
      </c>
      <c r="AD979" t="s">
        <v>17661</v>
      </c>
      <c r="AE979" t="s">
        <v>17662</v>
      </c>
      <c r="AF979" t="s">
        <v>74</v>
      </c>
      <c r="AG979">
        <v>101</v>
      </c>
      <c r="AH979">
        <v>60</v>
      </c>
      <c r="AI979">
        <v>61</v>
      </c>
      <c r="AJ979">
        <v>2</v>
      </c>
      <c r="AK979">
        <v>59</v>
      </c>
      <c r="AL979" t="s">
        <v>1463</v>
      </c>
      <c r="AM979" t="s">
        <v>1464</v>
      </c>
      <c r="AN979" t="s">
        <v>1465</v>
      </c>
      <c r="AO979" t="s">
        <v>10336</v>
      </c>
      <c r="AP979" t="s">
        <v>10337</v>
      </c>
      <c r="AQ979" t="s">
        <v>74</v>
      </c>
      <c r="AR979" t="s">
        <v>10338</v>
      </c>
      <c r="AS979" t="s">
        <v>10339</v>
      </c>
      <c r="AT979" t="s">
        <v>74</v>
      </c>
      <c r="AU979">
        <v>2014</v>
      </c>
      <c r="AV979">
        <v>10</v>
      </c>
      <c r="AW979">
        <v>3</v>
      </c>
      <c r="AX979" t="s">
        <v>74</v>
      </c>
      <c r="AY979" t="s">
        <v>74</v>
      </c>
      <c r="AZ979" t="s">
        <v>74</v>
      </c>
      <c r="BA979" t="s">
        <v>74</v>
      </c>
      <c r="BB979">
        <v>955</v>
      </c>
      <c r="BC979">
        <v>973</v>
      </c>
      <c r="BD979" t="s">
        <v>74</v>
      </c>
      <c r="BE979" t="s">
        <v>17663</v>
      </c>
      <c r="BF979" t="str">
        <f>HYPERLINK("http://dx.doi.org/10.5194/cp-10-955-2014","http://dx.doi.org/10.5194/cp-10-955-2014")</f>
        <v>http://dx.doi.org/10.5194/cp-10-955-2014</v>
      </c>
      <c r="BG979" t="s">
        <v>74</v>
      </c>
      <c r="BH979" t="s">
        <v>74</v>
      </c>
      <c r="BI979">
        <v>19</v>
      </c>
      <c r="BJ979" t="s">
        <v>9225</v>
      </c>
      <c r="BK979" t="s">
        <v>101</v>
      </c>
      <c r="BL979" t="s">
        <v>9226</v>
      </c>
      <c r="BM979" t="s">
        <v>12874</v>
      </c>
      <c r="BN979" t="s">
        <v>74</v>
      </c>
      <c r="BO979" t="s">
        <v>17061</v>
      </c>
      <c r="BP979" t="s">
        <v>74</v>
      </c>
      <c r="BQ979" t="s">
        <v>74</v>
      </c>
      <c r="BR979" t="s">
        <v>104</v>
      </c>
      <c r="BS979" t="s">
        <v>17664</v>
      </c>
      <c r="BT979" t="str">
        <f>HYPERLINK("https%3A%2F%2Fwww.webofscience.com%2Fwos%2Fwoscc%2Ffull-record%2FWOS:000338761600003","View Full Record in Web of Science")</f>
        <v>View Full Record in Web of Science</v>
      </c>
    </row>
    <row r="980" spans="1:72" x14ac:dyDescent="0.15">
      <c r="A980" t="s">
        <v>72</v>
      </c>
      <c r="B980" t="s">
        <v>17665</v>
      </c>
      <c r="C980" t="s">
        <v>74</v>
      </c>
      <c r="D980" t="s">
        <v>74</v>
      </c>
      <c r="E980" t="s">
        <v>74</v>
      </c>
      <c r="F980" t="s">
        <v>17666</v>
      </c>
      <c r="G980" t="s">
        <v>74</v>
      </c>
      <c r="H980" t="s">
        <v>74</v>
      </c>
      <c r="I980" t="s">
        <v>17667</v>
      </c>
      <c r="J980" t="s">
        <v>10325</v>
      </c>
      <c r="K980" t="s">
        <v>74</v>
      </c>
      <c r="L980" t="s">
        <v>74</v>
      </c>
      <c r="M980" t="s">
        <v>78</v>
      </c>
      <c r="N980" t="s">
        <v>79</v>
      </c>
      <c r="O980" t="s">
        <v>74</v>
      </c>
      <c r="P980" t="s">
        <v>74</v>
      </c>
      <c r="Q980" t="s">
        <v>74</v>
      </c>
      <c r="R980" t="s">
        <v>74</v>
      </c>
      <c r="S980" t="s">
        <v>74</v>
      </c>
      <c r="T980" t="s">
        <v>74</v>
      </c>
      <c r="U980" t="s">
        <v>17668</v>
      </c>
      <c r="V980" t="s">
        <v>17669</v>
      </c>
      <c r="W980" t="s">
        <v>17670</v>
      </c>
      <c r="X980" t="s">
        <v>17671</v>
      </c>
      <c r="Y980" t="s">
        <v>17672</v>
      </c>
      <c r="Z980" t="s">
        <v>17673</v>
      </c>
      <c r="AA980" t="s">
        <v>17674</v>
      </c>
      <c r="AB980" t="s">
        <v>17675</v>
      </c>
      <c r="AC980" t="s">
        <v>17676</v>
      </c>
      <c r="AD980" t="s">
        <v>17677</v>
      </c>
      <c r="AE980" t="s">
        <v>17678</v>
      </c>
      <c r="AF980" t="s">
        <v>74</v>
      </c>
      <c r="AG980">
        <v>117</v>
      </c>
      <c r="AH980">
        <v>41</v>
      </c>
      <c r="AI980">
        <v>48</v>
      </c>
      <c r="AJ980">
        <v>4</v>
      </c>
      <c r="AK980">
        <v>44</v>
      </c>
      <c r="AL980" t="s">
        <v>1463</v>
      </c>
      <c r="AM980" t="s">
        <v>1464</v>
      </c>
      <c r="AN980" t="s">
        <v>1465</v>
      </c>
      <c r="AO980" t="s">
        <v>10336</v>
      </c>
      <c r="AP980" t="s">
        <v>10337</v>
      </c>
      <c r="AQ980" t="s">
        <v>74</v>
      </c>
      <c r="AR980" t="s">
        <v>10338</v>
      </c>
      <c r="AS980" t="s">
        <v>10339</v>
      </c>
      <c r="AT980" t="s">
        <v>74</v>
      </c>
      <c r="AU980">
        <v>2014</v>
      </c>
      <c r="AV980">
        <v>10</v>
      </c>
      <c r="AW980">
        <v>3</v>
      </c>
      <c r="AX980" t="s">
        <v>74</v>
      </c>
      <c r="AY980" t="s">
        <v>74</v>
      </c>
      <c r="AZ980" t="s">
        <v>74</v>
      </c>
      <c r="BA980" t="s">
        <v>74</v>
      </c>
      <c r="BB980">
        <v>1125</v>
      </c>
      <c r="BC980">
        <v>1144</v>
      </c>
      <c r="BD980" t="s">
        <v>74</v>
      </c>
      <c r="BE980" t="s">
        <v>17679</v>
      </c>
      <c r="BF980" t="str">
        <f>HYPERLINK("http://dx.doi.org/10.5194/cp-10-1125-2014","http://dx.doi.org/10.5194/cp-10-1125-2014")</f>
        <v>http://dx.doi.org/10.5194/cp-10-1125-2014</v>
      </c>
      <c r="BG980" t="s">
        <v>74</v>
      </c>
      <c r="BH980" t="s">
        <v>74</v>
      </c>
      <c r="BI980">
        <v>20</v>
      </c>
      <c r="BJ980" t="s">
        <v>9225</v>
      </c>
      <c r="BK980" t="s">
        <v>101</v>
      </c>
      <c r="BL980" t="s">
        <v>9226</v>
      </c>
      <c r="BM980" t="s">
        <v>12874</v>
      </c>
      <c r="BN980" t="s">
        <v>74</v>
      </c>
      <c r="BO980" t="s">
        <v>9228</v>
      </c>
      <c r="BP980" t="s">
        <v>74</v>
      </c>
      <c r="BQ980" t="s">
        <v>74</v>
      </c>
      <c r="BR980" t="s">
        <v>104</v>
      </c>
      <c r="BS980" t="s">
        <v>17680</v>
      </c>
      <c r="BT980" t="str">
        <f>HYPERLINK("https%3A%2F%2Fwww.webofscience.com%2Fwos%2Fwoscc%2Ffull-record%2FWOS:000338761600013","View Full Record in Web of Science")</f>
        <v>View Full Record in Web of Science</v>
      </c>
    </row>
    <row r="981" spans="1:72" x14ac:dyDescent="0.15">
      <c r="A981" t="s">
        <v>72</v>
      </c>
      <c r="B981" t="s">
        <v>17681</v>
      </c>
      <c r="C981" t="s">
        <v>74</v>
      </c>
      <c r="D981" t="s">
        <v>74</v>
      </c>
      <c r="E981" t="s">
        <v>74</v>
      </c>
      <c r="F981" t="s">
        <v>17682</v>
      </c>
      <c r="G981" t="s">
        <v>74</v>
      </c>
      <c r="H981" t="s">
        <v>74</v>
      </c>
      <c r="I981" t="s">
        <v>17683</v>
      </c>
      <c r="J981" t="s">
        <v>10325</v>
      </c>
      <c r="K981" t="s">
        <v>74</v>
      </c>
      <c r="L981" t="s">
        <v>74</v>
      </c>
      <c r="M981" t="s">
        <v>78</v>
      </c>
      <c r="N981" t="s">
        <v>79</v>
      </c>
      <c r="O981" t="s">
        <v>74</v>
      </c>
      <c r="P981" t="s">
        <v>74</v>
      </c>
      <c r="Q981" t="s">
        <v>74</v>
      </c>
      <c r="R981" t="s">
        <v>74</v>
      </c>
      <c r="S981" t="s">
        <v>74</v>
      </c>
      <c r="T981" t="s">
        <v>74</v>
      </c>
      <c r="U981" t="s">
        <v>17684</v>
      </c>
      <c r="V981" t="s">
        <v>17685</v>
      </c>
      <c r="W981" t="s">
        <v>17686</v>
      </c>
      <c r="X981" t="s">
        <v>17687</v>
      </c>
      <c r="Y981" t="s">
        <v>17688</v>
      </c>
      <c r="Z981" t="s">
        <v>17689</v>
      </c>
      <c r="AA981" t="s">
        <v>17690</v>
      </c>
      <c r="AB981" t="s">
        <v>17691</v>
      </c>
      <c r="AC981" t="s">
        <v>17692</v>
      </c>
      <c r="AD981" t="s">
        <v>17693</v>
      </c>
      <c r="AE981" t="s">
        <v>17694</v>
      </c>
      <c r="AF981" t="s">
        <v>74</v>
      </c>
      <c r="AG981">
        <v>124</v>
      </c>
      <c r="AH981">
        <v>19</v>
      </c>
      <c r="AI981">
        <v>20</v>
      </c>
      <c r="AJ981">
        <v>0</v>
      </c>
      <c r="AK981">
        <v>23</v>
      </c>
      <c r="AL981" t="s">
        <v>1463</v>
      </c>
      <c r="AM981" t="s">
        <v>1464</v>
      </c>
      <c r="AN981" t="s">
        <v>1465</v>
      </c>
      <c r="AO981" t="s">
        <v>10336</v>
      </c>
      <c r="AP981" t="s">
        <v>10337</v>
      </c>
      <c r="AQ981" t="s">
        <v>74</v>
      </c>
      <c r="AR981" t="s">
        <v>10338</v>
      </c>
      <c r="AS981" t="s">
        <v>10339</v>
      </c>
      <c r="AT981" t="s">
        <v>74</v>
      </c>
      <c r="AU981">
        <v>2014</v>
      </c>
      <c r="AV981">
        <v>10</v>
      </c>
      <c r="AW981">
        <v>4</v>
      </c>
      <c r="AX981" t="s">
        <v>74</v>
      </c>
      <c r="AY981" t="s">
        <v>74</v>
      </c>
      <c r="AZ981" t="s">
        <v>74</v>
      </c>
      <c r="BA981" t="s">
        <v>74</v>
      </c>
      <c r="BB981">
        <v>1541</v>
      </c>
      <c r="BC981">
        <v>1565</v>
      </c>
      <c r="BD981" t="s">
        <v>74</v>
      </c>
      <c r="BE981" t="s">
        <v>17695</v>
      </c>
      <c r="BF981" t="str">
        <f>HYPERLINK("http://dx.doi.org/10.5194/cp-10-1541-2014","http://dx.doi.org/10.5194/cp-10-1541-2014")</f>
        <v>http://dx.doi.org/10.5194/cp-10-1541-2014</v>
      </c>
      <c r="BG981" t="s">
        <v>74</v>
      </c>
      <c r="BH981" t="s">
        <v>74</v>
      </c>
      <c r="BI981">
        <v>25</v>
      </c>
      <c r="BJ981" t="s">
        <v>9225</v>
      </c>
      <c r="BK981" t="s">
        <v>101</v>
      </c>
      <c r="BL981" t="s">
        <v>9226</v>
      </c>
      <c r="BM981" t="s">
        <v>17696</v>
      </c>
      <c r="BN981" t="s">
        <v>74</v>
      </c>
      <c r="BO981" t="s">
        <v>17697</v>
      </c>
      <c r="BP981" t="s">
        <v>74</v>
      </c>
      <c r="BQ981" t="s">
        <v>74</v>
      </c>
      <c r="BR981" t="s">
        <v>104</v>
      </c>
      <c r="BS981" t="s">
        <v>17698</v>
      </c>
      <c r="BT981" t="str">
        <f>HYPERLINK("https%3A%2F%2Fwww.webofscience.com%2Fwos%2Fwoscc%2Ffull-record%2FWOS:000344735200004","View Full Record in Web of Science")</f>
        <v>View Full Record in Web of Science</v>
      </c>
    </row>
    <row r="982" spans="1:72" x14ac:dyDescent="0.15">
      <c r="A982" t="s">
        <v>72</v>
      </c>
      <c r="B982" t="s">
        <v>17699</v>
      </c>
      <c r="C982" t="s">
        <v>74</v>
      </c>
      <c r="D982" t="s">
        <v>74</v>
      </c>
      <c r="E982" t="s">
        <v>74</v>
      </c>
      <c r="F982" t="s">
        <v>17700</v>
      </c>
      <c r="G982" t="s">
        <v>74</v>
      </c>
      <c r="H982" t="s">
        <v>74</v>
      </c>
      <c r="I982" t="s">
        <v>17701</v>
      </c>
      <c r="J982" t="s">
        <v>10325</v>
      </c>
      <c r="K982" t="s">
        <v>74</v>
      </c>
      <c r="L982" t="s">
        <v>74</v>
      </c>
      <c r="M982" t="s">
        <v>78</v>
      </c>
      <c r="N982" t="s">
        <v>79</v>
      </c>
      <c r="O982" t="s">
        <v>74</v>
      </c>
      <c r="P982" t="s">
        <v>74</v>
      </c>
      <c r="Q982" t="s">
        <v>74</v>
      </c>
      <c r="R982" t="s">
        <v>74</v>
      </c>
      <c r="S982" t="s">
        <v>74</v>
      </c>
      <c r="T982" t="s">
        <v>74</v>
      </c>
      <c r="U982" t="s">
        <v>17702</v>
      </c>
      <c r="V982" t="s">
        <v>17703</v>
      </c>
      <c r="W982" t="s">
        <v>17704</v>
      </c>
      <c r="X982" t="s">
        <v>17705</v>
      </c>
      <c r="Y982" t="s">
        <v>17706</v>
      </c>
      <c r="Z982" t="s">
        <v>17707</v>
      </c>
      <c r="AA982" t="s">
        <v>17708</v>
      </c>
      <c r="AB982" t="s">
        <v>17709</v>
      </c>
      <c r="AC982" t="s">
        <v>17710</v>
      </c>
      <c r="AD982" t="s">
        <v>17711</v>
      </c>
      <c r="AE982" t="s">
        <v>17712</v>
      </c>
      <c r="AF982" t="s">
        <v>74</v>
      </c>
      <c r="AG982">
        <v>76</v>
      </c>
      <c r="AH982">
        <v>34</v>
      </c>
      <c r="AI982">
        <v>37</v>
      </c>
      <c r="AJ982">
        <v>0</v>
      </c>
      <c r="AK982">
        <v>43</v>
      </c>
      <c r="AL982" t="s">
        <v>1463</v>
      </c>
      <c r="AM982" t="s">
        <v>1464</v>
      </c>
      <c r="AN982" t="s">
        <v>1465</v>
      </c>
      <c r="AO982" t="s">
        <v>10336</v>
      </c>
      <c r="AP982" t="s">
        <v>10337</v>
      </c>
      <c r="AQ982" t="s">
        <v>74</v>
      </c>
      <c r="AR982" t="s">
        <v>10338</v>
      </c>
      <c r="AS982" t="s">
        <v>10339</v>
      </c>
      <c r="AT982" t="s">
        <v>74</v>
      </c>
      <c r="AU982">
        <v>2014</v>
      </c>
      <c r="AV982">
        <v>10</v>
      </c>
      <c r="AW982">
        <v>4</v>
      </c>
      <c r="AX982" t="s">
        <v>74</v>
      </c>
      <c r="AY982" t="s">
        <v>74</v>
      </c>
      <c r="AZ982" t="s">
        <v>74</v>
      </c>
      <c r="BA982" t="s">
        <v>74</v>
      </c>
      <c r="BB982">
        <v>1567</v>
      </c>
      <c r="BC982">
        <v>1579</v>
      </c>
      <c r="BD982" t="s">
        <v>74</v>
      </c>
      <c r="BE982" t="s">
        <v>17713</v>
      </c>
      <c r="BF982" t="str">
        <f>HYPERLINK("http://dx.doi.org/10.5194/cp-10-1567-2014","http://dx.doi.org/10.5194/cp-10-1567-2014")</f>
        <v>http://dx.doi.org/10.5194/cp-10-1567-2014</v>
      </c>
      <c r="BG982" t="s">
        <v>74</v>
      </c>
      <c r="BH982" t="s">
        <v>74</v>
      </c>
      <c r="BI982">
        <v>13</v>
      </c>
      <c r="BJ982" t="s">
        <v>9225</v>
      </c>
      <c r="BK982" t="s">
        <v>101</v>
      </c>
      <c r="BL982" t="s">
        <v>9226</v>
      </c>
      <c r="BM982" t="s">
        <v>17696</v>
      </c>
      <c r="BN982" t="s">
        <v>74</v>
      </c>
      <c r="BO982" t="s">
        <v>9228</v>
      </c>
      <c r="BP982" t="s">
        <v>74</v>
      </c>
      <c r="BQ982" t="s">
        <v>74</v>
      </c>
      <c r="BR982" t="s">
        <v>104</v>
      </c>
      <c r="BS982" t="s">
        <v>17714</v>
      </c>
      <c r="BT982" t="str">
        <f>HYPERLINK("https%3A%2F%2Fwww.webofscience.com%2Fwos%2Fwoscc%2Ffull-record%2FWOS:000344735200005","View Full Record in Web of Science")</f>
        <v>View Full Record in Web of Science</v>
      </c>
    </row>
    <row r="983" spans="1:72" x14ac:dyDescent="0.15">
      <c r="A983" t="s">
        <v>72</v>
      </c>
      <c r="B983" t="s">
        <v>17715</v>
      </c>
      <c r="C983" t="s">
        <v>74</v>
      </c>
      <c r="D983" t="s">
        <v>74</v>
      </c>
      <c r="E983" t="s">
        <v>74</v>
      </c>
      <c r="F983" t="s">
        <v>17716</v>
      </c>
      <c r="G983" t="s">
        <v>74</v>
      </c>
      <c r="H983" t="s">
        <v>74</v>
      </c>
      <c r="I983" t="s">
        <v>17717</v>
      </c>
      <c r="J983" t="s">
        <v>10325</v>
      </c>
      <c r="K983" t="s">
        <v>74</v>
      </c>
      <c r="L983" t="s">
        <v>74</v>
      </c>
      <c r="M983" t="s">
        <v>78</v>
      </c>
      <c r="N983" t="s">
        <v>79</v>
      </c>
      <c r="O983" t="s">
        <v>74</v>
      </c>
      <c r="P983" t="s">
        <v>74</v>
      </c>
      <c r="Q983" t="s">
        <v>74</v>
      </c>
      <c r="R983" t="s">
        <v>74</v>
      </c>
      <c r="S983" t="s">
        <v>74</v>
      </c>
      <c r="T983" t="s">
        <v>74</v>
      </c>
      <c r="U983" t="s">
        <v>17718</v>
      </c>
      <c r="V983" t="s">
        <v>17719</v>
      </c>
      <c r="W983" t="s">
        <v>17720</v>
      </c>
      <c r="X983" t="s">
        <v>17721</v>
      </c>
      <c r="Y983" t="s">
        <v>17722</v>
      </c>
      <c r="Z983" t="s">
        <v>17723</v>
      </c>
      <c r="AA983" t="s">
        <v>17724</v>
      </c>
      <c r="AB983" t="s">
        <v>17725</v>
      </c>
      <c r="AC983" t="s">
        <v>74</v>
      </c>
      <c r="AD983" t="s">
        <v>74</v>
      </c>
      <c r="AE983" t="s">
        <v>74</v>
      </c>
      <c r="AF983" t="s">
        <v>74</v>
      </c>
      <c r="AG983">
        <v>47</v>
      </c>
      <c r="AH983">
        <v>16</v>
      </c>
      <c r="AI983">
        <v>16</v>
      </c>
      <c r="AJ983">
        <v>0</v>
      </c>
      <c r="AK983">
        <v>11</v>
      </c>
      <c r="AL983" t="s">
        <v>1463</v>
      </c>
      <c r="AM983" t="s">
        <v>1464</v>
      </c>
      <c r="AN983" t="s">
        <v>1465</v>
      </c>
      <c r="AO983" t="s">
        <v>10336</v>
      </c>
      <c r="AP983" t="s">
        <v>10337</v>
      </c>
      <c r="AQ983" t="s">
        <v>74</v>
      </c>
      <c r="AR983" t="s">
        <v>10338</v>
      </c>
      <c r="AS983" t="s">
        <v>10339</v>
      </c>
      <c r="AT983" t="s">
        <v>74</v>
      </c>
      <c r="AU983">
        <v>2014</v>
      </c>
      <c r="AV983">
        <v>10</v>
      </c>
      <c r="AW983">
        <v>5</v>
      </c>
      <c r="AX983" t="s">
        <v>74</v>
      </c>
      <c r="AY983" t="s">
        <v>74</v>
      </c>
      <c r="AZ983" t="s">
        <v>74</v>
      </c>
      <c r="BA983" t="s">
        <v>74</v>
      </c>
      <c r="BB983">
        <v>1751</v>
      </c>
      <c r="BC983">
        <v>1762</v>
      </c>
      <c r="BD983" t="s">
        <v>74</v>
      </c>
      <c r="BE983" t="s">
        <v>17726</v>
      </c>
      <c r="BF983" t="str">
        <f>HYPERLINK("http://dx.doi.org/10.5194/cp-10-1751-2014","http://dx.doi.org/10.5194/cp-10-1751-2014")</f>
        <v>http://dx.doi.org/10.5194/cp-10-1751-2014</v>
      </c>
      <c r="BG983" t="s">
        <v>74</v>
      </c>
      <c r="BH983" t="s">
        <v>74</v>
      </c>
      <c r="BI983">
        <v>12</v>
      </c>
      <c r="BJ983" t="s">
        <v>9225</v>
      </c>
      <c r="BK983" t="s">
        <v>101</v>
      </c>
      <c r="BL983" t="s">
        <v>9226</v>
      </c>
      <c r="BM983" t="s">
        <v>11220</v>
      </c>
      <c r="BN983" t="s">
        <v>74</v>
      </c>
      <c r="BO983" t="s">
        <v>6156</v>
      </c>
      <c r="BP983" t="s">
        <v>74</v>
      </c>
      <c r="BQ983" t="s">
        <v>74</v>
      </c>
      <c r="BR983" t="s">
        <v>104</v>
      </c>
      <c r="BS983" t="s">
        <v>17727</v>
      </c>
      <c r="BT983" t="str">
        <f>HYPERLINK("https%3A%2F%2Fwww.webofscience.com%2Fwos%2Fwoscc%2Ffull-record%2FWOS:000344734800008","View Full Record in Web of Science")</f>
        <v>View Full Record in Web of Science</v>
      </c>
    </row>
    <row r="984" spans="1:72" x14ac:dyDescent="0.15">
      <c r="A984" t="s">
        <v>72</v>
      </c>
      <c r="B984" t="s">
        <v>17728</v>
      </c>
      <c r="C984" t="s">
        <v>74</v>
      </c>
      <c r="D984" t="s">
        <v>74</v>
      </c>
      <c r="E984" t="s">
        <v>74</v>
      </c>
      <c r="F984" t="s">
        <v>17729</v>
      </c>
      <c r="G984" t="s">
        <v>74</v>
      </c>
      <c r="H984" t="s">
        <v>74</v>
      </c>
      <c r="I984" t="s">
        <v>17730</v>
      </c>
      <c r="J984" t="s">
        <v>17731</v>
      </c>
      <c r="K984" t="s">
        <v>74</v>
      </c>
      <c r="L984" t="s">
        <v>74</v>
      </c>
      <c r="M984" t="s">
        <v>78</v>
      </c>
      <c r="N984" t="s">
        <v>79</v>
      </c>
      <c r="O984" t="s">
        <v>74</v>
      </c>
      <c r="P984" t="s">
        <v>74</v>
      </c>
      <c r="Q984" t="s">
        <v>74</v>
      </c>
      <c r="R984" t="s">
        <v>74</v>
      </c>
      <c r="S984" t="s">
        <v>74</v>
      </c>
      <c r="T984" t="s">
        <v>17732</v>
      </c>
      <c r="U984" t="s">
        <v>17733</v>
      </c>
      <c r="V984" t="s">
        <v>17734</v>
      </c>
      <c r="W984" t="s">
        <v>17735</v>
      </c>
      <c r="X984" t="s">
        <v>17736</v>
      </c>
      <c r="Y984" t="s">
        <v>17737</v>
      </c>
      <c r="Z984" t="s">
        <v>17738</v>
      </c>
      <c r="AA984" t="s">
        <v>17739</v>
      </c>
      <c r="AB984" t="s">
        <v>17740</v>
      </c>
      <c r="AC984" t="s">
        <v>17741</v>
      </c>
      <c r="AD984" t="s">
        <v>17742</v>
      </c>
      <c r="AE984" t="s">
        <v>17743</v>
      </c>
      <c r="AF984" t="s">
        <v>74</v>
      </c>
      <c r="AG984">
        <v>58</v>
      </c>
      <c r="AH984">
        <v>47</v>
      </c>
      <c r="AI984">
        <v>50</v>
      </c>
      <c r="AJ984">
        <v>2</v>
      </c>
      <c r="AK984">
        <v>7</v>
      </c>
      <c r="AL984" t="s">
        <v>652</v>
      </c>
      <c r="AM984" t="s">
        <v>653</v>
      </c>
      <c r="AN984" t="s">
        <v>654</v>
      </c>
      <c r="AO984" t="s">
        <v>17744</v>
      </c>
      <c r="AP984" t="s">
        <v>74</v>
      </c>
      <c r="AQ984" t="s">
        <v>74</v>
      </c>
      <c r="AR984" t="s">
        <v>17745</v>
      </c>
      <c r="AS984" t="s">
        <v>17746</v>
      </c>
      <c r="AT984" t="s">
        <v>74</v>
      </c>
      <c r="AU984">
        <v>2014</v>
      </c>
      <c r="AV984">
        <v>1</v>
      </c>
      <c r="AW984" t="s">
        <v>74</v>
      </c>
      <c r="AX984" t="s">
        <v>74</v>
      </c>
      <c r="AY984" t="s">
        <v>74</v>
      </c>
      <c r="AZ984" t="s">
        <v>74</v>
      </c>
      <c r="BA984" t="s">
        <v>74</v>
      </c>
      <c r="BB984">
        <v>39</v>
      </c>
      <c r="BC984">
        <v>50</v>
      </c>
      <c r="BD984" t="s">
        <v>74</v>
      </c>
      <c r="BE984" t="s">
        <v>17747</v>
      </c>
      <c r="BF984" t="str">
        <f>HYPERLINK("http://dx.doi.org/10.1016/j.crm.2013.12.003","http://dx.doi.org/10.1016/j.crm.2013.12.003")</f>
        <v>http://dx.doi.org/10.1016/j.crm.2013.12.003</v>
      </c>
      <c r="BG984" t="s">
        <v>74</v>
      </c>
      <c r="BH984" t="s">
        <v>74</v>
      </c>
      <c r="BI984">
        <v>12</v>
      </c>
      <c r="BJ984" t="s">
        <v>1080</v>
      </c>
      <c r="BK984" t="s">
        <v>975</v>
      </c>
      <c r="BL984" t="s">
        <v>1081</v>
      </c>
      <c r="BM984" t="s">
        <v>17748</v>
      </c>
      <c r="BN984" t="s">
        <v>74</v>
      </c>
      <c r="BO984" t="s">
        <v>11909</v>
      </c>
      <c r="BP984" t="s">
        <v>74</v>
      </c>
      <c r="BQ984" t="s">
        <v>74</v>
      </c>
      <c r="BR984" t="s">
        <v>104</v>
      </c>
      <c r="BS984" t="s">
        <v>17749</v>
      </c>
      <c r="BT984" t="str">
        <f>HYPERLINK("https%3A%2F%2Fwww.webofscience.com%2Fwos%2Fwoscc%2Ffull-record%2FWOS:000216860100004","View Full Record in Web of Science")</f>
        <v>View Full Record in Web of Science</v>
      </c>
    </row>
    <row r="985" spans="1:72" x14ac:dyDescent="0.15">
      <c r="A985" t="s">
        <v>9250</v>
      </c>
      <c r="B985" t="s">
        <v>17750</v>
      </c>
      <c r="C985" t="s">
        <v>74</v>
      </c>
      <c r="D985" t="s">
        <v>17751</v>
      </c>
      <c r="E985" t="s">
        <v>74</v>
      </c>
      <c r="F985" t="s">
        <v>17752</v>
      </c>
      <c r="G985" t="s">
        <v>74</v>
      </c>
      <c r="H985" t="s">
        <v>74</v>
      </c>
      <c r="I985" t="s">
        <v>17753</v>
      </c>
      <c r="J985" t="s">
        <v>17754</v>
      </c>
      <c r="K985" t="s">
        <v>17755</v>
      </c>
      <c r="L985" t="s">
        <v>74</v>
      </c>
      <c r="M985" t="s">
        <v>78</v>
      </c>
      <c r="N985" t="s">
        <v>8809</v>
      </c>
      <c r="O985" t="s">
        <v>74</v>
      </c>
      <c r="P985" t="s">
        <v>74</v>
      </c>
      <c r="Q985" t="s">
        <v>74</v>
      </c>
      <c r="R985" t="s">
        <v>74</v>
      </c>
      <c r="S985" t="s">
        <v>74</v>
      </c>
      <c r="T985" t="s">
        <v>74</v>
      </c>
      <c r="U985" t="s">
        <v>17756</v>
      </c>
      <c r="V985" t="s">
        <v>74</v>
      </c>
      <c r="W985" t="s">
        <v>17757</v>
      </c>
      <c r="X985" t="s">
        <v>17758</v>
      </c>
      <c r="Y985" t="s">
        <v>17759</v>
      </c>
      <c r="Z985" t="s">
        <v>17760</v>
      </c>
      <c r="AA985" t="s">
        <v>17761</v>
      </c>
      <c r="AB985" t="s">
        <v>17762</v>
      </c>
      <c r="AC985" t="s">
        <v>74</v>
      </c>
      <c r="AD985" t="s">
        <v>74</v>
      </c>
      <c r="AE985" t="s">
        <v>74</v>
      </c>
      <c r="AF985" t="s">
        <v>74</v>
      </c>
      <c r="AG985">
        <v>13</v>
      </c>
      <c r="AH985">
        <v>0</v>
      </c>
      <c r="AI985">
        <v>0</v>
      </c>
      <c r="AJ985">
        <v>0</v>
      </c>
      <c r="AK985">
        <v>2</v>
      </c>
      <c r="AL985" t="s">
        <v>145</v>
      </c>
      <c r="AM985" t="s">
        <v>146</v>
      </c>
      <c r="AN985" t="s">
        <v>17763</v>
      </c>
      <c r="AO985" t="s">
        <v>17764</v>
      </c>
      <c r="AP985" t="s">
        <v>74</v>
      </c>
      <c r="AQ985" t="s">
        <v>17765</v>
      </c>
      <c r="AR985" t="s">
        <v>17766</v>
      </c>
      <c r="AS985" t="s">
        <v>74</v>
      </c>
      <c r="AT985" t="s">
        <v>74</v>
      </c>
      <c r="AU985">
        <v>2014</v>
      </c>
      <c r="AV985">
        <v>400</v>
      </c>
      <c r="AW985" t="s">
        <v>74</v>
      </c>
      <c r="AX985" t="s">
        <v>74</v>
      </c>
      <c r="AY985" t="s">
        <v>74</v>
      </c>
      <c r="AZ985" t="s">
        <v>74</v>
      </c>
      <c r="BA985" t="s">
        <v>74</v>
      </c>
      <c r="BB985">
        <v>349</v>
      </c>
      <c r="BC985">
        <v>358</v>
      </c>
      <c r="BD985" t="s">
        <v>74</v>
      </c>
      <c r="BE985" t="s">
        <v>17767</v>
      </c>
      <c r="BF985" t="str">
        <f>HYPERLINK("http://dx.doi.org/10.1007/978-3-642-39268-9_13","http://dx.doi.org/10.1007/978-3-642-39268-9_13")</f>
        <v>http://dx.doi.org/10.1007/978-3-642-39268-9_13</v>
      </c>
      <c r="BG985" t="s">
        <v>17768</v>
      </c>
      <c r="BH985" t="s">
        <v>74</v>
      </c>
      <c r="BI985">
        <v>10</v>
      </c>
      <c r="BJ985" t="s">
        <v>332</v>
      </c>
      <c r="BK985" t="s">
        <v>8850</v>
      </c>
      <c r="BL985" t="s">
        <v>332</v>
      </c>
      <c r="BM985" t="s">
        <v>17769</v>
      </c>
      <c r="BN985" t="s">
        <v>74</v>
      </c>
      <c r="BO985" t="s">
        <v>74</v>
      </c>
      <c r="BP985" t="s">
        <v>74</v>
      </c>
      <c r="BQ985" t="s">
        <v>74</v>
      </c>
      <c r="BR985" t="s">
        <v>104</v>
      </c>
      <c r="BS985" t="s">
        <v>17770</v>
      </c>
      <c r="BT985" t="str">
        <f>HYPERLINK("https%3A%2F%2Fwww.webofscience.com%2Fwos%2Fwoscc%2Ffull-record%2FWOS:000337079100014","View Full Record in Web of Science")</f>
        <v>View Full Record in Web of Science</v>
      </c>
    </row>
    <row r="986" spans="1:72" x14ac:dyDescent="0.15">
      <c r="A986" t="s">
        <v>72</v>
      </c>
      <c r="B986" t="s">
        <v>17771</v>
      </c>
      <c r="C986" t="s">
        <v>74</v>
      </c>
      <c r="D986" t="s">
        <v>74</v>
      </c>
      <c r="E986" t="s">
        <v>74</v>
      </c>
      <c r="F986" t="s">
        <v>17772</v>
      </c>
      <c r="G986" t="s">
        <v>74</v>
      </c>
      <c r="H986" t="s">
        <v>74</v>
      </c>
      <c r="I986" t="s">
        <v>17773</v>
      </c>
      <c r="J986" t="s">
        <v>10449</v>
      </c>
      <c r="K986" t="s">
        <v>74</v>
      </c>
      <c r="L986" t="s">
        <v>74</v>
      </c>
      <c r="M986" t="s">
        <v>78</v>
      </c>
      <c r="N986" t="s">
        <v>79</v>
      </c>
      <c r="O986" t="s">
        <v>74</v>
      </c>
      <c r="P986" t="s">
        <v>74</v>
      </c>
      <c r="Q986" t="s">
        <v>74</v>
      </c>
      <c r="R986" t="s">
        <v>74</v>
      </c>
      <c r="S986" t="s">
        <v>74</v>
      </c>
      <c r="T986" t="s">
        <v>74</v>
      </c>
      <c r="U986" t="s">
        <v>17774</v>
      </c>
      <c r="V986" t="s">
        <v>17775</v>
      </c>
      <c r="W986" t="s">
        <v>17776</v>
      </c>
      <c r="X986" t="s">
        <v>773</v>
      </c>
      <c r="Y986" t="s">
        <v>17777</v>
      </c>
      <c r="Z986" t="s">
        <v>17778</v>
      </c>
      <c r="AA986" t="s">
        <v>17779</v>
      </c>
      <c r="AB986" t="s">
        <v>17780</v>
      </c>
      <c r="AC986" t="s">
        <v>17781</v>
      </c>
      <c r="AD986" t="s">
        <v>17782</v>
      </c>
      <c r="AE986" t="s">
        <v>17783</v>
      </c>
      <c r="AF986" t="s">
        <v>74</v>
      </c>
      <c r="AG986">
        <v>52</v>
      </c>
      <c r="AH986">
        <v>22</v>
      </c>
      <c r="AI986">
        <v>24</v>
      </c>
      <c r="AJ986">
        <v>0</v>
      </c>
      <c r="AK986">
        <v>23</v>
      </c>
      <c r="AL986" t="s">
        <v>1463</v>
      </c>
      <c r="AM986" t="s">
        <v>1464</v>
      </c>
      <c r="AN986" t="s">
        <v>1465</v>
      </c>
      <c r="AO986" t="s">
        <v>10461</v>
      </c>
      <c r="AP986" t="s">
        <v>10462</v>
      </c>
      <c r="AQ986" t="s">
        <v>74</v>
      </c>
      <c r="AR986" t="s">
        <v>10449</v>
      </c>
      <c r="AS986" t="s">
        <v>10463</v>
      </c>
      <c r="AT986" t="s">
        <v>74</v>
      </c>
      <c r="AU986">
        <v>2014</v>
      </c>
      <c r="AV986">
        <v>8</v>
      </c>
      <c r="AW986">
        <v>1</v>
      </c>
      <c r="AX986" t="s">
        <v>74</v>
      </c>
      <c r="AY986" t="s">
        <v>74</v>
      </c>
      <c r="AZ986" t="s">
        <v>74</v>
      </c>
      <c r="BA986" t="s">
        <v>74</v>
      </c>
      <c r="BB986">
        <v>1</v>
      </c>
      <c r="BC986">
        <v>13</v>
      </c>
      <c r="BD986" t="s">
        <v>74</v>
      </c>
      <c r="BE986" t="s">
        <v>17784</v>
      </c>
      <c r="BF986" t="str">
        <f>HYPERLINK("http://dx.doi.org/10.5194/tc-8-1-2014","http://dx.doi.org/10.5194/tc-8-1-2014")</f>
        <v>http://dx.doi.org/10.5194/tc-8-1-2014</v>
      </c>
      <c r="BG986" t="s">
        <v>74</v>
      </c>
      <c r="BH986" t="s">
        <v>74</v>
      </c>
      <c r="BI986">
        <v>13</v>
      </c>
      <c r="BJ986" t="s">
        <v>1415</v>
      </c>
      <c r="BK986" t="s">
        <v>101</v>
      </c>
      <c r="BL986" t="s">
        <v>1416</v>
      </c>
      <c r="BM986" t="s">
        <v>14780</v>
      </c>
      <c r="BN986" t="s">
        <v>74</v>
      </c>
      <c r="BO986" t="s">
        <v>10466</v>
      </c>
      <c r="BP986" t="s">
        <v>74</v>
      </c>
      <c r="BQ986" t="s">
        <v>74</v>
      </c>
      <c r="BR986" t="s">
        <v>104</v>
      </c>
      <c r="BS986" t="s">
        <v>17785</v>
      </c>
      <c r="BT986" t="str">
        <f>HYPERLINK("https%3A%2F%2Fwww.webofscience.com%2Fwos%2Fwoscc%2Ffull-record%2FWOS:000332317000001","View Full Record in Web of Science")</f>
        <v>View Full Record in Web of Science</v>
      </c>
    </row>
    <row r="987" spans="1:72" x14ac:dyDescent="0.15">
      <c r="A987" t="s">
        <v>72</v>
      </c>
      <c r="B987" t="s">
        <v>17786</v>
      </c>
      <c r="C987" t="s">
        <v>74</v>
      </c>
      <c r="D987" t="s">
        <v>74</v>
      </c>
      <c r="E987" t="s">
        <v>74</v>
      </c>
      <c r="F987" t="s">
        <v>17787</v>
      </c>
      <c r="G987" t="s">
        <v>74</v>
      </c>
      <c r="H987" t="s">
        <v>74</v>
      </c>
      <c r="I987" t="s">
        <v>17788</v>
      </c>
      <c r="J987" t="s">
        <v>10449</v>
      </c>
      <c r="K987" t="s">
        <v>74</v>
      </c>
      <c r="L987" t="s">
        <v>74</v>
      </c>
      <c r="M987" t="s">
        <v>78</v>
      </c>
      <c r="N987" t="s">
        <v>79</v>
      </c>
      <c r="O987" t="s">
        <v>74</v>
      </c>
      <c r="P987" t="s">
        <v>74</v>
      </c>
      <c r="Q987" t="s">
        <v>74</v>
      </c>
      <c r="R987" t="s">
        <v>74</v>
      </c>
      <c r="S987" t="s">
        <v>74</v>
      </c>
      <c r="T987" t="s">
        <v>74</v>
      </c>
      <c r="U987" t="s">
        <v>17789</v>
      </c>
      <c r="V987" t="s">
        <v>17790</v>
      </c>
      <c r="W987" t="s">
        <v>17791</v>
      </c>
      <c r="X987" t="s">
        <v>17792</v>
      </c>
      <c r="Y987" t="s">
        <v>17793</v>
      </c>
      <c r="Z987" t="s">
        <v>17794</v>
      </c>
      <c r="AA987" t="s">
        <v>17795</v>
      </c>
      <c r="AB987" t="s">
        <v>17796</v>
      </c>
      <c r="AC987" t="s">
        <v>17797</v>
      </c>
      <c r="AD987" t="s">
        <v>17798</v>
      </c>
      <c r="AE987" t="s">
        <v>17799</v>
      </c>
      <c r="AF987" t="s">
        <v>74</v>
      </c>
      <c r="AG987">
        <v>42</v>
      </c>
      <c r="AH987">
        <v>38</v>
      </c>
      <c r="AI987">
        <v>43</v>
      </c>
      <c r="AJ987">
        <v>0</v>
      </c>
      <c r="AK987">
        <v>38</v>
      </c>
      <c r="AL987" t="s">
        <v>1463</v>
      </c>
      <c r="AM987" t="s">
        <v>1464</v>
      </c>
      <c r="AN987" t="s">
        <v>1465</v>
      </c>
      <c r="AO987" t="s">
        <v>10461</v>
      </c>
      <c r="AP987" t="s">
        <v>10462</v>
      </c>
      <c r="AQ987" t="s">
        <v>74</v>
      </c>
      <c r="AR987" t="s">
        <v>10449</v>
      </c>
      <c r="AS987" t="s">
        <v>10463</v>
      </c>
      <c r="AT987" t="s">
        <v>74</v>
      </c>
      <c r="AU987">
        <v>2014</v>
      </c>
      <c r="AV987">
        <v>8</v>
      </c>
      <c r="AW987">
        <v>1</v>
      </c>
      <c r="AX987" t="s">
        <v>74</v>
      </c>
      <c r="AY987" t="s">
        <v>74</v>
      </c>
      <c r="AZ987" t="s">
        <v>74</v>
      </c>
      <c r="BA987" t="s">
        <v>74</v>
      </c>
      <c r="BB987">
        <v>15</v>
      </c>
      <c r="BC987">
        <v>24</v>
      </c>
      <c r="BD987" t="s">
        <v>74</v>
      </c>
      <c r="BE987" t="s">
        <v>17800</v>
      </c>
      <c r="BF987" t="str">
        <f>HYPERLINK("http://dx.doi.org/10.5194/tc-8-15-2014","http://dx.doi.org/10.5194/tc-8-15-2014")</f>
        <v>http://dx.doi.org/10.5194/tc-8-15-2014</v>
      </c>
      <c r="BG987" t="s">
        <v>74</v>
      </c>
      <c r="BH987" t="s">
        <v>74</v>
      </c>
      <c r="BI987">
        <v>10</v>
      </c>
      <c r="BJ987" t="s">
        <v>1415</v>
      </c>
      <c r="BK987" t="s">
        <v>101</v>
      </c>
      <c r="BL987" t="s">
        <v>1416</v>
      </c>
      <c r="BM987" t="s">
        <v>14780</v>
      </c>
      <c r="BN987" t="s">
        <v>74</v>
      </c>
      <c r="BO987" t="s">
        <v>11522</v>
      </c>
      <c r="BP987" t="s">
        <v>74</v>
      </c>
      <c r="BQ987" t="s">
        <v>74</v>
      </c>
      <c r="BR987" t="s">
        <v>104</v>
      </c>
      <c r="BS987" t="s">
        <v>17801</v>
      </c>
      <c r="BT987" t="str">
        <f>HYPERLINK("https%3A%2F%2Fwww.webofscience.com%2Fwos%2Fwoscc%2Ffull-record%2FWOS:000332317000002","View Full Record in Web of Science")</f>
        <v>View Full Record in Web of Science</v>
      </c>
    </row>
    <row r="988" spans="1:72" x14ac:dyDescent="0.15">
      <c r="A988" t="s">
        <v>72</v>
      </c>
      <c r="B988" t="s">
        <v>17802</v>
      </c>
      <c r="C988" t="s">
        <v>74</v>
      </c>
      <c r="D988" t="s">
        <v>74</v>
      </c>
      <c r="E988" t="s">
        <v>74</v>
      </c>
      <c r="F988" t="s">
        <v>17803</v>
      </c>
      <c r="G988" t="s">
        <v>74</v>
      </c>
      <c r="H988" t="s">
        <v>74</v>
      </c>
      <c r="I988" t="s">
        <v>17804</v>
      </c>
      <c r="J988" t="s">
        <v>10449</v>
      </c>
      <c r="K988" t="s">
        <v>74</v>
      </c>
      <c r="L988" t="s">
        <v>74</v>
      </c>
      <c r="M988" t="s">
        <v>78</v>
      </c>
      <c r="N988" t="s">
        <v>79</v>
      </c>
      <c r="O988" t="s">
        <v>74</v>
      </c>
      <c r="P988" t="s">
        <v>74</v>
      </c>
      <c r="Q988" t="s">
        <v>74</v>
      </c>
      <c r="R988" t="s">
        <v>74</v>
      </c>
      <c r="S988" t="s">
        <v>74</v>
      </c>
      <c r="T988" t="s">
        <v>74</v>
      </c>
      <c r="U988" t="s">
        <v>17805</v>
      </c>
      <c r="V988" t="s">
        <v>17806</v>
      </c>
      <c r="W988" t="s">
        <v>17807</v>
      </c>
      <c r="X988" t="s">
        <v>17808</v>
      </c>
      <c r="Y988" t="s">
        <v>17809</v>
      </c>
      <c r="Z988" t="s">
        <v>17810</v>
      </c>
      <c r="AA988" t="s">
        <v>17811</v>
      </c>
      <c r="AB988" t="s">
        <v>17812</v>
      </c>
      <c r="AC988" t="s">
        <v>17813</v>
      </c>
      <c r="AD988" t="s">
        <v>17814</v>
      </c>
      <c r="AE988" t="s">
        <v>17815</v>
      </c>
      <c r="AF988" t="s">
        <v>74</v>
      </c>
      <c r="AG988">
        <v>43</v>
      </c>
      <c r="AH988">
        <v>44</v>
      </c>
      <c r="AI988">
        <v>53</v>
      </c>
      <c r="AJ988">
        <v>1</v>
      </c>
      <c r="AK988">
        <v>17</v>
      </c>
      <c r="AL988" t="s">
        <v>1463</v>
      </c>
      <c r="AM988" t="s">
        <v>1464</v>
      </c>
      <c r="AN988" t="s">
        <v>1465</v>
      </c>
      <c r="AO988" t="s">
        <v>10461</v>
      </c>
      <c r="AP988" t="s">
        <v>10462</v>
      </c>
      <c r="AQ988" t="s">
        <v>74</v>
      </c>
      <c r="AR988" t="s">
        <v>10449</v>
      </c>
      <c r="AS988" t="s">
        <v>10463</v>
      </c>
      <c r="AT988" t="s">
        <v>74</v>
      </c>
      <c r="AU988">
        <v>2014</v>
      </c>
      <c r="AV988">
        <v>8</v>
      </c>
      <c r="AW988">
        <v>1</v>
      </c>
      <c r="AX988" t="s">
        <v>74</v>
      </c>
      <c r="AY988" t="s">
        <v>74</v>
      </c>
      <c r="AZ988" t="s">
        <v>74</v>
      </c>
      <c r="BA988" t="s">
        <v>74</v>
      </c>
      <c r="BB988">
        <v>91</v>
      </c>
      <c r="BC988">
        <v>105</v>
      </c>
      <c r="BD988" t="s">
        <v>74</v>
      </c>
      <c r="BE988" t="s">
        <v>17816</v>
      </c>
      <c r="BF988" t="str">
        <f>HYPERLINK("http://dx.doi.org/10.5194/tc-8-91-2014","http://dx.doi.org/10.5194/tc-8-91-2014")</f>
        <v>http://dx.doi.org/10.5194/tc-8-91-2014</v>
      </c>
      <c r="BG988" t="s">
        <v>74</v>
      </c>
      <c r="BH988" t="s">
        <v>74</v>
      </c>
      <c r="BI988">
        <v>15</v>
      </c>
      <c r="BJ988" t="s">
        <v>1415</v>
      </c>
      <c r="BK988" t="s">
        <v>101</v>
      </c>
      <c r="BL988" t="s">
        <v>1416</v>
      </c>
      <c r="BM988" t="s">
        <v>14780</v>
      </c>
      <c r="BN988" t="s">
        <v>74</v>
      </c>
      <c r="BO988" t="s">
        <v>6156</v>
      </c>
      <c r="BP988" t="s">
        <v>74</v>
      </c>
      <c r="BQ988" t="s">
        <v>74</v>
      </c>
      <c r="BR988" t="s">
        <v>104</v>
      </c>
      <c r="BS988" t="s">
        <v>17817</v>
      </c>
      <c r="BT988" t="str">
        <f>HYPERLINK("https%3A%2F%2Fwww.webofscience.com%2Fwos%2Fwoscc%2Ffull-record%2FWOS:000332317000007","View Full Record in Web of Science")</f>
        <v>View Full Record in Web of Science</v>
      </c>
    </row>
    <row r="989" spans="1:72" x14ac:dyDescent="0.15">
      <c r="A989" t="s">
        <v>72</v>
      </c>
      <c r="B989" t="s">
        <v>17818</v>
      </c>
      <c r="C989" t="s">
        <v>74</v>
      </c>
      <c r="D989" t="s">
        <v>74</v>
      </c>
      <c r="E989" t="s">
        <v>74</v>
      </c>
      <c r="F989" t="s">
        <v>17819</v>
      </c>
      <c r="G989" t="s">
        <v>74</v>
      </c>
      <c r="H989" t="s">
        <v>74</v>
      </c>
      <c r="I989" t="s">
        <v>17820</v>
      </c>
      <c r="J989" t="s">
        <v>10449</v>
      </c>
      <c r="K989" t="s">
        <v>74</v>
      </c>
      <c r="L989" t="s">
        <v>74</v>
      </c>
      <c r="M989" t="s">
        <v>78</v>
      </c>
      <c r="N989" t="s">
        <v>79</v>
      </c>
      <c r="O989" t="s">
        <v>74</v>
      </c>
      <c r="P989" t="s">
        <v>74</v>
      </c>
      <c r="Q989" t="s">
        <v>74</v>
      </c>
      <c r="R989" t="s">
        <v>74</v>
      </c>
      <c r="S989" t="s">
        <v>74</v>
      </c>
      <c r="T989" t="s">
        <v>74</v>
      </c>
      <c r="U989" t="s">
        <v>17821</v>
      </c>
      <c r="V989" t="s">
        <v>17822</v>
      </c>
      <c r="W989" t="s">
        <v>17823</v>
      </c>
      <c r="X989" t="s">
        <v>17824</v>
      </c>
      <c r="Y989" t="s">
        <v>17825</v>
      </c>
      <c r="Z989" t="s">
        <v>17826</v>
      </c>
      <c r="AA989" t="s">
        <v>17827</v>
      </c>
      <c r="AB989" t="s">
        <v>17828</v>
      </c>
      <c r="AC989" t="s">
        <v>17829</v>
      </c>
      <c r="AD989" t="s">
        <v>17830</v>
      </c>
      <c r="AE989" t="s">
        <v>17831</v>
      </c>
      <c r="AF989" t="s">
        <v>74</v>
      </c>
      <c r="AG989">
        <v>48</v>
      </c>
      <c r="AH989">
        <v>8</v>
      </c>
      <c r="AI989">
        <v>9</v>
      </c>
      <c r="AJ989">
        <v>1</v>
      </c>
      <c r="AK989">
        <v>10</v>
      </c>
      <c r="AL989" t="s">
        <v>1463</v>
      </c>
      <c r="AM989" t="s">
        <v>1464</v>
      </c>
      <c r="AN989" t="s">
        <v>1465</v>
      </c>
      <c r="AO989" t="s">
        <v>10461</v>
      </c>
      <c r="AP989" t="s">
        <v>10462</v>
      </c>
      <c r="AQ989" t="s">
        <v>74</v>
      </c>
      <c r="AR989" t="s">
        <v>10449</v>
      </c>
      <c r="AS989" t="s">
        <v>10463</v>
      </c>
      <c r="AT989" t="s">
        <v>74</v>
      </c>
      <c r="AU989">
        <v>2014</v>
      </c>
      <c r="AV989">
        <v>8</v>
      </c>
      <c r="AW989">
        <v>2</v>
      </c>
      <c r="AX989" t="s">
        <v>74</v>
      </c>
      <c r="AY989" t="s">
        <v>74</v>
      </c>
      <c r="AZ989" t="s">
        <v>74</v>
      </c>
      <c r="BA989" t="s">
        <v>74</v>
      </c>
      <c r="BB989">
        <v>607</v>
      </c>
      <c r="BC989">
        <v>621</v>
      </c>
      <c r="BD989" t="s">
        <v>74</v>
      </c>
      <c r="BE989" t="s">
        <v>17832</v>
      </c>
      <c r="BF989" t="str">
        <f>HYPERLINK("http://dx.doi.org/10.5194/tc-8-607-2014","http://dx.doi.org/10.5194/tc-8-607-2014")</f>
        <v>http://dx.doi.org/10.5194/tc-8-607-2014</v>
      </c>
      <c r="BG989" t="s">
        <v>74</v>
      </c>
      <c r="BH989" t="s">
        <v>74</v>
      </c>
      <c r="BI989">
        <v>15</v>
      </c>
      <c r="BJ989" t="s">
        <v>1415</v>
      </c>
      <c r="BK989" t="s">
        <v>101</v>
      </c>
      <c r="BL989" t="s">
        <v>1416</v>
      </c>
      <c r="BM989" t="s">
        <v>14048</v>
      </c>
      <c r="BN989" t="s">
        <v>74</v>
      </c>
      <c r="BO989" t="s">
        <v>9228</v>
      </c>
      <c r="BP989" t="s">
        <v>74</v>
      </c>
      <c r="BQ989" t="s">
        <v>74</v>
      </c>
      <c r="BR989" t="s">
        <v>104</v>
      </c>
      <c r="BS989" t="s">
        <v>17833</v>
      </c>
      <c r="BT989" t="str">
        <f>HYPERLINK("https%3A%2F%2Fwww.webofscience.com%2Fwos%2Fwoscc%2Ffull-record%2FWOS:000335377200019","View Full Record in Web of Science")</f>
        <v>View Full Record in Web of Science</v>
      </c>
    </row>
    <row r="990" spans="1:72" x14ac:dyDescent="0.15">
      <c r="A990" t="s">
        <v>72</v>
      </c>
      <c r="B990" t="s">
        <v>17834</v>
      </c>
      <c r="C990" t="s">
        <v>74</v>
      </c>
      <c r="D990" t="s">
        <v>74</v>
      </c>
      <c r="E990" t="s">
        <v>74</v>
      </c>
      <c r="F990" t="s">
        <v>17835</v>
      </c>
      <c r="G990" t="s">
        <v>74</v>
      </c>
      <c r="H990" t="s">
        <v>74</v>
      </c>
      <c r="I990" t="s">
        <v>17836</v>
      </c>
      <c r="J990" t="s">
        <v>10449</v>
      </c>
      <c r="K990" t="s">
        <v>74</v>
      </c>
      <c r="L990" t="s">
        <v>74</v>
      </c>
      <c r="M990" t="s">
        <v>78</v>
      </c>
      <c r="N990" t="s">
        <v>79</v>
      </c>
      <c r="O990" t="s">
        <v>74</v>
      </c>
      <c r="P990" t="s">
        <v>74</v>
      </c>
      <c r="Q990" t="s">
        <v>74</v>
      </c>
      <c r="R990" t="s">
        <v>74</v>
      </c>
      <c r="S990" t="s">
        <v>74</v>
      </c>
      <c r="T990" t="s">
        <v>74</v>
      </c>
      <c r="U990" t="s">
        <v>17837</v>
      </c>
      <c r="V990" t="s">
        <v>17838</v>
      </c>
      <c r="W990" t="s">
        <v>17839</v>
      </c>
      <c r="X990" t="s">
        <v>17840</v>
      </c>
      <c r="Y990" t="s">
        <v>17841</v>
      </c>
      <c r="Z990" t="s">
        <v>17842</v>
      </c>
      <c r="AA990" t="s">
        <v>17843</v>
      </c>
      <c r="AB990" t="s">
        <v>17844</v>
      </c>
      <c r="AC990" t="s">
        <v>17845</v>
      </c>
      <c r="AD990" t="s">
        <v>17846</v>
      </c>
      <c r="AE990" t="s">
        <v>17847</v>
      </c>
      <c r="AF990" t="s">
        <v>74</v>
      </c>
      <c r="AG990">
        <v>51</v>
      </c>
      <c r="AH990">
        <v>66</v>
      </c>
      <c r="AI990">
        <v>75</v>
      </c>
      <c r="AJ990">
        <v>1</v>
      </c>
      <c r="AK990">
        <v>42</v>
      </c>
      <c r="AL990" t="s">
        <v>1463</v>
      </c>
      <c r="AM990" t="s">
        <v>1464</v>
      </c>
      <c r="AN990" t="s">
        <v>1465</v>
      </c>
      <c r="AO990" t="s">
        <v>10461</v>
      </c>
      <c r="AP990" t="s">
        <v>10462</v>
      </c>
      <c r="AQ990" t="s">
        <v>74</v>
      </c>
      <c r="AR990" t="s">
        <v>10449</v>
      </c>
      <c r="AS990" t="s">
        <v>10463</v>
      </c>
      <c r="AT990" t="s">
        <v>74</v>
      </c>
      <c r="AU990">
        <v>2014</v>
      </c>
      <c r="AV990">
        <v>8</v>
      </c>
      <c r="AW990">
        <v>2</v>
      </c>
      <c r="AX990" t="s">
        <v>74</v>
      </c>
      <c r="AY990" t="s">
        <v>74</v>
      </c>
      <c r="AZ990" t="s">
        <v>74</v>
      </c>
      <c r="BA990" t="s">
        <v>74</v>
      </c>
      <c r="BB990">
        <v>743</v>
      </c>
      <c r="BC990">
        <v>760</v>
      </c>
      <c r="BD990" t="s">
        <v>74</v>
      </c>
      <c r="BE990" t="s">
        <v>17848</v>
      </c>
      <c r="BF990" t="str">
        <f>HYPERLINK("http://dx.doi.org/10.5194/tc-8-743-2014","http://dx.doi.org/10.5194/tc-8-743-2014")</f>
        <v>http://dx.doi.org/10.5194/tc-8-743-2014</v>
      </c>
      <c r="BG990" t="s">
        <v>74</v>
      </c>
      <c r="BH990" t="s">
        <v>74</v>
      </c>
      <c r="BI990">
        <v>18</v>
      </c>
      <c r="BJ990" t="s">
        <v>1415</v>
      </c>
      <c r="BK990" t="s">
        <v>101</v>
      </c>
      <c r="BL990" t="s">
        <v>1416</v>
      </c>
      <c r="BM990" t="s">
        <v>14048</v>
      </c>
      <c r="BN990" t="s">
        <v>74</v>
      </c>
      <c r="BO990" t="s">
        <v>1472</v>
      </c>
      <c r="BP990" t="s">
        <v>74</v>
      </c>
      <c r="BQ990" t="s">
        <v>74</v>
      </c>
      <c r="BR990" t="s">
        <v>104</v>
      </c>
      <c r="BS990" t="s">
        <v>17849</v>
      </c>
      <c r="BT990" t="str">
        <f>HYPERLINK("https%3A%2F%2Fwww.webofscience.com%2Fwos%2Fwoscc%2Ffull-record%2FWOS:000335377200028","View Full Record in Web of Science")</f>
        <v>View Full Record in Web of Science</v>
      </c>
    </row>
    <row r="991" spans="1:72" x14ac:dyDescent="0.15">
      <c r="A991" t="s">
        <v>72</v>
      </c>
      <c r="B991" t="s">
        <v>17850</v>
      </c>
      <c r="C991" t="s">
        <v>74</v>
      </c>
      <c r="D991" t="s">
        <v>74</v>
      </c>
      <c r="E991" t="s">
        <v>74</v>
      </c>
      <c r="F991" t="s">
        <v>17851</v>
      </c>
      <c r="G991" t="s">
        <v>74</v>
      </c>
      <c r="H991" t="s">
        <v>74</v>
      </c>
      <c r="I991" t="s">
        <v>17852</v>
      </c>
      <c r="J991" t="s">
        <v>10449</v>
      </c>
      <c r="K991" t="s">
        <v>74</v>
      </c>
      <c r="L991" t="s">
        <v>74</v>
      </c>
      <c r="M991" t="s">
        <v>78</v>
      </c>
      <c r="N991" t="s">
        <v>79</v>
      </c>
      <c r="O991" t="s">
        <v>74</v>
      </c>
      <c r="P991" t="s">
        <v>74</v>
      </c>
      <c r="Q991" t="s">
        <v>74</v>
      </c>
      <c r="R991" t="s">
        <v>74</v>
      </c>
      <c r="S991" t="s">
        <v>74</v>
      </c>
      <c r="T991" t="s">
        <v>74</v>
      </c>
      <c r="U991" t="s">
        <v>17853</v>
      </c>
      <c r="V991" t="s">
        <v>17854</v>
      </c>
      <c r="W991" t="s">
        <v>17855</v>
      </c>
      <c r="X991" t="s">
        <v>17856</v>
      </c>
      <c r="Y991" t="s">
        <v>17857</v>
      </c>
      <c r="Z991" t="s">
        <v>17858</v>
      </c>
      <c r="AA991" t="s">
        <v>17859</v>
      </c>
      <c r="AB991" t="s">
        <v>17860</v>
      </c>
      <c r="AC991" t="s">
        <v>17861</v>
      </c>
      <c r="AD991" t="s">
        <v>350</v>
      </c>
      <c r="AE991" t="s">
        <v>74</v>
      </c>
      <c r="AF991" t="s">
        <v>74</v>
      </c>
      <c r="AG991">
        <v>80</v>
      </c>
      <c r="AH991">
        <v>48</v>
      </c>
      <c r="AI991">
        <v>55</v>
      </c>
      <c r="AJ991">
        <v>0</v>
      </c>
      <c r="AK991">
        <v>31</v>
      </c>
      <c r="AL991" t="s">
        <v>1463</v>
      </c>
      <c r="AM991" t="s">
        <v>1464</v>
      </c>
      <c r="AN991" t="s">
        <v>1465</v>
      </c>
      <c r="AO991" t="s">
        <v>10461</v>
      </c>
      <c r="AP991" t="s">
        <v>10462</v>
      </c>
      <c r="AQ991" t="s">
        <v>74</v>
      </c>
      <c r="AR991" t="s">
        <v>10449</v>
      </c>
      <c r="AS991" t="s">
        <v>10463</v>
      </c>
      <c r="AT991" t="s">
        <v>74</v>
      </c>
      <c r="AU991">
        <v>2014</v>
      </c>
      <c r="AV991">
        <v>8</v>
      </c>
      <c r="AW991">
        <v>2</v>
      </c>
      <c r="AX991" t="s">
        <v>74</v>
      </c>
      <c r="AY991" t="s">
        <v>74</v>
      </c>
      <c r="AZ991" t="s">
        <v>74</v>
      </c>
      <c r="BA991" t="s">
        <v>74</v>
      </c>
      <c r="BB991">
        <v>761</v>
      </c>
      <c r="BC991">
        <v>783</v>
      </c>
      <c r="BD991" t="s">
        <v>74</v>
      </c>
      <c r="BE991" t="s">
        <v>17862</v>
      </c>
      <c r="BF991" t="str">
        <f>HYPERLINK("http://dx.doi.org/10.5194/tc-8-761-2014","http://dx.doi.org/10.5194/tc-8-761-2014")</f>
        <v>http://dx.doi.org/10.5194/tc-8-761-2014</v>
      </c>
      <c r="BG991" t="s">
        <v>74</v>
      </c>
      <c r="BH991" t="s">
        <v>74</v>
      </c>
      <c r="BI991">
        <v>23</v>
      </c>
      <c r="BJ991" t="s">
        <v>1415</v>
      </c>
      <c r="BK991" t="s">
        <v>101</v>
      </c>
      <c r="BL991" t="s">
        <v>1416</v>
      </c>
      <c r="BM991" t="s">
        <v>14048</v>
      </c>
      <c r="BN991" t="s">
        <v>74</v>
      </c>
      <c r="BO991" t="s">
        <v>10466</v>
      </c>
      <c r="BP991" t="s">
        <v>74</v>
      </c>
      <c r="BQ991" t="s">
        <v>74</v>
      </c>
      <c r="BR991" t="s">
        <v>104</v>
      </c>
      <c r="BS991" t="s">
        <v>17863</v>
      </c>
      <c r="BT991" t="str">
        <f>HYPERLINK("https%3A%2F%2Fwww.webofscience.com%2Fwos%2Fwoscc%2Ffull-record%2FWOS:000335377200029","View Full Record in Web of Science")</f>
        <v>View Full Record in Web of Science</v>
      </c>
    </row>
    <row r="992" spans="1:72" x14ac:dyDescent="0.15">
      <c r="A992" t="s">
        <v>72</v>
      </c>
      <c r="B992" t="s">
        <v>17864</v>
      </c>
      <c r="C992" t="s">
        <v>74</v>
      </c>
      <c r="D992" t="s">
        <v>74</v>
      </c>
      <c r="E992" t="s">
        <v>74</v>
      </c>
      <c r="F992" t="s">
        <v>17865</v>
      </c>
      <c r="G992" t="s">
        <v>74</v>
      </c>
      <c r="H992" t="s">
        <v>74</v>
      </c>
      <c r="I992" t="s">
        <v>17866</v>
      </c>
      <c r="J992" t="s">
        <v>10449</v>
      </c>
      <c r="K992" t="s">
        <v>74</v>
      </c>
      <c r="L992" t="s">
        <v>74</v>
      </c>
      <c r="M992" t="s">
        <v>78</v>
      </c>
      <c r="N992" t="s">
        <v>79</v>
      </c>
      <c r="O992" t="s">
        <v>74</v>
      </c>
      <c r="P992" t="s">
        <v>74</v>
      </c>
      <c r="Q992" t="s">
        <v>74</v>
      </c>
      <c r="R992" t="s">
        <v>74</v>
      </c>
      <c r="S992" t="s">
        <v>74</v>
      </c>
      <c r="T992" t="s">
        <v>74</v>
      </c>
      <c r="U992" t="s">
        <v>17867</v>
      </c>
      <c r="V992" t="s">
        <v>17868</v>
      </c>
      <c r="W992" t="s">
        <v>17869</v>
      </c>
      <c r="X992" t="s">
        <v>17870</v>
      </c>
      <c r="Y992" t="s">
        <v>17871</v>
      </c>
      <c r="Z992" t="s">
        <v>17872</v>
      </c>
      <c r="AA992" t="s">
        <v>17873</v>
      </c>
      <c r="AB992" t="s">
        <v>17874</v>
      </c>
      <c r="AC992" t="s">
        <v>17875</v>
      </c>
      <c r="AD992" t="s">
        <v>17876</v>
      </c>
      <c r="AE992" t="s">
        <v>17877</v>
      </c>
      <c r="AF992" t="s">
        <v>74</v>
      </c>
      <c r="AG992">
        <v>42</v>
      </c>
      <c r="AH992">
        <v>21</v>
      </c>
      <c r="AI992">
        <v>21</v>
      </c>
      <c r="AJ992">
        <v>0</v>
      </c>
      <c r="AK992">
        <v>7</v>
      </c>
      <c r="AL992" t="s">
        <v>1463</v>
      </c>
      <c r="AM992" t="s">
        <v>1464</v>
      </c>
      <c r="AN992" t="s">
        <v>1465</v>
      </c>
      <c r="AO992" t="s">
        <v>10461</v>
      </c>
      <c r="AP992" t="s">
        <v>10462</v>
      </c>
      <c r="AQ992" t="s">
        <v>74</v>
      </c>
      <c r="AR992" t="s">
        <v>10449</v>
      </c>
      <c r="AS992" t="s">
        <v>10463</v>
      </c>
      <c r="AT992" t="s">
        <v>74</v>
      </c>
      <c r="AU992">
        <v>2014</v>
      </c>
      <c r="AV992">
        <v>8</v>
      </c>
      <c r="AW992">
        <v>3</v>
      </c>
      <c r="AX992" t="s">
        <v>74</v>
      </c>
      <c r="AY992" t="s">
        <v>74</v>
      </c>
      <c r="AZ992" t="s">
        <v>74</v>
      </c>
      <c r="BA992" t="s">
        <v>74</v>
      </c>
      <c r="BB992">
        <v>867</v>
      </c>
      <c r="BC992">
        <v>875</v>
      </c>
      <c r="BD992" t="s">
        <v>74</v>
      </c>
      <c r="BE992" t="s">
        <v>17878</v>
      </c>
      <c r="BF992" t="str">
        <f>HYPERLINK("http://dx.doi.org/10.5194/tc-8-867-2014","http://dx.doi.org/10.5194/tc-8-867-2014")</f>
        <v>http://dx.doi.org/10.5194/tc-8-867-2014</v>
      </c>
      <c r="BG992" t="s">
        <v>74</v>
      </c>
      <c r="BH992" t="s">
        <v>74</v>
      </c>
      <c r="BI992">
        <v>9</v>
      </c>
      <c r="BJ992" t="s">
        <v>1415</v>
      </c>
      <c r="BK992" t="s">
        <v>101</v>
      </c>
      <c r="BL992" t="s">
        <v>1416</v>
      </c>
      <c r="BM992" t="s">
        <v>12969</v>
      </c>
      <c r="BN992" t="s">
        <v>74</v>
      </c>
      <c r="BO992" t="s">
        <v>1270</v>
      </c>
      <c r="BP992" t="s">
        <v>74</v>
      </c>
      <c r="BQ992" t="s">
        <v>74</v>
      </c>
      <c r="BR992" t="s">
        <v>104</v>
      </c>
      <c r="BS992" t="s">
        <v>17879</v>
      </c>
      <c r="BT992" t="str">
        <f>HYPERLINK("https%3A%2F%2Fwww.webofscience.com%2Fwos%2Fwoscc%2Ffull-record%2FWOS:000338655600005","View Full Record in Web of Science")</f>
        <v>View Full Record in Web of Science</v>
      </c>
    </row>
    <row r="993" spans="1:72" x14ac:dyDescent="0.15">
      <c r="A993" t="s">
        <v>72</v>
      </c>
      <c r="B993" t="s">
        <v>17880</v>
      </c>
      <c r="C993" t="s">
        <v>74</v>
      </c>
      <c r="D993" t="s">
        <v>74</v>
      </c>
      <c r="E993" t="s">
        <v>74</v>
      </c>
      <c r="F993" t="s">
        <v>17881</v>
      </c>
      <c r="G993" t="s">
        <v>74</v>
      </c>
      <c r="H993" t="s">
        <v>74</v>
      </c>
      <c r="I993" t="s">
        <v>17882</v>
      </c>
      <c r="J993" t="s">
        <v>10449</v>
      </c>
      <c r="K993" t="s">
        <v>74</v>
      </c>
      <c r="L993" t="s">
        <v>74</v>
      </c>
      <c r="M993" t="s">
        <v>78</v>
      </c>
      <c r="N993" t="s">
        <v>79</v>
      </c>
      <c r="O993" t="s">
        <v>74</v>
      </c>
      <c r="P993" t="s">
        <v>74</v>
      </c>
      <c r="Q993" t="s">
        <v>74</v>
      </c>
      <c r="R993" t="s">
        <v>74</v>
      </c>
      <c r="S993" t="s">
        <v>74</v>
      </c>
      <c r="T993" t="s">
        <v>74</v>
      </c>
      <c r="U993" t="s">
        <v>17883</v>
      </c>
      <c r="V993" t="s">
        <v>17884</v>
      </c>
      <c r="W993" t="s">
        <v>17885</v>
      </c>
      <c r="X993" t="s">
        <v>17886</v>
      </c>
      <c r="Y993" t="s">
        <v>17887</v>
      </c>
      <c r="Z993" t="s">
        <v>17888</v>
      </c>
      <c r="AA993" t="s">
        <v>17889</v>
      </c>
      <c r="AB993" t="s">
        <v>17890</v>
      </c>
      <c r="AC993" t="s">
        <v>17891</v>
      </c>
      <c r="AD993" t="s">
        <v>7262</v>
      </c>
      <c r="AE993" t="s">
        <v>17892</v>
      </c>
      <c r="AF993" t="s">
        <v>74</v>
      </c>
      <c r="AG993">
        <v>56</v>
      </c>
      <c r="AH993">
        <v>29</v>
      </c>
      <c r="AI993">
        <v>31</v>
      </c>
      <c r="AJ993">
        <v>0</v>
      </c>
      <c r="AK993">
        <v>12</v>
      </c>
      <c r="AL993" t="s">
        <v>1463</v>
      </c>
      <c r="AM993" t="s">
        <v>1464</v>
      </c>
      <c r="AN993" t="s">
        <v>1465</v>
      </c>
      <c r="AO993" t="s">
        <v>10461</v>
      </c>
      <c r="AP993" t="s">
        <v>10462</v>
      </c>
      <c r="AQ993" t="s">
        <v>74</v>
      </c>
      <c r="AR993" t="s">
        <v>10449</v>
      </c>
      <c r="AS993" t="s">
        <v>10463</v>
      </c>
      <c r="AT993" t="s">
        <v>74</v>
      </c>
      <c r="AU993">
        <v>2014</v>
      </c>
      <c r="AV993">
        <v>8</v>
      </c>
      <c r="AW993">
        <v>3</v>
      </c>
      <c r="AX993" t="s">
        <v>74</v>
      </c>
      <c r="AY993" t="s">
        <v>74</v>
      </c>
      <c r="AZ993" t="s">
        <v>74</v>
      </c>
      <c r="BA993" t="s">
        <v>74</v>
      </c>
      <c r="BB993">
        <v>891</v>
      </c>
      <c r="BC993">
        <v>904</v>
      </c>
      <c r="BD993" t="s">
        <v>74</v>
      </c>
      <c r="BE993" t="s">
        <v>17893</v>
      </c>
      <c r="BF993" t="str">
        <f>HYPERLINK("http://dx.doi.org/10.5194/tc-8-891-2014","http://dx.doi.org/10.5194/tc-8-891-2014")</f>
        <v>http://dx.doi.org/10.5194/tc-8-891-2014</v>
      </c>
      <c r="BG993" t="s">
        <v>74</v>
      </c>
      <c r="BH993" t="s">
        <v>74</v>
      </c>
      <c r="BI993">
        <v>14</v>
      </c>
      <c r="BJ993" t="s">
        <v>1415</v>
      </c>
      <c r="BK993" t="s">
        <v>101</v>
      </c>
      <c r="BL993" t="s">
        <v>1416</v>
      </c>
      <c r="BM993" t="s">
        <v>12969</v>
      </c>
      <c r="BN993" t="s">
        <v>74</v>
      </c>
      <c r="BO993" t="s">
        <v>17061</v>
      </c>
      <c r="BP993" t="s">
        <v>74</v>
      </c>
      <c r="BQ993" t="s">
        <v>74</v>
      </c>
      <c r="BR993" t="s">
        <v>104</v>
      </c>
      <c r="BS993" t="s">
        <v>17894</v>
      </c>
      <c r="BT993" t="str">
        <f>HYPERLINK("https%3A%2F%2Fwww.webofscience.com%2Fwos%2Fwoscc%2Ffull-record%2FWOS:000338655600007","View Full Record in Web of Science")</f>
        <v>View Full Record in Web of Science</v>
      </c>
    </row>
    <row r="994" spans="1:72" x14ac:dyDescent="0.15">
      <c r="A994" t="s">
        <v>72</v>
      </c>
      <c r="B994" t="s">
        <v>17895</v>
      </c>
      <c r="C994" t="s">
        <v>74</v>
      </c>
      <c r="D994" t="s">
        <v>74</v>
      </c>
      <c r="E994" t="s">
        <v>74</v>
      </c>
      <c r="F994" t="s">
        <v>17896</v>
      </c>
      <c r="G994" t="s">
        <v>74</v>
      </c>
      <c r="H994" t="s">
        <v>74</v>
      </c>
      <c r="I994" t="s">
        <v>17897</v>
      </c>
      <c r="J994" t="s">
        <v>10449</v>
      </c>
      <c r="K994" t="s">
        <v>74</v>
      </c>
      <c r="L994" t="s">
        <v>74</v>
      </c>
      <c r="M994" t="s">
        <v>78</v>
      </c>
      <c r="N994" t="s">
        <v>79</v>
      </c>
      <c r="O994" t="s">
        <v>74</v>
      </c>
      <c r="P994" t="s">
        <v>74</v>
      </c>
      <c r="Q994" t="s">
        <v>74</v>
      </c>
      <c r="R994" t="s">
        <v>74</v>
      </c>
      <c r="S994" t="s">
        <v>74</v>
      </c>
      <c r="T994" t="s">
        <v>74</v>
      </c>
      <c r="U994" t="s">
        <v>17898</v>
      </c>
      <c r="V994" t="s">
        <v>17899</v>
      </c>
      <c r="W994" t="s">
        <v>17900</v>
      </c>
      <c r="X994" t="s">
        <v>17901</v>
      </c>
      <c r="Y994" t="s">
        <v>11901</v>
      </c>
      <c r="Z994" t="s">
        <v>11902</v>
      </c>
      <c r="AA994" t="s">
        <v>17827</v>
      </c>
      <c r="AB994" t="s">
        <v>17828</v>
      </c>
      <c r="AC994" t="s">
        <v>17902</v>
      </c>
      <c r="AD994" t="s">
        <v>17903</v>
      </c>
      <c r="AE994" t="s">
        <v>17904</v>
      </c>
      <c r="AF994" t="s">
        <v>74</v>
      </c>
      <c r="AG994">
        <v>27</v>
      </c>
      <c r="AH994">
        <v>17</v>
      </c>
      <c r="AI994">
        <v>25</v>
      </c>
      <c r="AJ994">
        <v>1</v>
      </c>
      <c r="AK994">
        <v>11</v>
      </c>
      <c r="AL994" t="s">
        <v>1463</v>
      </c>
      <c r="AM994" t="s">
        <v>1464</v>
      </c>
      <c r="AN994" t="s">
        <v>1465</v>
      </c>
      <c r="AO994" t="s">
        <v>10461</v>
      </c>
      <c r="AP994" t="s">
        <v>10462</v>
      </c>
      <c r="AQ994" t="s">
        <v>74</v>
      </c>
      <c r="AR994" t="s">
        <v>10449</v>
      </c>
      <c r="AS994" t="s">
        <v>10463</v>
      </c>
      <c r="AT994" t="s">
        <v>74</v>
      </c>
      <c r="AU994">
        <v>2014</v>
      </c>
      <c r="AV994">
        <v>8</v>
      </c>
      <c r="AW994">
        <v>3</v>
      </c>
      <c r="AX994" t="s">
        <v>74</v>
      </c>
      <c r="AY994" t="s">
        <v>74</v>
      </c>
      <c r="AZ994" t="s">
        <v>74</v>
      </c>
      <c r="BA994" t="s">
        <v>74</v>
      </c>
      <c r="BB994">
        <v>1121</v>
      </c>
      <c r="BC994">
        <v>1128</v>
      </c>
      <c r="BD994" t="s">
        <v>74</v>
      </c>
      <c r="BE994" t="s">
        <v>17905</v>
      </c>
      <c r="BF994" t="str">
        <f>HYPERLINK("http://dx.doi.org/10.5194/tc-8-1121-2014","http://dx.doi.org/10.5194/tc-8-1121-2014")</f>
        <v>http://dx.doi.org/10.5194/tc-8-1121-2014</v>
      </c>
      <c r="BG994" t="s">
        <v>74</v>
      </c>
      <c r="BH994" t="s">
        <v>74</v>
      </c>
      <c r="BI994">
        <v>8</v>
      </c>
      <c r="BJ994" t="s">
        <v>1415</v>
      </c>
      <c r="BK994" t="s">
        <v>101</v>
      </c>
      <c r="BL994" t="s">
        <v>1416</v>
      </c>
      <c r="BM994" t="s">
        <v>12969</v>
      </c>
      <c r="BN994" t="s">
        <v>74</v>
      </c>
      <c r="BO994" t="s">
        <v>11522</v>
      </c>
      <c r="BP994" t="s">
        <v>74</v>
      </c>
      <c r="BQ994" t="s">
        <v>74</v>
      </c>
      <c r="BR994" t="s">
        <v>104</v>
      </c>
      <c r="BS994" t="s">
        <v>17906</v>
      </c>
      <c r="BT994" t="str">
        <f>HYPERLINK("https%3A%2F%2Fwww.webofscience.com%2Fwos%2Fwoscc%2Ffull-record%2FWOS:000338655600023","View Full Record in Web of Science")</f>
        <v>View Full Record in Web of Science</v>
      </c>
    </row>
    <row r="995" spans="1:72" x14ac:dyDescent="0.15">
      <c r="A995" t="s">
        <v>72</v>
      </c>
      <c r="B995" t="s">
        <v>17907</v>
      </c>
      <c r="C995" t="s">
        <v>74</v>
      </c>
      <c r="D995" t="s">
        <v>74</v>
      </c>
      <c r="E995" t="s">
        <v>74</v>
      </c>
      <c r="F995" t="s">
        <v>17908</v>
      </c>
      <c r="G995" t="s">
        <v>74</v>
      </c>
      <c r="H995" t="s">
        <v>74</v>
      </c>
      <c r="I995" t="s">
        <v>17909</v>
      </c>
      <c r="J995" t="s">
        <v>10449</v>
      </c>
      <c r="K995" t="s">
        <v>74</v>
      </c>
      <c r="L995" t="s">
        <v>74</v>
      </c>
      <c r="M995" t="s">
        <v>78</v>
      </c>
      <c r="N995" t="s">
        <v>79</v>
      </c>
      <c r="O995" t="s">
        <v>74</v>
      </c>
      <c r="P995" t="s">
        <v>74</v>
      </c>
      <c r="Q995" t="s">
        <v>74</v>
      </c>
      <c r="R995" t="s">
        <v>74</v>
      </c>
      <c r="S995" t="s">
        <v>74</v>
      </c>
      <c r="T995" t="s">
        <v>74</v>
      </c>
      <c r="U995" t="s">
        <v>17910</v>
      </c>
      <c r="V995" t="s">
        <v>17911</v>
      </c>
      <c r="W995" t="s">
        <v>17912</v>
      </c>
      <c r="X995" t="s">
        <v>17913</v>
      </c>
      <c r="Y995" t="s">
        <v>17914</v>
      </c>
      <c r="Z995" t="s">
        <v>17915</v>
      </c>
      <c r="AA995" t="s">
        <v>17916</v>
      </c>
      <c r="AB995" t="s">
        <v>17917</v>
      </c>
      <c r="AC995" t="s">
        <v>17918</v>
      </c>
      <c r="AD995" t="s">
        <v>17919</v>
      </c>
      <c r="AE995" t="s">
        <v>17920</v>
      </c>
      <c r="AF995" t="s">
        <v>74</v>
      </c>
      <c r="AG995">
        <v>53</v>
      </c>
      <c r="AH995">
        <v>62</v>
      </c>
      <c r="AI995">
        <v>67</v>
      </c>
      <c r="AJ995">
        <v>0</v>
      </c>
      <c r="AK995">
        <v>22</v>
      </c>
      <c r="AL995" t="s">
        <v>1463</v>
      </c>
      <c r="AM995" t="s">
        <v>1464</v>
      </c>
      <c r="AN995" t="s">
        <v>1465</v>
      </c>
      <c r="AO995" t="s">
        <v>10461</v>
      </c>
      <c r="AP995" t="s">
        <v>10462</v>
      </c>
      <c r="AQ995" t="s">
        <v>74</v>
      </c>
      <c r="AR995" t="s">
        <v>10449</v>
      </c>
      <c r="AS995" t="s">
        <v>10463</v>
      </c>
      <c r="AT995" t="s">
        <v>74</v>
      </c>
      <c r="AU995">
        <v>2014</v>
      </c>
      <c r="AV995">
        <v>8</v>
      </c>
      <c r="AW995">
        <v>4</v>
      </c>
      <c r="AX995" t="s">
        <v>74</v>
      </c>
      <c r="AY995" t="s">
        <v>74</v>
      </c>
      <c r="AZ995" t="s">
        <v>74</v>
      </c>
      <c r="BA995" t="s">
        <v>74</v>
      </c>
      <c r="BB995">
        <v>1129</v>
      </c>
      <c r="BC995">
        <v>1138</v>
      </c>
      <c r="BD995" t="s">
        <v>74</v>
      </c>
      <c r="BE995" t="s">
        <v>17921</v>
      </c>
      <c r="BF995" t="str">
        <f>HYPERLINK("http://dx.doi.org/10.5194/tc-8-1129-2014","http://dx.doi.org/10.5194/tc-8-1129-2014")</f>
        <v>http://dx.doi.org/10.5194/tc-8-1129-2014</v>
      </c>
      <c r="BG995" t="s">
        <v>74</v>
      </c>
      <c r="BH995" t="s">
        <v>74</v>
      </c>
      <c r="BI995">
        <v>10</v>
      </c>
      <c r="BJ995" t="s">
        <v>1415</v>
      </c>
      <c r="BK995" t="s">
        <v>101</v>
      </c>
      <c r="BL995" t="s">
        <v>1416</v>
      </c>
      <c r="BM995" t="s">
        <v>11879</v>
      </c>
      <c r="BN995" t="s">
        <v>74</v>
      </c>
      <c r="BO995" t="s">
        <v>9228</v>
      </c>
      <c r="BP995" t="s">
        <v>74</v>
      </c>
      <c r="BQ995" t="s">
        <v>74</v>
      </c>
      <c r="BR995" t="s">
        <v>104</v>
      </c>
      <c r="BS995" t="s">
        <v>17922</v>
      </c>
      <c r="BT995" t="str">
        <f>HYPERLINK("https%3A%2F%2Fwww.webofscience.com%2Fwos%2Fwoscc%2Ffull-record%2FWOS:000341622700001","View Full Record in Web of Science")</f>
        <v>View Full Record in Web of Science</v>
      </c>
    </row>
    <row r="996" spans="1:72" x14ac:dyDescent="0.15">
      <c r="A996" t="s">
        <v>72</v>
      </c>
      <c r="B996" t="s">
        <v>17923</v>
      </c>
      <c r="C996" t="s">
        <v>74</v>
      </c>
      <c r="D996" t="s">
        <v>74</v>
      </c>
      <c r="E996" t="s">
        <v>74</v>
      </c>
      <c r="F996" t="s">
        <v>17924</v>
      </c>
      <c r="G996" t="s">
        <v>74</v>
      </c>
      <c r="H996" t="s">
        <v>74</v>
      </c>
      <c r="I996" t="s">
        <v>17925</v>
      </c>
      <c r="J996" t="s">
        <v>10449</v>
      </c>
      <c r="K996" t="s">
        <v>74</v>
      </c>
      <c r="L996" t="s">
        <v>74</v>
      </c>
      <c r="M996" t="s">
        <v>78</v>
      </c>
      <c r="N996" t="s">
        <v>79</v>
      </c>
      <c r="O996" t="s">
        <v>74</v>
      </c>
      <c r="P996" t="s">
        <v>74</v>
      </c>
      <c r="Q996" t="s">
        <v>74</v>
      </c>
      <c r="R996" t="s">
        <v>74</v>
      </c>
      <c r="S996" t="s">
        <v>74</v>
      </c>
      <c r="T996" t="s">
        <v>74</v>
      </c>
      <c r="U996" t="s">
        <v>17926</v>
      </c>
      <c r="V996" t="s">
        <v>17927</v>
      </c>
      <c r="W996" t="s">
        <v>17928</v>
      </c>
      <c r="X996" t="s">
        <v>17929</v>
      </c>
      <c r="Y996" t="s">
        <v>17930</v>
      </c>
      <c r="Z996" t="s">
        <v>17931</v>
      </c>
      <c r="AA996" t="s">
        <v>17932</v>
      </c>
      <c r="AB996" t="s">
        <v>17933</v>
      </c>
      <c r="AC996" t="s">
        <v>17934</v>
      </c>
      <c r="AD996" t="s">
        <v>17935</v>
      </c>
      <c r="AE996" t="s">
        <v>17936</v>
      </c>
      <c r="AF996" t="s">
        <v>74</v>
      </c>
      <c r="AG996">
        <v>27</v>
      </c>
      <c r="AH996">
        <v>48</v>
      </c>
      <c r="AI996">
        <v>54</v>
      </c>
      <c r="AJ996">
        <v>0</v>
      </c>
      <c r="AK996">
        <v>14</v>
      </c>
      <c r="AL996" t="s">
        <v>1463</v>
      </c>
      <c r="AM996" t="s">
        <v>1464</v>
      </c>
      <c r="AN996" t="s">
        <v>1465</v>
      </c>
      <c r="AO996" t="s">
        <v>10461</v>
      </c>
      <c r="AP996" t="s">
        <v>10462</v>
      </c>
      <c r="AQ996" t="s">
        <v>74</v>
      </c>
      <c r="AR996" t="s">
        <v>10449</v>
      </c>
      <c r="AS996" t="s">
        <v>10463</v>
      </c>
      <c r="AT996" t="s">
        <v>74</v>
      </c>
      <c r="AU996">
        <v>2014</v>
      </c>
      <c r="AV996">
        <v>8</v>
      </c>
      <c r="AW996">
        <v>4</v>
      </c>
      <c r="AX996" t="s">
        <v>74</v>
      </c>
      <c r="AY996" t="s">
        <v>74</v>
      </c>
      <c r="AZ996" t="s">
        <v>74</v>
      </c>
      <c r="BA996" t="s">
        <v>74</v>
      </c>
      <c r="BB996">
        <v>1289</v>
      </c>
      <c r="BC996">
        <v>1296</v>
      </c>
      <c r="BD996" t="s">
        <v>74</v>
      </c>
      <c r="BE996" t="s">
        <v>17937</v>
      </c>
      <c r="BF996" t="str">
        <f>HYPERLINK("http://dx.doi.org/10.5194/tc-8-1289-2014","http://dx.doi.org/10.5194/tc-8-1289-2014")</f>
        <v>http://dx.doi.org/10.5194/tc-8-1289-2014</v>
      </c>
      <c r="BG996" t="s">
        <v>74</v>
      </c>
      <c r="BH996" t="s">
        <v>74</v>
      </c>
      <c r="BI996">
        <v>8</v>
      </c>
      <c r="BJ996" t="s">
        <v>1415</v>
      </c>
      <c r="BK996" t="s">
        <v>101</v>
      </c>
      <c r="BL996" t="s">
        <v>1416</v>
      </c>
      <c r="BM996" t="s">
        <v>11879</v>
      </c>
      <c r="BN996" t="s">
        <v>74</v>
      </c>
      <c r="BO996" t="s">
        <v>9228</v>
      </c>
      <c r="BP996" t="s">
        <v>74</v>
      </c>
      <c r="BQ996" t="s">
        <v>74</v>
      </c>
      <c r="BR996" t="s">
        <v>104</v>
      </c>
      <c r="BS996" t="s">
        <v>17938</v>
      </c>
      <c r="BT996" t="str">
        <f>HYPERLINK("https%3A%2F%2Fwww.webofscience.com%2Fwos%2Fwoscc%2Ffull-record%2FWOS:000341622700012","View Full Record in Web of Science")</f>
        <v>View Full Record in Web of Science</v>
      </c>
    </row>
    <row r="997" spans="1:72" x14ac:dyDescent="0.15">
      <c r="A997" t="s">
        <v>72</v>
      </c>
      <c r="B997" t="s">
        <v>17939</v>
      </c>
      <c r="C997" t="s">
        <v>74</v>
      </c>
      <c r="D997" t="s">
        <v>74</v>
      </c>
      <c r="E997" t="s">
        <v>74</v>
      </c>
      <c r="F997" t="s">
        <v>17940</v>
      </c>
      <c r="G997" t="s">
        <v>74</v>
      </c>
      <c r="H997" t="s">
        <v>74</v>
      </c>
      <c r="I997" t="s">
        <v>17941</v>
      </c>
      <c r="J997" t="s">
        <v>10449</v>
      </c>
      <c r="K997" t="s">
        <v>74</v>
      </c>
      <c r="L997" t="s">
        <v>74</v>
      </c>
      <c r="M997" t="s">
        <v>78</v>
      </c>
      <c r="N997" t="s">
        <v>79</v>
      </c>
      <c r="O997" t="s">
        <v>74</v>
      </c>
      <c r="P997" t="s">
        <v>74</v>
      </c>
      <c r="Q997" t="s">
        <v>74</v>
      </c>
      <c r="R997" t="s">
        <v>74</v>
      </c>
      <c r="S997" t="s">
        <v>74</v>
      </c>
      <c r="T997" t="s">
        <v>74</v>
      </c>
      <c r="U997" t="s">
        <v>17942</v>
      </c>
      <c r="V997" t="s">
        <v>17943</v>
      </c>
      <c r="W997" t="s">
        <v>17944</v>
      </c>
      <c r="X997" t="s">
        <v>17945</v>
      </c>
      <c r="Y997" t="s">
        <v>17946</v>
      </c>
      <c r="Z997" t="s">
        <v>17947</v>
      </c>
      <c r="AA997" t="s">
        <v>17948</v>
      </c>
      <c r="AB997" t="s">
        <v>17949</v>
      </c>
      <c r="AC997" t="s">
        <v>74</v>
      </c>
      <c r="AD997" t="s">
        <v>74</v>
      </c>
      <c r="AE997" t="s">
        <v>74</v>
      </c>
      <c r="AF997" t="s">
        <v>74</v>
      </c>
      <c r="AG997">
        <v>55</v>
      </c>
      <c r="AH997">
        <v>28</v>
      </c>
      <c r="AI997">
        <v>31</v>
      </c>
      <c r="AJ997">
        <v>0</v>
      </c>
      <c r="AK997">
        <v>11</v>
      </c>
      <c r="AL997" t="s">
        <v>1463</v>
      </c>
      <c r="AM997" t="s">
        <v>1464</v>
      </c>
      <c r="AN997" t="s">
        <v>1465</v>
      </c>
      <c r="AO997" t="s">
        <v>10461</v>
      </c>
      <c r="AP997" t="s">
        <v>10462</v>
      </c>
      <c r="AQ997" t="s">
        <v>74</v>
      </c>
      <c r="AR997" t="s">
        <v>10449</v>
      </c>
      <c r="AS997" t="s">
        <v>10463</v>
      </c>
      <c r="AT997" t="s">
        <v>74</v>
      </c>
      <c r="AU997">
        <v>2014</v>
      </c>
      <c r="AV997">
        <v>8</v>
      </c>
      <c r="AW997">
        <v>4</v>
      </c>
      <c r="AX997" t="s">
        <v>74</v>
      </c>
      <c r="AY997" t="s">
        <v>74</v>
      </c>
      <c r="AZ997" t="s">
        <v>74</v>
      </c>
      <c r="BA997" t="s">
        <v>74</v>
      </c>
      <c r="BB997">
        <v>1347</v>
      </c>
      <c r="BC997">
        <v>1360</v>
      </c>
      <c r="BD997" t="s">
        <v>74</v>
      </c>
      <c r="BE997" t="s">
        <v>17950</v>
      </c>
      <c r="BF997" t="str">
        <f>HYPERLINK("http://dx.doi.org/10.5194/tc-8-1347-2014","http://dx.doi.org/10.5194/tc-8-1347-2014")</f>
        <v>http://dx.doi.org/10.5194/tc-8-1347-2014</v>
      </c>
      <c r="BG997" t="s">
        <v>74</v>
      </c>
      <c r="BH997" t="s">
        <v>74</v>
      </c>
      <c r="BI997">
        <v>14</v>
      </c>
      <c r="BJ997" t="s">
        <v>1415</v>
      </c>
      <c r="BK997" t="s">
        <v>101</v>
      </c>
      <c r="BL997" t="s">
        <v>1416</v>
      </c>
      <c r="BM997" t="s">
        <v>11879</v>
      </c>
      <c r="BN997" t="s">
        <v>74</v>
      </c>
      <c r="BO997" t="s">
        <v>2178</v>
      </c>
      <c r="BP997" t="s">
        <v>74</v>
      </c>
      <c r="BQ997" t="s">
        <v>74</v>
      </c>
      <c r="BR997" t="s">
        <v>104</v>
      </c>
      <c r="BS997" t="s">
        <v>17951</v>
      </c>
      <c r="BT997" t="str">
        <f>HYPERLINK("https%3A%2F%2Fwww.webofscience.com%2Fwos%2Fwoscc%2Ffull-record%2FWOS:000341622700016","View Full Record in Web of Science")</f>
        <v>View Full Record in Web of Science</v>
      </c>
    </row>
    <row r="998" spans="1:72" x14ac:dyDescent="0.15">
      <c r="A998" t="s">
        <v>72</v>
      </c>
      <c r="B998" t="s">
        <v>17952</v>
      </c>
      <c r="C998" t="s">
        <v>74</v>
      </c>
      <c r="D998" t="s">
        <v>74</v>
      </c>
      <c r="E998" t="s">
        <v>74</v>
      </c>
      <c r="F998" t="s">
        <v>17953</v>
      </c>
      <c r="G998" t="s">
        <v>74</v>
      </c>
      <c r="H998" t="s">
        <v>74</v>
      </c>
      <c r="I998" t="s">
        <v>17954</v>
      </c>
      <c r="J998" t="s">
        <v>10449</v>
      </c>
      <c r="K998" t="s">
        <v>74</v>
      </c>
      <c r="L998" t="s">
        <v>74</v>
      </c>
      <c r="M998" t="s">
        <v>78</v>
      </c>
      <c r="N998" t="s">
        <v>79</v>
      </c>
      <c r="O998" t="s">
        <v>74</v>
      </c>
      <c r="P998" t="s">
        <v>74</v>
      </c>
      <c r="Q998" t="s">
        <v>74</v>
      </c>
      <c r="R998" t="s">
        <v>74</v>
      </c>
      <c r="S998" t="s">
        <v>74</v>
      </c>
      <c r="T998" t="s">
        <v>74</v>
      </c>
      <c r="U998" t="s">
        <v>17955</v>
      </c>
      <c r="V998" t="s">
        <v>17956</v>
      </c>
      <c r="W998" t="s">
        <v>17957</v>
      </c>
      <c r="X998" t="s">
        <v>17958</v>
      </c>
      <c r="Y998" t="s">
        <v>17959</v>
      </c>
      <c r="Z998" t="s">
        <v>17960</v>
      </c>
      <c r="AA998" t="s">
        <v>17961</v>
      </c>
      <c r="AB998" t="s">
        <v>17962</v>
      </c>
      <c r="AC998" t="s">
        <v>17963</v>
      </c>
      <c r="AD998" t="s">
        <v>17964</v>
      </c>
      <c r="AE998" t="s">
        <v>17965</v>
      </c>
      <c r="AF998" t="s">
        <v>74</v>
      </c>
      <c r="AG998">
        <v>42</v>
      </c>
      <c r="AH998">
        <v>55</v>
      </c>
      <c r="AI998">
        <v>55</v>
      </c>
      <c r="AJ998">
        <v>1</v>
      </c>
      <c r="AK998">
        <v>22</v>
      </c>
      <c r="AL998" t="s">
        <v>1463</v>
      </c>
      <c r="AM998" t="s">
        <v>1464</v>
      </c>
      <c r="AN998" t="s">
        <v>1465</v>
      </c>
      <c r="AO998" t="s">
        <v>10461</v>
      </c>
      <c r="AP998" t="s">
        <v>10462</v>
      </c>
      <c r="AQ998" t="s">
        <v>74</v>
      </c>
      <c r="AR998" t="s">
        <v>10449</v>
      </c>
      <c r="AS998" t="s">
        <v>10463</v>
      </c>
      <c r="AT998" t="s">
        <v>74</v>
      </c>
      <c r="AU998">
        <v>2014</v>
      </c>
      <c r="AV998">
        <v>8</v>
      </c>
      <c r="AW998">
        <v>4</v>
      </c>
      <c r="AX998" t="s">
        <v>74</v>
      </c>
      <c r="AY998" t="s">
        <v>74</v>
      </c>
      <c r="AZ998" t="s">
        <v>74</v>
      </c>
      <c r="BA998" t="s">
        <v>74</v>
      </c>
      <c r="BB998">
        <v>1361</v>
      </c>
      <c r="BC998">
        <v>1373</v>
      </c>
      <c r="BD998" t="s">
        <v>74</v>
      </c>
      <c r="BE998" t="s">
        <v>17966</v>
      </c>
      <c r="BF998" t="str">
        <f>HYPERLINK("http://dx.doi.org/10.5194/tc-8-1361-2014","http://dx.doi.org/10.5194/tc-8-1361-2014")</f>
        <v>http://dx.doi.org/10.5194/tc-8-1361-2014</v>
      </c>
      <c r="BG998" t="s">
        <v>74</v>
      </c>
      <c r="BH998" t="s">
        <v>74</v>
      </c>
      <c r="BI998">
        <v>13</v>
      </c>
      <c r="BJ998" t="s">
        <v>1415</v>
      </c>
      <c r="BK998" t="s">
        <v>101</v>
      </c>
      <c r="BL998" t="s">
        <v>1416</v>
      </c>
      <c r="BM998" t="s">
        <v>11879</v>
      </c>
      <c r="BN998" t="s">
        <v>74</v>
      </c>
      <c r="BO998" t="s">
        <v>6156</v>
      </c>
      <c r="BP998" t="s">
        <v>74</v>
      </c>
      <c r="BQ998" t="s">
        <v>74</v>
      </c>
      <c r="BR998" t="s">
        <v>104</v>
      </c>
      <c r="BS998" t="s">
        <v>17967</v>
      </c>
      <c r="BT998" t="str">
        <f>HYPERLINK("https%3A%2F%2Fwww.webofscience.com%2Fwos%2Fwoscc%2Ffull-record%2FWOS:000341622700017","View Full Record in Web of Science")</f>
        <v>View Full Record in Web of Science</v>
      </c>
    </row>
    <row r="999" spans="1:72" x14ac:dyDescent="0.15">
      <c r="A999" t="s">
        <v>72</v>
      </c>
      <c r="B999" t="s">
        <v>17968</v>
      </c>
      <c r="C999" t="s">
        <v>74</v>
      </c>
      <c r="D999" t="s">
        <v>74</v>
      </c>
      <c r="E999" t="s">
        <v>74</v>
      </c>
      <c r="F999" t="s">
        <v>17969</v>
      </c>
      <c r="G999" t="s">
        <v>74</v>
      </c>
      <c r="H999" t="s">
        <v>74</v>
      </c>
      <c r="I999" t="s">
        <v>17970</v>
      </c>
      <c r="J999" t="s">
        <v>10449</v>
      </c>
      <c r="K999" t="s">
        <v>74</v>
      </c>
      <c r="L999" t="s">
        <v>74</v>
      </c>
      <c r="M999" t="s">
        <v>78</v>
      </c>
      <c r="N999" t="s">
        <v>79</v>
      </c>
      <c r="O999" t="s">
        <v>74</v>
      </c>
      <c r="P999" t="s">
        <v>74</v>
      </c>
      <c r="Q999" t="s">
        <v>74</v>
      </c>
      <c r="R999" t="s">
        <v>74</v>
      </c>
      <c r="S999" t="s">
        <v>74</v>
      </c>
      <c r="T999" t="s">
        <v>74</v>
      </c>
      <c r="U999" t="s">
        <v>17971</v>
      </c>
      <c r="V999" t="s">
        <v>17972</v>
      </c>
      <c r="W999" t="s">
        <v>17973</v>
      </c>
      <c r="X999" t="s">
        <v>17974</v>
      </c>
      <c r="Y999" t="s">
        <v>17975</v>
      </c>
      <c r="Z999" t="s">
        <v>17976</v>
      </c>
      <c r="AA999" t="s">
        <v>17977</v>
      </c>
      <c r="AB999" t="s">
        <v>17978</v>
      </c>
      <c r="AC999" t="s">
        <v>17979</v>
      </c>
      <c r="AD999" t="s">
        <v>17980</v>
      </c>
      <c r="AE999" t="s">
        <v>17981</v>
      </c>
      <c r="AF999" t="s">
        <v>74</v>
      </c>
      <c r="AG999">
        <v>68</v>
      </c>
      <c r="AH999">
        <v>89</v>
      </c>
      <c r="AI999">
        <v>99</v>
      </c>
      <c r="AJ999">
        <v>0</v>
      </c>
      <c r="AK999">
        <v>37</v>
      </c>
      <c r="AL999" t="s">
        <v>1463</v>
      </c>
      <c r="AM999" t="s">
        <v>1464</v>
      </c>
      <c r="AN999" t="s">
        <v>1465</v>
      </c>
      <c r="AO999" t="s">
        <v>10461</v>
      </c>
      <c r="AP999" t="s">
        <v>10462</v>
      </c>
      <c r="AQ999" t="s">
        <v>74</v>
      </c>
      <c r="AR999" t="s">
        <v>10449</v>
      </c>
      <c r="AS999" t="s">
        <v>10463</v>
      </c>
      <c r="AT999" t="s">
        <v>74</v>
      </c>
      <c r="AU999">
        <v>2014</v>
      </c>
      <c r="AV999">
        <v>8</v>
      </c>
      <c r="AW999">
        <v>4</v>
      </c>
      <c r="AX999" t="s">
        <v>74</v>
      </c>
      <c r="AY999" t="s">
        <v>74</v>
      </c>
      <c r="AZ999" t="s">
        <v>74</v>
      </c>
      <c r="BA999" t="s">
        <v>74</v>
      </c>
      <c r="BB999">
        <v>1375</v>
      </c>
      <c r="BC999">
        <v>1392</v>
      </c>
      <c r="BD999" t="s">
        <v>74</v>
      </c>
      <c r="BE999" t="s">
        <v>17982</v>
      </c>
      <c r="BF999" t="str">
        <f>HYPERLINK("http://dx.doi.org/10.5194/tc-8-1375-2014","http://dx.doi.org/10.5194/tc-8-1375-2014")</f>
        <v>http://dx.doi.org/10.5194/tc-8-1375-2014</v>
      </c>
      <c r="BG999" t="s">
        <v>74</v>
      </c>
      <c r="BH999" t="s">
        <v>74</v>
      </c>
      <c r="BI999">
        <v>18</v>
      </c>
      <c r="BJ999" t="s">
        <v>1415</v>
      </c>
      <c r="BK999" t="s">
        <v>101</v>
      </c>
      <c r="BL999" t="s">
        <v>1416</v>
      </c>
      <c r="BM999" t="s">
        <v>11879</v>
      </c>
      <c r="BN999" t="s">
        <v>74</v>
      </c>
      <c r="BO999" t="s">
        <v>9228</v>
      </c>
      <c r="BP999" t="s">
        <v>74</v>
      </c>
      <c r="BQ999" t="s">
        <v>74</v>
      </c>
      <c r="BR999" t="s">
        <v>104</v>
      </c>
      <c r="BS999" t="s">
        <v>17983</v>
      </c>
      <c r="BT999" t="str">
        <f>HYPERLINK("https%3A%2F%2Fwww.webofscience.com%2Fwos%2Fwoscc%2Ffull-record%2FWOS:000341622700018","View Full Record in Web of Science")</f>
        <v>View Full Record in Web of Science</v>
      </c>
    </row>
    <row r="1000" spans="1:72" x14ac:dyDescent="0.15">
      <c r="A1000" t="s">
        <v>72</v>
      </c>
      <c r="B1000" t="s">
        <v>17984</v>
      </c>
      <c r="C1000" t="s">
        <v>74</v>
      </c>
      <c r="D1000" t="s">
        <v>74</v>
      </c>
      <c r="E1000" t="s">
        <v>74</v>
      </c>
      <c r="F1000" t="s">
        <v>17985</v>
      </c>
      <c r="G1000" t="s">
        <v>74</v>
      </c>
      <c r="H1000" t="s">
        <v>74</v>
      </c>
      <c r="I1000" t="s">
        <v>17986</v>
      </c>
      <c r="J1000" t="s">
        <v>10449</v>
      </c>
      <c r="K1000" t="s">
        <v>74</v>
      </c>
      <c r="L1000" t="s">
        <v>74</v>
      </c>
      <c r="M1000" t="s">
        <v>78</v>
      </c>
      <c r="N1000" t="s">
        <v>79</v>
      </c>
      <c r="O1000" t="s">
        <v>74</v>
      </c>
      <c r="P1000" t="s">
        <v>74</v>
      </c>
      <c r="Q1000" t="s">
        <v>74</v>
      </c>
      <c r="R1000" t="s">
        <v>74</v>
      </c>
      <c r="S1000" t="s">
        <v>74</v>
      </c>
      <c r="T1000" t="s">
        <v>74</v>
      </c>
      <c r="U1000" t="s">
        <v>17987</v>
      </c>
      <c r="V1000" t="s">
        <v>17988</v>
      </c>
      <c r="W1000" t="s">
        <v>17989</v>
      </c>
      <c r="X1000" t="s">
        <v>17990</v>
      </c>
      <c r="Y1000" t="s">
        <v>17991</v>
      </c>
      <c r="Z1000" t="s">
        <v>17992</v>
      </c>
      <c r="AA1000" t="s">
        <v>17993</v>
      </c>
      <c r="AB1000" t="s">
        <v>17994</v>
      </c>
      <c r="AC1000" t="s">
        <v>17995</v>
      </c>
      <c r="AD1000" t="s">
        <v>17996</v>
      </c>
      <c r="AE1000" t="s">
        <v>17997</v>
      </c>
      <c r="AF1000" t="s">
        <v>74</v>
      </c>
      <c r="AG1000">
        <v>45</v>
      </c>
      <c r="AH1000">
        <v>19</v>
      </c>
      <c r="AI1000">
        <v>21</v>
      </c>
      <c r="AJ1000">
        <v>0</v>
      </c>
      <c r="AK1000">
        <v>25</v>
      </c>
      <c r="AL1000" t="s">
        <v>1463</v>
      </c>
      <c r="AM1000" t="s">
        <v>1464</v>
      </c>
      <c r="AN1000" t="s">
        <v>1465</v>
      </c>
      <c r="AO1000" t="s">
        <v>10461</v>
      </c>
      <c r="AP1000" t="s">
        <v>10462</v>
      </c>
      <c r="AQ1000" t="s">
        <v>74</v>
      </c>
      <c r="AR1000" t="s">
        <v>10449</v>
      </c>
      <c r="AS1000" t="s">
        <v>10463</v>
      </c>
      <c r="AT1000" t="s">
        <v>74</v>
      </c>
      <c r="AU1000">
        <v>2014</v>
      </c>
      <c r="AV1000">
        <v>8</v>
      </c>
      <c r="AW1000">
        <v>4</v>
      </c>
      <c r="AX1000" t="s">
        <v>74</v>
      </c>
      <c r="AY1000" t="s">
        <v>74</v>
      </c>
      <c r="AZ1000" t="s">
        <v>74</v>
      </c>
      <c r="BA1000" t="s">
        <v>74</v>
      </c>
      <c r="BB1000">
        <v>1393</v>
      </c>
      <c r="BC1000">
        <v>1405</v>
      </c>
      <c r="BD1000" t="s">
        <v>74</v>
      </c>
      <c r="BE1000" t="s">
        <v>17998</v>
      </c>
      <c r="BF1000" t="str">
        <f>HYPERLINK("http://dx.doi.org/10.5194/tc-8-1393-2014","http://dx.doi.org/10.5194/tc-8-1393-2014")</f>
        <v>http://dx.doi.org/10.5194/tc-8-1393-2014</v>
      </c>
      <c r="BG1000" t="s">
        <v>74</v>
      </c>
      <c r="BH1000" t="s">
        <v>74</v>
      </c>
      <c r="BI1000">
        <v>13</v>
      </c>
      <c r="BJ1000" t="s">
        <v>1415</v>
      </c>
      <c r="BK1000" t="s">
        <v>101</v>
      </c>
      <c r="BL1000" t="s">
        <v>1416</v>
      </c>
      <c r="BM1000" t="s">
        <v>11879</v>
      </c>
      <c r="BN1000" t="s">
        <v>74</v>
      </c>
      <c r="BO1000" t="s">
        <v>12211</v>
      </c>
      <c r="BP1000" t="s">
        <v>74</v>
      </c>
      <c r="BQ1000" t="s">
        <v>74</v>
      </c>
      <c r="BR1000" t="s">
        <v>104</v>
      </c>
      <c r="BS1000" t="s">
        <v>17999</v>
      </c>
      <c r="BT1000" t="str">
        <f>HYPERLINK("https%3A%2F%2Fwww.webofscience.com%2Fwos%2Fwoscc%2Ffull-record%2FWOS:000341622700019","View Full Record in Web of Science")</f>
        <v>View Full Record in Web of Science</v>
      </c>
    </row>
    <row r="1001" spans="1:72" x14ac:dyDescent="0.15">
      <c r="A1001" t="s">
        <v>72</v>
      </c>
      <c r="B1001" t="s">
        <v>18000</v>
      </c>
      <c r="C1001" t="s">
        <v>74</v>
      </c>
      <c r="D1001" t="s">
        <v>74</v>
      </c>
      <c r="E1001" t="s">
        <v>74</v>
      </c>
      <c r="F1001" t="s">
        <v>18001</v>
      </c>
      <c r="G1001" t="s">
        <v>74</v>
      </c>
      <c r="H1001" t="s">
        <v>74</v>
      </c>
      <c r="I1001" t="s">
        <v>18002</v>
      </c>
      <c r="J1001" t="s">
        <v>10449</v>
      </c>
      <c r="K1001" t="s">
        <v>74</v>
      </c>
      <c r="L1001" t="s">
        <v>74</v>
      </c>
      <c r="M1001" t="s">
        <v>78</v>
      </c>
      <c r="N1001" t="s">
        <v>79</v>
      </c>
      <c r="O1001" t="s">
        <v>74</v>
      </c>
      <c r="P1001" t="s">
        <v>74</v>
      </c>
      <c r="Q1001" t="s">
        <v>74</v>
      </c>
      <c r="R1001" t="s">
        <v>74</v>
      </c>
      <c r="S1001" t="s">
        <v>74</v>
      </c>
      <c r="T1001" t="s">
        <v>74</v>
      </c>
      <c r="U1001" t="s">
        <v>18003</v>
      </c>
      <c r="V1001" t="s">
        <v>18004</v>
      </c>
      <c r="W1001" t="s">
        <v>18005</v>
      </c>
      <c r="X1001" t="s">
        <v>12557</v>
      </c>
      <c r="Y1001" t="s">
        <v>18006</v>
      </c>
      <c r="Z1001" t="s">
        <v>18007</v>
      </c>
      <c r="AA1001" t="s">
        <v>18008</v>
      </c>
      <c r="AB1001" t="s">
        <v>18009</v>
      </c>
      <c r="AC1001" t="s">
        <v>18010</v>
      </c>
      <c r="AD1001" t="s">
        <v>18010</v>
      </c>
      <c r="AE1001" t="s">
        <v>18011</v>
      </c>
      <c r="AF1001" t="s">
        <v>74</v>
      </c>
      <c r="AG1001">
        <v>28</v>
      </c>
      <c r="AH1001">
        <v>9</v>
      </c>
      <c r="AI1001">
        <v>9</v>
      </c>
      <c r="AJ1001">
        <v>0</v>
      </c>
      <c r="AK1001">
        <v>17</v>
      </c>
      <c r="AL1001" t="s">
        <v>1463</v>
      </c>
      <c r="AM1001" t="s">
        <v>1464</v>
      </c>
      <c r="AN1001" t="s">
        <v>1465</v>
      </c>
      <c r="AO1001" t="s">
        <v>10461</v>
      </c>
      <c r="AP1001" t="s">
        <v>10462</v>
      </c>
      <c r="AQ1001" t="s">
        <v>74</v>
      </c>
      <c r="AR1001" t="s">
        <v>10449</v>
      </c>
      <c r="AS1001" t="s">
        <v>10463</v>
      </c>
      <c r="AT1001" t="s">
        <v>74</v>
      </c>
      <c r="AU1001">
        <v>2014</v>
      </c>
      <c r="AV1001">
        <v>8</v>
      </c>
      <c r="AW1001">
        <v>4</v>
      </c>
      <c r="AX1001" t="s">
        <v>74</v>
      </c>
      <c r="AY1001" t="s">
        <v>74</v>
      </c>
      <c r="AZ1001" t="s">
        <v>74</v>
      </c>
      <c r="BA1001" t="s">
        <v>74</v>
      </c>
      <c r="BB1001">
        <v>1445</v>
      </c>
      <c r="BC1001">
        <v>1456</v>
      </c>
      <c r="BD1001" t="s">
        <v>74</v>
      </c>
      <c r="BE1001" t="s">
        <v>18012</v>
      </c>
      <c r="BF1001" t="str">
        <f>HYPERLINK("http://dx.doi.org/10.5194/tc-8-1445-2014","http://dx.doi.org/10.5194/tc-8-1445-2014")</f>
        <v>http://dx.doi.org/10.5194/tc-8-1445-2014</v>
      </c>
      <c r="BG1001" t="s">
        <v>74</v>
      </c>
      <c r="BH1001" t="s">
        <v>74</v>
      </c>
      <c r="BI1001">
        <v>12</v>
      </c>
      <c r="BJ1001" t="s">
        <v>1415</v>
      </c>
      <c r="BK1001" t="s">
        <v>101</v>
      </c>
      <c r="BL1001" t="s">
        <v>1416</v>
      </c>
      <c r="BM1001" t="s">
        <v>11879</v>
      </c>
      <c r="BN1001" t="s">
        <v>74</v>
      </c>
      <c r="BO1001" t="s">
        <v>9228</v>
      </c>
      <c r="BP1001" t="s">
        <v>74</v>
      </c>
      <c r="BQ1001" t="s">
        <v>74</v>
      </c>
      <c r="BR1001" t="s">
        <v>104</v>
      </c>
      <c r="BS1001" t="s">
        <v>18013</v>
      </c>
      <c r="BT1001" t="str">
        <f>HYPERLINK("https%3A%2F%2Fwww.webofscience.com%2Fwos%2Fwoscc%2Ffull-record%2FWOS:000341622700023","View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2024-07-28T15:24:06Z</dcterms:created>
  <dcterms:modified xsi:type="dcterms:W3CDTF">2024-07-28T15:24:07Z</dcterms:modified>
</cp:coreProperties>
</file>